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3CD9225A-21B4-4FEE-86F4-0BE6BA6FE8D6}" xr6:coauthVersionLast="47" xr6:coauthVersionMax="47" xr10:uidLastSave="{00000000-0000-0000-0000-000000000000}"/>
  <bookViews>
    <workbookView xWindow="-108" yWindow="-108" windowWidth="23256" windowHeight="12456" firstSheet="8" activeTab="10" xr2:uid="{1824974A-EE11-4D45-9E77-7FD654A455C0}"/>
  </bookViews>
  <sheets>
    <sheet name="AAS lab Crushing Daily " sheetId="16" r:id="rId1"/>
    <sheet name="Daily Summary " sheetId="7" r:id="rId2"/>
    <sheet name="Reagent Consumption" sheetId="2" r:id="rId3"/>
    <sheet name="Crushing" sheetId="1" r:id="rId4"/>
    <sheet name="Crushing Down Time Hours" sheetId="8" r:id="rId5"/>
    <sheet name="Tailing Check " sheetId="22" r:id="rId6"/>
    <sheet name="LT Ball Mill" sheetId="17" r:id="rId7"/>
    <sheet name="Milling Down Time Hours" sheetId="5" r:id="rId8"/>
    <sheet name="LT Floculation" sheetId="15" r:id="rId9"/>
    <sheet name="Filter Press" sheetId="20" r:id="rId10"/>
    <sheet name="Milling and Leach Feed" sheetId="21" r:id="rId11"/>
    <sheet name="Rom File Inventory" sheetId="12" r:id="rId12"/>
    <sheet name="Stock File Management" sheetId="23" r:id="rId13"/>
    <sheet name="Filter Press Down Time Hours " sheetId="14" r:id="rId14"/>
    <sheet name="Au Cal Leaching Tank" sheetId="13" r:id="rId15"/>
    <sheet name="Leach Time Process&amp;Down Time" sheetId="11" r:id="rId16"/>
    <sheet name="Leaching" sheetId="3" r:id="rId17"/>
    <sheet name="Fuel Consumption" sheetId="6" r:id="rId18"/>
    <sheet name="Milling and Leach Feed_OLD" sheetId="4" r:id="rId19"/>
  </sheets>
  <definedNames>
    <definedName name="_xlchart.v1.0" hidden="1">'Rom File Inventory'!$AD$1:$AD$127</definedName>
    <definedName name="_xlchart.v1.1" hidden="1">'Rom File Inventory'!$AE$1:$AE$127</definedName>
    <definedName name="_xlnm.Print_Area" localSheetId="3">Crushing!$A$1:$AA$124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5" i="21" l="1"/>
  <c r="N77" i="21"/>
  <c r="M78" i="21"/>
  <c r="H78" i="21"/>
  <c r="I78" i="21" s="1"/>
  <c r="J78" i="21"/>
  <c r="AL13" i="21"/>
  <c r="M76" i="21"/>
  <c r="P77" i="21"/>
  <c r="I77" i="21" s="1"/>
  <c r="Q77" i="21"/>
  <c r="R77" i="21"/>
  <c r="H77" i="21"/>
  <c r="H76" i="21"/>
  <c r="M77" i="21"/>
  <c r="O77" i="21" s="1"/>
  <c r="J77" i="2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" i="2"/>
  <c r="H17" i="15"/>
  <c r="I17" i="15"/>
  <c r="G17" i="15"/>
  <c r="N115" i="1" l="1"/>
  <c r="N112" i="1"/>
  <c r="I112" i="1"/>
  <c r="K112" i="1" s="1"/>
  <c r="M112" i="1" s="1"/>
  <c r="I111" i="1"/>
  <c r="K111" i="1"/>
  <c r="M111" i="1" s="1"/>
  <c r="L111" i="1"/>
  <c r="I110" i="1"/>
  <c r="K110" i="1"/>
  <c r="L110" i="1"/>
  <c r="N110" i="1" s="1"/>
  <c r="M110" i="1"/>
  <c r="P38" i="5"/>
  <c r="P37" i="5"/>
  <c r="P36" i="5"/>
  <c r="P35" i="5"/>
  <c r="P34" i="5"/>
  <c r="P33" i="5"/>
  <c r="T107" i="21"/>
  <c r="S107" i="21"/>
  <c r="R107" i="21"/>
  <c r="Q107" i="21"/>
  <c r="P107" i="21"/>
  <c r="O107" i="21"/>
  <c r="M104" i="21"/>
  <c r="W104" i="21"/>
  <c r="X104" i="21"/>
  <c r="Y104" i="21"/>
  <c r="M106" i="21"/>
  <c r="W106" i="21" s="1"/>
  <c r="X106" i="21"/>
  <c r="Y106" i="21"/>
  <c r="J76" i="21"/>
  <c r="J75" i="21"/>
  <c r="H75" i="21" s="1"/>
  <c r="R76" i="21"/>
  <c r="P76" i="21" s="1"/>
  <c r="R75" i="21"/>
  <c r="Q75" i="21" s="1"/>
  <c r="G77" i="5"/>
  <c r="J77" i="5"/>
  <c r="K77" i="5" s="1"/>
  <c r="G78" i="5"/>
  <c r="J78" i="5" s="1"/>
  <c r="K78" i="5" s="1"/>
  <c r="G79" i="5"/>
  <c r="J79" i="5" s="1"/>
  <c r="K79" i="5" s="1"/>
  <c r="G80" i="5"/>
  <c r="J80" i="5"/>
  <c r="K80" i="5"/>
  <c r="G81" i="5"/>
  <c r="J81" i="5"/>
  <c r="K81" i="5"/>
  <c r="G82" i="5"/>
  <c r="J82" i="5" s="1"/>
  <c r="K82" i="5" s="1"/>
  <c r="G83" i="5"/>
  <c r="J83" i="5"/>
  <c r="K83" i="5" s="1"/>
  <c r="G84" i="5"/>
  <c r="J84" i="5"/>
  <c r="K84" i="5"/>
  <c r="G85" i="5"/>
  <c r="J85" i="5"/>
  <c r="K85" i="5"/>
  <c r="G86" i="5"/>
  <c r="J86" i="5"/>
  <c r="K86" i="5"/>
  <c r="G87" i="5"/>
  <c r="J87" i="5"/>
  <c r="K87" i="5" s="1"/>
  <c r="G88" i="5"/>
  <c r="J88" i="5" s="1"/>
  <c r="K88" i="5" s="1"/>
  <c r="G89" i="5"/>
  <c r="J89" i="5"/>
  <c r="K89" i="5"/>
  <c r="G90" i="5"/>
  <c r="J90" i="5"/>
  <c r="K90" i="5"/>
  <c r="G91" i="5"/>
  <c r="J91" i="5"/>
  <c r="K91" i="5"/>
  <c r="G92" i="5"/>
  <c r="J92" i="5"/>
  <c r="K92" i="5"/>
  <c r="G93" i="5"/>
  <c r="J93" i="5"/>
  <c r="K93" i="5" s="1"/>
  <c r="G94" i="5"/>
  <c r="J94" i="5" s="1"/>
  <c r="K94" i="5" s="1"/>
  <c r="G95" i="5"/>
  <c r="J95" i="5"/>
  <c r="K95" i="5"/>
  <c r="G96" i="5"/>
  <c r="J96" i="5"/>
  <c r="K96" i="5"/>
  <c r="G97" i="5"/>
  <c r="J97" i="5"/>
  <c r="K97" i="5"/>
  <c r="G98" i="5"/>
  <c r="J98" i="5" s="1"/>
  <c r="K98" i="5" s="1"/>
  <c r="G99" i="5"/>
  <c r="J99" i="5"/>
  <c r="K99" i="5" s="1"/>
  <c r="G100" i="5"/>
  <c r="J100" i="5"/>
  <c r="K100" i="5"/>
  <c r="G101" i="5"/>
  <c r="J101" i="5"/>
  <c r="K101" i="5"/>
  <c r="G102" i="5"/>
  <c r="J102" i="5"/>
  <c r="K102" i="5"/>
  <c r="G103" i="5"/>
  <c r="J103" i="5"/>
  <c r="K103" i="5" s="1"/>
  <c r="G104" i="5"/>
  <c r="J104" i="5" s="1"/>
  <c r="K104" i="5" s="1"/>
  <c r="G105" i="5"/>
  <c r="J105" i="5"/>
  <c r="K105" i="5"/>
  <c r="G106" i="5"/>
  <c r="J106" i="5"/>
  <c r="K106" i="5"/>
  <c r="G107" i="5"/>
  <c r="J107" i="5"/>
  <c r="K107" i="5"/>
  <c r="G108" i="5"/>
  <c r="J108" i="5"/>
  <c r="K108" i="5"/>
  <c r="G109" i="5"/>
  <c r="J109" i="5"/>
  <c r="K109" i="5" s="1"/>
  <c r="G110" i="5"/>
  <c r="J110" i="5" s="1"/>
  <c r="K110" i="5" s="1"/>
  <c r="G111" i="5"/>
  <c r="J111" i="5"/>
  <c r="K111" i="5"/>
  <c r="G112" i="5"/>
  <c r="J112" i="5"/>
  <c r="K112" i="5"/>
  <c r="G113" i="5"/>
  <c r="J113" i="5"/>
  <c r="K113" i="5"/>
  <c r="G114" i="5"/>
  <c r="J114" i="5" s="1"/>
  <c r="K114" i="5" s="1"/>
  <c r="G115" i="5"/>
  <c r="J115" i="5"/>
  <c r="K115" i="5" s="1"/>
  <c r="G116" i="5"/>
  <c r="J116" i="5"/>
  <c r="K116" i="5"/>
  <c r="G117" i="5"/>
  <c r="J117" i="5"/>
  <c r="K117" i="5"/>
  <c r="G118" i="5"/>
  <c r="J118" i="5"/>
  <c r="K118" i="5"/>
  <c r="G119" i="5"/>
  <c r="J119" i="5"/>
  <c r="K119" i="5" s="1"/>
  <c r="G120" i="5"/>
  <c r="J120" i="5" s="1"/>
  <c r="K120" i="5" s="1"/>
  <c r="G121" i="5"/>
  <c r="J121" i="5"/>
  <c r="K121" i="5"/>
  <c r="G122" i="5"/>
  <c r="J122" i="5"/>
  <c r="K122" i="5"/>
  <c r="G123" i="5"/>
  <c r="J123" i="5"/>
  <c r="K123" i="5"/>
  <c r="G124" i="5"/>
  <c r="J124" i="5"/>
  <c r="K124" i="5"/>
  <c r="G125" i="5"/>
  <c r="J125" i="5"/>
  <c r="K125" i="5" s="1"/>
  <c r="G126" i="5"/>
  <c r="J126" i="5" s="1"/>
  <c r="K126" i="5" s="1"/>
  <c r="G127" i="5"/>
  <c r="J127" i="5"/>
  <c r="K127" i="5"/>
  <c r="G128" i="5"/>
  <c r="J128" i="5"/>
  <c r="K128" i="5"/>
  <c r="G129" i="5"/>
  <c r="J129" i="5"/>
  <c r="K129" i="5"/>
  <c r="G130" i="5"/>
  <c r="J130" i="5" s="1"/>
  <c r="K130" i="5" s="1"/>
  <c r="G131" i="5"/>
  <c r="J131" i="5"/>
  <c r="K131" i="5" s="1"/>
  <c r="G132" i="5"/>
  <c r="J132" i="5"/>
  <c r="K132" i="5"/>
  <c r="G133" i="5"/>
  <c r="J133" i="5"/>
  <c r="K133" i="5"/>
  <c r="G134" i="5"/>
  <c r="J134" i="5"/>
  <c r="K134" i="5"/>
  <c r="G135" i="5"/>
  <c r="J135" i="5"/>
  <c r="K135" i="5" s="1"/>
  <c r="G136" i="5"/>
  <c r="J136" i="5" s="1"/>
  <c r="K136" i="5" s="1"/>
  <c r="G137" i="5"/>
  <c r="J137" i="5"/>
  <c r="K137" i="5"/>
  <c r="G138" i="5"/>
  <c r="J138" i="5"/>
  <c r="K138" i="5"/>
  <c r="G139" i="5"/>
  <c r="J139" i="5"/>
  <c r="K139" i="5"/>
  <c r="G140" i="5"/>
  <c r="J140" i="5"/>
  <c r="K140" i="5"/>
  <c r="G141" i="5"/>
  <c r="J141" i="5"/>
  <c r="K141" i="5" s="1"/>
  <c r="G142" i="5"/>
  <c r="J142" i="5" s="1"/>
  <c r="K142" i="5" s="1"/>
  <c r="G143" i="5"/>
  <c r="J143" i="5"/>
  <c r="K143" i="5"/>
  <c r="G144" i="5"/>
  <c r="J144" i="5"/>
  <c r="K144" i="5"/>
  <c r="G145" i="5"/>
  <c r="J145" i="5"/>
  <c r="K145" i="5"/>
  <c r="G146" i="5"/>
  <c r="J146" i="5" s="1"/>
  <c r="K146" i="5" s="1"/>
  <c r="G147" i="5"/>
  <c r="J147" i="5"/>
  <c r="K147" i="5" s="1"/>
  <c r="G148" i="5"/>
  <c r="J148" i="5"/>
  <c r="K148" i="5"/>
  <c r="G149" i="5"/>
  <c r="J149" i="5"/>
  <c r="K149" i="5"/>
  <c r="G150" i="5"/>
  <c r="J150" i="5"/>
  <c r="K150" i="5"/>
  <c r="G151" i="5"/>
  <c r="J151" i="5"/>
  <c r="K151" i="5" s="1"/>
  <c r="G152" i="5"/>
  <c r="J152" i="5" s="1"/>
  <c r="K152" i="5" s="1"/>
  <c r="G153" i="5"/>
  <c r="J153" i="5"/>
  <c r="K153" i="5"/>
  <c r="G154" i="5"/>
  <c r="J154" i="5"/>
  <c r="K154" i="5"/>
  <c r="G155" i="5"/>
  <c r="J155" i="5"/>
  <c r="K155" i="5"/>
  <c r="G156" i="5"/>
  <c r="J156" i="5"/>
  <c r="K156" i="5"/>
  <c r="G157" i="5"/>
  <c r="J157" i="5"/>
  <c r="K157" i="5" s="1"/>
  <c r="G158" i="5"/>
  <c r="J158" i="5" s="1"/>
  <c r="K158" i="5" s="1"/>
  <c r="G159" i="5"/>
  <c r="J159" i="5"/>
  <c r="K159" i="5"/>
  <c r="G160" i="5"/>
  <c r="J160" i="5"/>
  <c r="K160" i="5"/>
  <c r="G161" i="5"/>
  <c r="J161" i="5"/>
  <c r="K161" i="5"/>
  <c r="G162" i="5"/>
  <c r="J162" i="5" s="1"/>
  <c r="K162" i="5" s="1"/>
  <c r="G163" i="5"/>
  <c r="J163" i="5"/>
  <c r="K163" i="5" s="1"/>
  <c r="G164" i="5"/>
  <c r="J164" i="5"/>
  <c r="K164" i="5"/>
  <c r="G165" i="5"/>
  <c r="J165" i="5"/>
  <c r="K165" i="5"/>
  <c r="G166" i="5"/>
  <c r="J166" i="5"/>
  <c r="K166" i="5"/>
  <c r="G167" i="5"/>
  <c r="J167" i="5"/>
  <c r="K167" i="5" s="1"/>
  <c r="G168" i="5"/>
  <c r="J168" i="5" s="1"/>
  <c r="K168" i="5" s="1"/>
  <c r="G169" i="5"/>
  <c r="J169" i="5"/>
  <c r="K169" i="5"/>
  <c r="G170" i="5"/>
  <c r="J170" i="5"/>
  <c r="K170" i="5"/>
  <c r="G171" i="5"/>
  <c r="J171" i="5"/>
  <c r="K171" i="5"/>
  <c r="G172" i="5"/>
  <c r="J172" i="5"/>
  <c r="K172" i="5"/>
  <c r="G173" i="5"/>
  <c r="J173" i="5"/>
  <c r="K173" i="5" s="1"/>
  <c r="G174" i="5"/>
  <c r="J174" i="5" s="1"/>
  <c r="K174" i="5" s="1"/>
  <c r="G175" i="5"/>
  <c r="J175" i="5"/>
  <c r="K175" i="5"/>
  <c r="G176" i="5"/>
  <c r="J176" i="5"/>
  <c r="K176" i="5"/>
  <c r="G177" i="5"/>
  <c r="J177" i="5"/>
  <c r="K177" i="5"/>
  <c r="G178" i="5"/>
  <c r="J178" i="5" s="1"/>
  <c r="K178" i="5" s="1"/>
  <c r="G179" i="5"/>
  <c r="J179" i="5"/>
  <c r="K179" i="5" s="1"/>
  <c r="G70" i="5"/>
  <c r="J70" i="5" s="1"/>
  <c r="K70" i="5" s="1"/>
  <c r="G71" i="5"/>
  <c r="J71" i="5"/>
  <c r="K71" i="5"/>
  <c r="G72" i="5"/>
  <c r="J72" i="5" s="1"/>
  <c r="K72" i="5" s="1"/>
  <c r="G73" i="5"/>
  <c r="J73" i="5" s="1"/>
  <c r="K73" i="5" s="1"/>
  <c r="G74" i="5"/>
  <c r="J74" i="5" s="1"/>
  <c r="K74" i="5" s="1"/>
  <c r="G75" i="5"/>
  <c r="J75" i="5" s="1"/>
  <c r="K75" i="5" s="1"/>
  <c r="G76" i="5"/>
  <c r="J76" i="5" s="1"/>
  <c r="K76" i="5" s="1"/>
  <c r="P48" i="20"/>
  <c r="P49" i="20"/>
  <c r="N49" i="20"/>
  <c r="N48" i="20"/>
  <c r="H16" i="15"/>
  <c r="I16" i="15"/>
  <c r="G16" i="15"/>
  <c r="AF20" i="13" s="1"/>
  <c r="AO21" i="13"/>
  <c r="AP21" i="13"/>
  <c r="AQ21" i="13"/>
  <c r="AR21" i="13"/>
  <c r="U65" i="21"/>
  <c r="V65" i="21"/>
  <c r="T65" i="21"/>
  <c r="I109" i="1"/>
  <c r="L109" i="1" s="1"/>
  <c r="I108" i="1"/>
  <c r="K108" i="1" s="1"/>
  <c r="M108" i="1" s="1"/>
  <c r="I106" i="1"/>
  <c r="K106" i="1" s="1"/>
  <c r="M106" i="1" s="1"/>
  <c r="I107" i="1"/>
  <c r="K107" i="1"/>
  <c r="M107" i="1" s="1"/>
  <c r="L107" i="1"/>
  <c r="H47" i="20"/>
  <c r="F47" i="20"/>
  <c r="N47" i="20"/>
  <c r="P47" i="20" s="1"/>
  <c r="N45" i="20"/>
  <c r="P45" i="20" s="1"/>
  <c r="N46" i="20"/>
  <c r="P46" i="20" s="1"/>
  <c r="I104" i="1"/>
  <c r="K104" i="1" s="1"/>
  <c r="M104" i="1" s="1"/>
  <c r="I105" i="1"/>
  <c r="K105" i="1" s="1"/>
  <c r="M105" i="1" s="1"/>
  <c r="U64" i="21"/>
  <c r="V64" i="21"/>
  <c r="T64" i="21"/>
  <c r="I34" i="12"/>
  <c r="J33" i="12"/>
  <c r="J32" i="12"/>
  <c r="H35" i="12"/>
  <c r="J31" i="12"/>
  <c r="J35" i="12" s="1"/>
  <c r="L21" i="13"/>
  <c r="U63" i="21"/>
  <c r="V63" i="21"/>
  <c r="T63" i="21"/>
  <c r="U61" i="21"/>
  <c r="V61" i="21"/>
  <c r="T61" i="21"/>
  <c r="AG20" i="13"/>
  <c r="AH20" i="13"/>
  <c r="N44" i="20"/>
  <c r="P44" i="20"/>
  <c r="N43" i="20"/>
  <c r="P43" i="20" s="1"/>
  <c r="U62" i="21"/>
  <c r="V62" i="21"/>
  <c r="T62" i="21"/>
  <c r="BK15" i="13"/>
  <c r="BL15" i="13"/>
  <c r="BJ15" i="13"/>
  <c r="BK14" i="13"/>
  <c r="BL14" i="13"/>
  <c r="BJ14" i="13"/>
  <c r="BK13" i="13"/>
  <c r="BL13" i="13"/>
  <c r="BJ13" i="13"/>
  <c r="BK12" i="13"/>
  <c r="BL12" i="13"/>
  <c r="BJ12" i="13"/>
  <c r="BK11" i="13"/>
  <c r="BL11" i="13"/>
  <c r="BJ11" i="13"/>
  <c r="BK10" i="13"/>
  <c r="BL10" i="13"/>
  <c r="BJ10" i="13"/>
  <c r="A10" i="13"/>
  <c r="A11" i="13"/>
  <c r="A21" i="13"/>
  <c r="N21" i="13"/>
  <c r="J65" i="21"/>
  <c r="R65" i="21"/>
  <c r="P65" i="21" s="1"/>
  <c r="AA51" i="21"/>
  <c r="N42" i="20"/>
  <c r="P42" i="20" s="1"/>
  <c r="F42" i="20"/>
  <c r="F43" i="20"/>
  <c r="F44" i="20"/>
  <c r="F45" i="20"/>
  <c r="F46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N40" i="20"/>
  <c r="P40" i="20"/>
  <c r="N41" i="20"/>
  <c r="P41" i="20"/>
  <c r="L61" i="5"/>
  <c r="J64" i="21"/>
  <c r="AA54" i="21"/>
  <c r="M34" i="12"/>
  <c r="J63" i="21"/>
  <c r="H15" i="15"/>
  <c r="I15" i="15"/>
  <c r="G15" i="15"/>
  <c r="Q32" i="5"/>
  <c r="R32" i="5"/>
  <c r="S32" i="5"/>
  <c r="P32" i="5"/>
  <c r="Q31" i="5"/>
  <c r="P31" i="5"/>
  <c r="R56" i="21"/>
  <c r="Q56" i="21" s="1"/>
  <c r="A20" i="13"/>
  <c r="A19" i="13"/>
  <c r="A12" i="13"/>
  <c r="J62" i="21"/>
  <c r="J60" i="21"/>
  <c r="J61" i="21"/>
  <c r="R62" i="21"/>
  <c r="P62" i="21" s="1"/>
  <c r="R59" i="21"/>
  <c r="P59" i="21" s="1"/>
  <c r="R60" i="21"/>
  <c r="P60" i="21" s="1"/>
  <c r="R61" i="21"/>
  <c r="P61" i="21" s="1"/>
  <c r="L59" i="5"/>
  <c r="L57" i="5"/>
  <c r="G60" i="5"/>
  <c r="G59" i="5"/>
  <c r="P39" i="20"/>
  <c r="N38" i="20"/>
  <c r="N39" i="20"/>
  <c r="F40" i="20"/>
  <c r="F41" i="20"/>
  <c r="P37" i="20"/>
  <c r="N37" i="20"/>
  <c r="F39" i="20"/>
  <c r="P35" i="20"/>
  <c r="P36" i="20"/>
  <c r="N33" i="20"/>
  <c r="N34" i="20"/>
  <c r="N35" i="20"/>
  <c r="N36" i="20"/>
  <c r="BF80" i="13"/>
  <c r="BG80" i="13"/>
  <c r="BE80" i="13"/>
  <c r="AZ79" i="13"/>
  <c r="BA79" i="13"/>
  <c r="BB79" i="13"/>
  <c r="AY79" i="13"/>
  <c r="AV79" i="13"/>
  <c r="AW79" i="13"/>
  <c r="AU79" i="13"/>
  <c r="L112" i="1" l="1"/>
  <c r="K109" i="1"/>
  <c r="M109" i="1" s="1"/>
  <c r="M75" i="21"/>
  <c r="P75" i="21"/>
  <c r="I75" i="21" s="1"/>
  <c r="I76" i="21"/>
  <c r="Q76" i="21"/>
  <c r="Z21" i="13"/>
  <c r="Y21" i="13"/>
  <c r="AM21" i="13" s="1"/>
  <c r="BE21" i="13" s="1"/>
  <c r="X21" i="13"/>
  <c r="L108" i="1"/>
  <c r="L106" i="1"/>
  <c r="N106" i="1" s="1"/>
  <c r="L104" i="1"/>
  <c r="L105" i="1"/>
  <c r="M37" i="12"/>
  <c r="M61" i="21"/>
  <c r="W61" i="21" s="1"/>
  <c r="M62" i="21"/>
  <c r="H61" i="21"/>
  <c r="H62" i="21"/>
  <c r="I62" i="21" s="1"/>
  <c r="P56" i="21"/>
  <c r="Q65" i="21"/>
  <c r="Q62" i="21"/>
  <c r="Q61" i="21"/>
  <c r="Q60" i="21"/>
  <c r="Q59" i="21"/>
  <c r="Z16" i="2"/>
  <c r="Z17" i="2" s="1"/>
  <c r="Y16" i="2"/>
  <c r="Y17" i="2" s="1"/>
  <c r="U19" i="13"/>
  <c r="J59" i="21"/>
  <c r="F37" i="20"/>
  <c r="F38" i="20"/>
  <c r="AG19" i="13"/>
  <c r="AH19" i="13"/>
  <c r="AF19" i="13"/>
  <c r="U57" i="21"/>
  <c r="U58" i="21" s="1"/>
  <c r="U59" i="21" s="1"/>
  <c r="V57" i="21"/>
  <c r="V58" i="21" s="1"/>
  <c r="V59" i="21" s="1"/>
  <c r="T57" i="21"/>
  <c r="T58" i="21" s="1"/>
  <c r="T59" i="21" s="1"/>
  <c r="J55" i="21"/>
  <c r="H55" i="21" s="1"/>
  <c r="H63" i="21" l="1"/>
  <c r="O75" i="21"/>
  <c r="AL21" i="13"/>
  <c r="N104" i="1"/>
  <c r="O61" i="21"/>
  <c r="X61" i="21"/>
  <c r="Y61" i="21"/>
  <c r="O21" i="13"/>
  <c r="I61" i="21"/>
  <c r="H64" i="21"/>
  <c r="H65" i="21" s="1"/>
  <c r="I65" i="21" s="1"/>
  <c r="X62" i="21"/>
  <c r="Y62" i="21"/>
  <c r="O62" i="21"/>
  <c r="N61" i="21"/>
  <c r="M63" i="21"/>
  <c r="W62" i="21"/>
  <c r="L35" i="12"/>
  <c r="H29" i="12"/>
  <c r="N20" i="13"/>
  <c r="K20" i="13"/>
  <c r="L51" i="7"/>
  <c r="L52" i="7"/>
  <c r="L53" i="7"/>
  <c r="L54" i="7"/>
  <c r="L55" i="7"/>
  <c r="L46" i="7"/>
  <c r="L47" i="7"/>
  <c r="L48" i="7"/>
  <c r="L49" i="7"/>
  <c r="F57" i="7"/>
  <c r="F48" i="7"/>
  <c r="F47" i="7"/>
  <c r="F46" i="7"/>
  <c r="F45" i="7"/>
  <c r="F43" i="7"/>
  <c r="F42" i="7" s="1"/>
  <c r="F44" i="7"/>
  <c r="P31" i="20"/>
  <c r="P32" i="20"/>
  <c r="F28" i="20"/>
  <c r="F29" i="20"/>
  <c r="F30" i="20"/>
  <c r="F31" i="20"/>
  <c r="F32" i="20"/>
  <c r="F33" i="20"/>
  <c r="F34" i="20"/>
  <c r="F35" i="20"/>
  <c r="F36" i="20"/>
  <c r="L55" i="5"/>
  <c r="J57" i="21"/>
  <c r="J58" i="21"/>
  <c r="J56" i="21"/>
  <c r="U56" i="21"/>
  <c r="V56" i="21"/>
  <c r="T56" i="21"/>
  <c r="Q57" i="7"/>
  <c r="P57" i="7"/>
  <c r="O57" i="7"/>
  <c r="I7" i="23"/>
  <c r="G6" i="23"/>
  <c r="I6" i="23" s="1"/>
  <c r="G7" i="23"/>
  <c r="G8" i="23"/>
  <c r="I8" i="23" s="1"/>
  <c r="G9" i="23"/>
  <c r="I9" i="23" s="1"/>
  <c r="G10" i="23"/>
  <c r="I10" i="23" s="1"/>
  <c r="G11" i="23"/>
  <c r="I11" i="23" s="1"/>
  <c r="G12" i="23"/>
  <c r="I12" i="23" s="1"/>
  <c r="G13" i="23"/>
  <c r="I13" i="23" s="1"/>
  <c r="G14" i="23"/>
  <c r="I14" i="23" s="1"/>
  <c r="G15" i="23"/>
  <c r="I15" i="23" s="1"/>
  <c r="G16" i="23"/>
  <c r="I16" i="23" s="1"/>
  <c r="G17" i="23"/>
  <c r="I17" i="23" s="1"/>
  <c r="G18" i="23"/>
  <c r="I18" i="23" s="1"/>
  <c r="G19" i="23"/>
  <c r="I19" i="23" s="1"/>
  <c r="G20" i="23"/>
  <c r="I20" i="23" s="1"/>
  <c r="G5" i="23"/>
  <c r="I5" i="23" s="1"/>
  <c r="U54" i="21"/>
  <c r="U55" i="21" s="1"/>
  <c r="V54" i="21"/>
  <c r="V55" i="21" s="1"/>
  <c r="T54" i="21"/>
  <c r="T55" i="21" s="1"/>
  <c r="U53" i="21"/>
  <c r="V53" i="21"/>
  <c r="T53" i="21"/>
  <c r="G156" i="12"/>
  <c r="G151" i="12"/>
  <c r="G152" i="12"/>
  <c r="F153" i="12"/>
  <c r="G153" i="12"/>
  <c r="G150" i="12"/>
  <c r="F150" i="12"/>
  <c r="M155" i="12"/>
  <c r="L156" i="12"/>
  <c r="M156" i="12"/>
  <c r="M147" i="12"/>
  <c r="M148" i="12"/>
  <c r="M149" i="12"/>
  <c r="M150" i="12"/>
  <c r="M151" i="12"/>
  <c r="M152" i="12"/>
  <c r="M153" i="12"/>
  <c r="M154" i="12"/>
  <c r="M146" i="12"/>
  <c r="L147" i="12"/>
  <c r="L148" i="12"/>
  <c r="L149" i="12"/>
  <c r="L150" i="12"/>
  <c r="L151" i="12"/>
  <c r="L152" i="12"/>
  <c r="L153" i="12"/>
  <c r="L154" i="12"/>
  <c r="L146" i="12"/>
  <c r="F149" i="12"/>
  <c r="G149" i="12" s="1"/>
  <c r="G146" i="12"/>
  <c r="G147" i="12"/>
  <c r="G148" i="12"/>
  <c r="F146" i="12"/>
  <c r="F147" i="12"/>
  <c r="F148" i="12"/>
  <c r="F145" i="12"/>
  <c r="P29" i="5"/>
  <c r="U52" i="21"/>
  <c r="V52" i="21"/>
  <c r="T52" i="21"/>
  <c r="U51" i="21"/>
  <c r="V51" i="21"/>
  <c r="T51" i="21"/>
  <c r="L53" i="5"/>
  <c r="J54" i="21"/>
  <c r="J27" i="12"/>
  <c r="J28" i="12"/>
  <c r="M28" i="12" s="1"/>
  <c r="J29" i="12"/>
  <c r="M29" i="12" s="1"/>
  <c r="J30" i="12"/>
  <c r="M30" i="12" s="1"/>
  <c r="K30" i="12"/>
  <c r="K29" i="12"/>
  <c r="K28" i="12"/>
  <c r="F114" i="1"/>
  <c r="G14" i="15"/>
  <c r="H14" i="15"/>
  <c r="I14" i="15"/>
  <c r="AH18" i="13" s="1"/>
  <c r="BD22" i="13"/>
  <c r="BE22" i="13"/>
  <c r="BF22" i="13"/>
  <c r="BD23" i="13"/>
  <c r="BE23" i="13"/>
  <c r="BF23" i="13"/>
  <c r="BD24" i="13"/>
  <c r="BE24" i="13"/>
  <c r="BF24" i="13"/>
  <c r="BD25" i="13"/>
  <c r="BE25" i="13"/>
  <c r="BF25" i="13"/>
  <c r="BD26" i="13"/>
  <c r="BE26" i="13"/>
  <c r="BF26" i="13"/>
  <c r="BD27" i="13"/>
  <c r="BE27" i="13"/>
  <c r="BF27" i="13"/>
  <c r="BD28" i="13"/>
  <c r="BE28" i="13"/>
  <c r="BF28" i="13"/>
  <c r="BD29" i="13"/>
  <c r="BE29" i="13"/>
  <c r="BF29" i="13"/>
  <c r="BD30" i="13"/>
  <c r="BE30" i="13"/>
  <c r="BF30" i="13"/>
  <c r="BD31" i="13"/>
  <c r="BE31" i="13"/>
  <c r="BF31" i="13"/>
  <c r="BD32" i="13"/>
  <c r="BE32" i="13"/>
  <c r="BF32" i="13"/>
  <c r="BD33" i="13"/>
  <c r="BE33" i="13"/>
  <c r="BF33" i="13"/>
  <c r="BD34" i="13"/>
  <c r="BE34" i="13"/>
  <c r="BF34" i="13"/>
  <c r="BD35" i="13"/>
  <c r="BE35" i="13"/>
  <c r="BF35" i="13"/>
  <c r="BD36" i="13"/>
  <c r="BE36" i="13"/>
  <c r="BF36" i="13"/>
  <c r="BD37" i="13"/>
  <c r="BE37" i="13"/>
  <c r="BF37" i="13"/>
  <c r="BD38" i="13"/>
  <c r="BE38" i="13"/>
  <c r="BF38" i="13"/>
  <c r="BD39" i="13"/>
  <c r="BE39" i="13"/>
  <c r="BF39" i="13"/>
  <c r="BD40" i="13"/>
  <c r="BE40" i="13"/>
  <c r="BF40" i="13"/>
  <c r="BD41" i="13"/>
  <c r="BE41" i="13"/>
  <c r="BF41" i="13"/>
  <c r="BD42" i="13"/>
  <c r="BE42" i="13"/>
  <c r="BF42" i="13"/>
  <c r="BD43" i="13"/>
  <c r="BE43" i="13"/>
  <c r="BF43" i="13"/>
  <c r="BD44" i="13"/>
  <c r="BE44" i="13"/>
  <c r="BF44" i="13"/>
  <c r="BD45" i="13"/>
  <c r="BE45" i="13"/>
  <c r="BF45" i="13"/>
  <c r="BD46" i="13"/>
  <c r="BE46" i="13"/>
  <c r="BF46" i="13"/>
  <c r="BD47" i="13"/>
  <c r="BE47" i="13"/>
  <c r="BF47" i="13"/>
  <c r="BD48" i="13"/>
  <c r="BE48" i="13"/>
  <c r="BF48" i="13"/>
  <c r="BD49" i="13"/>
  <c r="BE49" i="13"/>
  <c r="BF49" i="13"/>
  <c r="BD50" i="13"/>
  <c r="BE50" i="13"/>
  <c r="BF50" i="13"/>
  <c r="BD51" i="13"/>
  <c r="BE51" i="13"/>
  <c r="BF51" i="13"/>
  <c r="BD52" i="13"/>
  <c r="BE52" i="13"/>
  <c r="BF52" i="13"/>
  <c r="BD53" i="13"/>
  <c r="BE53" i="13"/>
  <c r="BF53" i="13"/>
  <c r="BD54" i="13"/>
  <c r="BE54" i="13"/>
  <c r="BF54" i="13"/>
  <c r="BD55" i="13"/>
  <c r="BE55" i="13"/>
  <c r="BF55" i="13"/>
  <c r="BD56" i="13"/>
  <c r="BE56" i="13"/>
  <c r="BF56" i="13"/>
  <c r="BD57" i="13"/>
  <c r="BE57" i="13"/>
  <c r="BF57" i="13"/>
  <c r="BD58" i="13"/>
  <c r="BE58" i="13"/>
  <c r="BF58" i="13"/>
  <c r="BD59" i="13"/>
  <c r="BE59" i="13"/>
  <c r="BF59" i="13"/>
  <c r="AF18" i="13"/>
  <c r="R54" i="21"/>
  <c r="P54" i="21" s="1"/>
  <c r="U50" i="21"/>
  <c r="V50" i="21"/>
  <c r="T50" i="21"/>
  <c r="L51" i="5"/>
  <c r="J53" i="21"/>
  <c r="R52" i="21"/>
  <c r="P52" i="21" s="1"/>
  <c r="N32" i="20"/>
  <c r="J52" i="21"/>
  <c r="W46" i="21"/>
  <c r="AB46" i="21" s="1"/>
  <c r="X46" i="21"/>
  <c r="Y46" i="21"/>
  <c r="U49" i="21"/>
  <c r="V49" i="21"/>
  <c r="T49" i="21"/>
  <c r="T5" i="21"/>
  <c r="T48" i="21"/>
  <c r="S31" i="5"/>
  <c r="S33" i="5"/>
  <c r="S34" i="5"/>
  <c r="L107" i="21"/>
  <c r="M9" i="21"/>
  <c r="M10" i="21" s="1"/>
  <c r="K27" i="12"/>
  <c r="K23" i="12"/>
  <c r="K24" i="12"/>
  <c r="K25" i="12"/>
  <c r="K26" i="12"/>
  <c r="K19" i="13"/>
  <c r="N19" i="13"/>
  <c r="V19" i="13" s="1"/>
  <c r="AR19" i="13" s="1"/>
  <c r="R51" i="21"/>
  <c r="N31" i="20"/>
  <c r="N30" i="20"/>
  <c r="P30" i="20"/>
  <c r="H114" i="1"/>
  <c r="R50" i="21"/>
  <c r="Q50" i="21" s="1"/>
  <c r="Q26" i="5"/>
  <c r="P26" i="5"/>
  <c r="P25" i="5"/>
  <c r="J50" i="21"/>
  <c r="J51" i="21"/>
  <c r="U48" i="21"/>
  <c r="V48" i="21"/>
  <c r="K11" i="13"/>
  <c r="K12" i="13"/>
  <c r="K13" i="13"/>
  <c r="K14" i="13"/>
  <c r="K15" i="13"/>
  <c r="K16" i="13"/>
  <c r="K17" i="13"/>
  <c r="K18" i="13"/>
  <c r="K10" i="13"/>
  <c r="AG18" i="13"/>
  <c r="N29" i="20"/>
  <c r="P29" i="20" s="1"/>
  <c r="J49" i="21"/>
  <c r="AB47" i="21"/>
  <c r="Z10" i="12"/>
  <c r="Z9" i="12"/>
  <c r="U45" i="21"/>
  <c r="V45" i="21"/>
  <c r="T45" i="21"/>
  <c r="U44" i="21"/>
  <c r="V44" i="21"/>
  <c r="T44" i="21"/>
  <c r="I13" i="15"/>
  <c r="G13" i="15"/>
  <c r="I84" i="1"/>
  <c r="K84" i="1" s="1"/>
  <c r="M84" i="1" s="1"/>
  <c r="I85" i="1"/>
  <c r="K85" i="1" s="1"/>
  <c r="M85" i="1" s="1"/>
  <c r="I86" i="1"/>
  <c r="K86" i="1" s="1"/>
  <c r="M86" i="1" s="1"/>
  <c r="I87" i="1"/>
  <c r="L87" i="1" s="1"/>
  <c r="I88" i="1"/>
  <c r="K88" i="1" s="1"/>
  <c r="M88" i="1" s="1"/>
  <c r="I89" i="1"/>
  <c r="L89" i="1" s="1"/>
  <c r="I90" i="1"/>
  <c r="K90" i="1" s="1"/>
  <c r="M90" i="1" s="1"/>
  <c r="I91" i="1"/>
  <c r="K91" i="1" s="1"/>
  <c r="M91" i="1" s="1"/>
  <c r="I92" i="1"/>
  <c r="K92" i="1" s="1"/>
  <c r="M92" i="1" s="1"/>
  <c r="I93" i="1"/>
  <c r="K93" i="1" s="1"/>
  <c r="M93" i="1" s="1"/>
  <c r="I94" i="1"/>
  <c r="K94" i="1" s="1"/>
  <c r="M94" i="1" s="1"/>
  <c r="I95" i="1"/>
  <c r="L95" i="1" s="1"/>
  <c r="I96" i="1"/>
  <c r="K96" i="1"/>
  <c r="M96" i="1" s="1"/>
  <c r="L96" i="1"/>
  <c r="I97" i="1"/>
  <c r="L97" i="1" s="1"/>
  <c r="I98" i="1"/>
  <c r="K98" i="1" s="1"/>
  <c r="M98" i="1" s="1"/>
  <c r="I99" i="1"/>
  <c r="K99" i="1" s="1"/>
  <c r="M99" i="1" s="1"/>
  <c r="I100" i="1"/>
  <c r="L100" i="1" s="1"/>
  <c r="I101" i="1"/>
  <c r="K101" i="1" s="1"/>
  <c r="M101" i="1" s="1"/>
  <c r="I102" i="1"/>
  <c r="L102" i="1" s="1"/>
  <c r="I103" i="1"/>
  <c r="K103" i="1" s="1"/>
  <c r="M103" i="1" s="1"/>
  <c r="I68" i="1"/>
  <c r="K68" i="1" s="1"/>
  <c r="M68" i="1" s="1"/>
  <c r="I69" i="1"/>
  <c r="K69" i="1" s="1"/>
  <c r="M69" i="1" s="1"/>
  <c r="I70" i="1"/>
  <c r="K70" i="1" s="1"/>
  <c r="M70" i="1" s="1"/>
  <c r="I71" i="1"/>
  <c r="L71" i="1" s="1"/>
  <c r="I72" i="1"/>
  <c r="K72" i="1" s="1"/>
  <c r="M72" i="1" s="1"/>
  <c r="I73" i="1"/>
  <c r="K73" i="1" s="1"/>
  <c r="M73" i="1" s="1"/>
  <c r="I74" i="1"/>
  <c r="K74" i="1" s="1"/>
  <c r="M74" i="1" s="1"/>
  <c r="I75" i="1"/>
  <c r="K75" i="1" s="1"/>
  <c r="M75" i="1" s="1"/>
  <c r="L75" i="1"/>
  <c r="I40" i="1"/>
  <c r="L40" i="1" s="1"/>
  <c r="I41" i="1"/>
  <c r="K41" i="1" s="1"/>
  <c r="M41" i="1" s="1"/>
  <c r="I42" i="1"/>
  <c r="K42" i="1" s="1"/>
  <c r="M42" i="1" s="1"/>
  <c r="I43" i="1"/>
  <c r="L43" i="1" s="1"/>
  <c r="I44" i="1"/>
  <c r="K44" i="1" s="1"/>
  <c r="M44" i="1" s="1"/>
  <c r="I45" i="1"/>
  <c r="K45" i="1" s="1"/>
  <c r="M45" i="1" s="1"/>
  <c r="I46" i="1"/>
  <c r="L46" i="1" s="1"/>
  <c r="I47" i="1"/>
  <c r="L47" i="1" s="1"/>
  <c r="I48" i="1"/>
  <c r="L48" i="1" s="1"/>
  <c r="I49" i="1"/>
  <c r="K49" i="1" s="1"/>
  <c r="M49" i="1" s="1"/>
  <c r="I50" i="1"/>
  <c r="K50" i="1" s="1"/>
  <c r="M50" i="1" s="1"/>
  <c r="R50" i="1"/>
  <c r="R53" i="1" s="1"/>
  <c r="R55" i="1" s="1"/>
  <c r="I51" i="1"/>
  <c r="K51" i="1" s="1"/>
  <c r="M51" i="1" s="1"/>
  <c r="I52" i="1"/>
  <c r="K52" i="1"/>
  <c r="M52" i="1" s="1"/>
  <c r="L52" i="1"/>
  <c r="I53" i="1"/>
  <c r="K53" i="1" s="1"/>
  <c r="M53" i="1" s="1"/>
  <c r="I54" i="1"/>
  <c r="K54" i="1" s="1"/>
  <c r="M54" i="1" s="1"/>
  <c r="I55" i="1"/>
  <c r="K55" i="1" s="1"/>
  <c r="M55" i="1" s="1"/>
  <c r="I56" i="1"/>
  <c r="L56" i="1" s="1"/>
  <c r="I57" i="1"/>
  <c r="K57" i="1" s="1"/>
  <c r="M57" i="1" s="1"/>
  <c r="I58" i="1"/>
  <c r="L58" i="1" s="1"/>
  <c r="S58" i="1"/>
  <c r="S59" i="1" s="1"/>
  <c r="I59" i="1"/>
  <c r="L59" i="1" s="1"/>
  <c r="I28" i="1"/>
  <c r="K28" i="1" s="1"/>
  <c r="M28" i="1" s="1"/>
  <c r="I29" i="1"/>
  <c r="K29" i="1" s="1"/>
  <c r="M29" i="1" s="1"/>
  <c r="I30" i="1"/>
  <c r="L30" i="1" s="1"/>
  <c r="I31" i="1"/>
  <c r="L31" i="1" s="1"/>
  <c r="I24" i="1"/>
  <c r="K24" i="1" s="1"/>
  <c r="M24" i="1" s="1"/>
  <c r="I25" i="1"/>
  <c r="K25" i="1" s="1"/>
  <c r="M25" i="1" s="1"/>
  <c r="L76" i="1"/>
  <c r="AT21" i="13" l="1"/>
  <c r="BD21" i="13"/>
  <c r="K31" i="1"/>
  <c r="M31" i="1" s="1"/>
  <c r="L92" i="1"/>
  <c r="L50" i="1"/>
  <c r="K47" i="1"/>
  <c r="M47" i="1" s="1"/>
  <c r="K97" i="1"/>
  <c r="M97" i="1" s="1"/>
  <c r="K59" i="1"/>
  <c r="M59" i="1" s="1"/>
  <c r="L51" i="1"/>
  <c r="K58" i="1"/>
  <c r="M58" i="1" s="1"/>
  <c r="K48" i="1"/>
  <c r="M48" i="1" s="1"/>
  <c r="K89" i="1"/>
  <c r="M89" i="1" s="1"/>
  <c r="K30" i="1"/>
  <c r="M30" i="1" s="1"/>
  <c r="L53" i="1"/>
  <c r="N52" i="1" s="1"/>
  <c r="K46" i="1"/>
  <c r="M46" i="1" s="1"/>
  <c r="K43" i="1"/>
  <c r="M43" i="1" s="1"/>
  <c r="L42" i="1"/>
  <c r="N42" i="1" s="1"/>
  <c r="K100" i="1"/>
  <c r="M100" i="1" s="1"/>
  <c r="K102" i="1"/>
  <c r="M102" i="1" s="1"/>
  <c r="L49" i="1"/>
  <c r="N48" i="1" s="1"/>
  <c r="L73" i="1"/>
  <c r="L72" i="1"/>
  <c r="L101" i="1"/>
  <c r="N100" i="1" s="1"/>
  <c r="K87" i="1"/>
  <c r="M87" i="1" s="1"/>
  <c r="K71" i="1"/>
  <c r="M71" i="1" s="1"/>
  <c r="L93" i="1"/>
  <c r="N92" i="1" s="1"/>
  <c r="K40" i="1"/>
  <c r="M40" i="1" s="1"/>
  <c r="L85" i="1"/>
  <c r="N46" i="1"/>
  <c r="L57" i="1"/>
  <c r="N56" i="1" s="1"/>
  <c r="L74" i="1"/>
  <c r="N74" i="1" s="1"/>
  <c r="L68" i="1"/>
  <c r="K56" i="1"/>
  <c r="M56" i="1" s="1"/>
  <c r="N96" i="1"/>
  <c r="L103" i="1"/>
  <c r="N102" i="1" s="1"/>
  <c r="X20" i="13"/>
  <c r="Z20" i="13"/>
  <c r="Y20" i="13"/>
  <c r="W63" i="21"/>
  <c r="X63" i="21"/>
  <c r="Y63" i="21"/>
  <c r="M64" i="21"/>
  <c r="N63" i="21" s="1"/>
  <c r="L99" i="1"/>
  <c r="K95" i="1"/>
  <c r="M95" i="1" s="1"/>
  <c r="L94" i="1"/>
  <c r="N94" i="1" s="1"/>
  <c r="Z19" i="13"/>
  <c r="Z13" i="12"/>
  <c r="Y19" i="13"/>
  <c r="X19" i="13"/>
  <c r="F154" i="12"/>
  <c r="G145" i="12"/>
  <c r="L91" i="1"/>
  <c r="L90" i="1"/>
  <c r="M11" i="21"/>
  <c r="P50" i="21"/>
  <c r="Q54" i="21"/>
  <c r="Q52" i="21"/>
  <c r="L88" i="1"/>
  <c r="Q51" i="21"/>
  <c r="P51" i="21"/>
  <c r="L86" i="1"/>
  <c r="N86" i="1" s="1"/>
  <c r="C46" i="7" s="1"/>
  <c r="L84" i="1"/>
  <c r="N84" i="1"/>
  <c r="C45" i="7" s="1"/>
  <c r="L55" i="1"/>
  <c r="L45" i="1"/>
  <c r="L70" i="1"/>
  <c r="N70" i="1" s="1"/>
  <c r="L98" i="1"/>
  <c r="N58" i="1"/>
  <c r="L54" i="1"/>
  <c r="L69" i="1"/>
  <c r="L44" i="1"/>
  <c r="N30" i="1"/>
  <c r="L41" i="1"/>
  <c r="N40" i="1" s="1"/>
  <c r="L28" i="1"/>
  <c r="L29" i="1"/>
  <c r="N28" i="1" s="1"/>
  <c r="L24" i="1"/>
  <c r="L25" i="1"/>
  <c r="N50" i="1" l="1"/>
  <c r="N72" i="1"/>
  <c r="N44" i="1"/>
  <c r="N24" i="1"/>
  <c r="N54" i="1"/>
  <c r="N68" i="1"/>
  <c r="M65" i="21"/>
  <c r="S61" i="21" s="1"/>
  <c r="N98" i="1"/>
  <c r="F155" i="12"/>
  <c r="N90" i="1"/>
  <c r="N88" i="1"/>
  <c r="C47" i="7" s="1"/>
  <c r="L34" i="12"/>
  <c r="O65" i="21" l="1"/>
  <c r="C48" i="7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N28" i="20"/>
  <c r="P28" i="20"/>
  <c r="J48" i="21"/>
  <c r="G47" i="5"/>
  <c r="P26" i="20"/>
  <c r="N26" i="20"/>
  <c r="N27" i="20"/>
  <c r="P27" i="20" s="1"/>
  <c r="H25" i="20"/>
  <c r="H26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F20" i="20"/>
  <c r="H20" i="20" s="1"/>
  <c r="F21" i="20"/>
  <c r="H21" i="20" s="1"/>
  <c r="F22" i="20"/>
  <c r="H22" i="20" s="1"/>
  <c r="F23" i="20"/>
  <c r="H23" i="20" s="1"/>
  <c r="F24" i="20"/>
  <c r="H24" i="20" s="1"/>
  <c r="F25" i="20"/>
  <c r="F26" i="20"/>
  <c r="F27" i="20"/>
  <c r="H27" i="20" s="1"/>
  <c r="H6" i="15"/>
  <c r="I6" i="15"/>
  <c r="G6" i="15"/>
  <c r="U43" i="21"/>
  <c r="V43" i="21"/>
  <c r="T43" i="21"/>
  <c r="I82" i="1"/>
  <c r="L82" i="1" s="1"/>
  <c r="R11" i="20" l="1"/>
  <c r="K82" i="1"/>
  <c r="M82" i="1" s="1"/>
  <c r="Q25" i="5"/>
  <c r="R25" i="5" s="1"/>
  <c r="L44" i="7" s="1"/>
  <c r="L45" i="5"/>
  <c r="D58" i="6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7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6" i="7"/>
  <c r="N47" i="7"/>
  <c r="N48" i="7"/>
  <c r="N49" i="7"/>
  <c r="N51" i="7"/>
  <c r="N52" i="7"/>
  <c r="N53" i="7"/>
  <c r="N54" i="7"/>
  <c r="N55" i="7"/>
  <c r="N24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5" i="7"/>
  <c r="N45" i="7" s="1"/>
  <c r="C28" i="7"/>
  <c r="G28" i="7" s="1"/>
  <c r="H28" i="7" s="1"/>
  <c r="C30" i="7"/>
  <c r="G30" i="7" s="1"/>
  <c r="H30" i="7" s="1"/>
  <c r="C32" i="7"/>
  <c r="E32" i="7" s="1"/>
  <c r="C40" i="7"/>
  <c r="G40" i="7" s="1"/>
  <c r="H40" i="7" s="1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E45" i="7"/>
  <c r="E46" i="7"/>
  <c r="I46" i="7"/>
  <c r="I47" i="7"/>
  <c r="G48" i="7"/>
  <c r="H48" i="7" s="1"/>
  <c r="I48" i="7"/>
  <c r="I49" i="7"/>
  <c r="E49" i="7"/>
  <c r="I24" i="7"/>
  <c r="R46" i="21"/>
  <c r="P46" i="21" s="1"/>
  <c r="N18" i="13"/>
  <c r="N25" i="20"/>
  <c r="P25" i="20" s="1"/>
  <c r="F19" i="20"/>
  <c r="H19" i="20"/>
  <c r="R43" i="21"/>
  <c r="P43" i="21" s="1"/>
  <c r="R44" i="21"/>
  <c r="P44" i="21" s="1"/>
  <c r="R45" i="21"/>
  <c r="P45" i="21" s="1"/>
  <c r="I79" i="1"/>
  <c r="K79" i="1" s="1"/>
  <c r="M79" i="1" s="1"/>
  <c r="F37" i="7"/>
  <c r="U42" i="21"/>
  <c r="Y18" i="13" s="1"/>
  <c r="V42" i="21"/>
  <c r="Z18" i="13" s="1"/>
  <c r="T42" i="21"/>
  <c r="X18" i="13" s="1"/>
  <c r="J45" i="21"/>
  <c r="AF17" i="13"/>
  <c r="H13" i="15"/>
  <c r="AG17" i="13" s="1"/>
  <c r="AH17" i="13"/>
  <c r="G44" i="5"/>
  <c r="J44" i="5"/>
  <c r="G43" i="5"/>
  <c r="J43" i="5"/>
  <c r="L43" i="5"/>
  <c r="P24" i="5"/>
  <c r="G42" i="5"/>
  <c r="P23" i="5"/>
  <c r="Q23" i="5"/>
  <c r="Q24" i="5"/>
  <c r="P22" i="5"/>
  <c r="J42" i="5"/>
  <c r="L41" i="5"/>
  <c r="J44" i="21"/>
  <c r="U41" i="21"/>
  <c r="V41" i="21"/>
  <c r="T41" i="21"/>
  <c r="U40" i="21"/>
  <c r="V40" i="21"/>
  <c r="T40" i="21"/>
  <c r="U39" i="21"/>
  <c r="V39" i="21"/>
  <c r="T39" i="21"/>
  <c r="Y17" i="13"/>
  <c r="Z17" i="13"/>
  <c r="X17" i="13"/>
  <c r="AG16" i="13"/>
  <c r="J43" i="21"/>
  <c r="AH16" i="13"/>
  <c r="AF16" i="13"/>
  <c r="H12" i="15"/>
  <c r="I12" i="15"/>
  <c r="G12" i="15"/>
  <c r="I78" i="1"/>
  <c r="L78" i="1" s="1"/>
  <c r="I80" i="1"/>
  <c r="L80" i="1" s="1"/>
  <c r="I6" i="1"/>
  <c r="L6" i="1" s="1"/>
  <c r="I7" i="1"/>
  <c r="K7" i="1" s="1"/>
  <c r="M7" i="1" s="1"/>
  <c r="I8" i="1"/>
  <c r="L8" i="1" s="1"/>
  <c r="I9" i="1"/>
  <c r="L9" i="1" s="1"/>
  <c r="I10" i="1"/>
  <c r="L10" i="1" s="1"/>
  <c r="I11" i="1"/>
  <c r="L11" i="1" s="1"/>
  <c r="I12" i="1"/>
  <c r="K12" i="1" s="1"/>
  <c r="M12" i="1" s="1"/>
  <c r="I13" i="1"/>
  <c r="K13" i="1" s="1"/>
  <c r="M13" i="1" s="1"/>
  <c r="I14" i="1"/>
  <c r="L14" i="1" s="1"/>
  <c r="I15" i="1"/>
  <c r="K15" i="1" s="1"/>
  <c r="M15" i="1" s="1"/>
  <c r="I16" i="1"/>
  <c r="L16" i="1" s="1"/>
  <c r="I17" i="1"/>
  <c r="K17" i="1" s="1"/>
  <c r="M17" i="1" s="1"/>
  <c r="I18" i="1"/>
  <c r="K18" i="1" s="1"/>
  <c r="M18" i="1" s="1"/>
  <c r="I19" i="1"/>
  <c r="L19" i="1" s="1"/>
  <c r="I20" i="1"/>
  <c r="K20" i="1" s="1"/>
  <c r="I21" i="1"/>
  <c r="L21" i="1" s="1"/>
  <c r="I22" i="1"/>
  <c r="L22" i="1" s="1"/>
  <c r="I23" i="1"/>
  <c r="L23" i="1" s="1"/>
  <c r="I26" i="1"/>
  <c r="K26" i="1" s="1"/>
  <c r="M26" i="1" s="1"/>
  <c r="I27" i="1"/>
  <c r="L27" i="1" s="1"/>
  <c r="I32" i="1"/>
  <c r="K32" i="1" s="1"/>
  <c r="M32" i="1" s="1"/>
  <c r="I33" i="1"/>
  <c r="K33" i="1" s="1"/>
  <c r="M33" i="1" s="1"/>
  <c r="I34" i="1"/>
  <c r="L34" i="1" s="1"/>
  <c r="I35" i="1"/>
  <c r="L35" i="1" s="1"/>
  <c r="I36" i="1"/>
  <c r="K36" i="1" s="1"/>
  <c r="M36" i="1" s="1"/>
  <c r="I37" i="1"/>
  <c r="L37" i="1" s="1"/>
  <c r="I38" i="1"/>
  <c r="L38" i="1" s="1"/>
  <c r="I39" i="1"/>
  <c r="K39" i="1" s="1"/>
  <c r="M39" i="1" s="1"/>
  <c r="I60" i="1"/>
  <c r="L60" i="1" s="1"/>
  <c r="I61" i="1"/>
  <c r="L61" i="1" s="1"/>
  <c r="I62" i="1"/>
  <c r="K62" i="1" s="1"/>
  <c r="M62" i="1" s="1"/>
  <c r="I63" i="1"/>
  <c r="L63" i="1" s="1"/>
  <c r="I64" i="1"/>
  <c r="L64" i="1" s="1"/>
  <c r="I65" i="1"/>
  <c r="K65" i="1" s="1"/>
  <c r="M65" i="1" s="1"/>
  <c r="I66" i="1"/>
  <c r="L66" i="1" s="1"/>
  <c r="I67" i="1"/>
  <c r="L67" i="1" s="1"/>
  <c r="I77" i="1"/>
  <c r="L77" i="1" s="1"/>
  <c r="I81" i="1"/>
  <c r="L81" i="1" s="1"/>
  <c r="I83" i="1"/>
  <c r="L83" i="1" s="1"/>
  <c r="R42" i="21"/>
  <c r="P42" i="21" s="1"/>
  <c r="F15" i="7"/>
  <c r="F17" i="7"/>
  <c r="F20" i="7"/>
  <c r="F21" i="7"/>
  <c r="F22" i="7"/>
  <c r="F23" i="7"/>
  <c r="F36" i="7"/>
  <c r="G19" i="7"/>
  <c r="G45" i="7"/>
  <c r="H45" i="7" s="1"/>
  <c r="G49" i="7"/>
  <c r="H49" i="7" s="1"/>
  <c r="J42" i="21"/>
  <c r="Z27" i="7"/>
  <c r="Z10" i="7"/>
  <c r="D59" i="6"/>
  <c r="F5" i="20"/>
  <c r="H5" i="20" s="1"/>
  <c r="N20" i="20"/>
  <c r="P20" i="20"/>
  <c r="N21" i="20"/>
  <c r="P21" i="20" s="1"/>
  <c r="N22" i="20"/>
  <c r="P22" i="20"/>
  <c r="N23" i="20"/>
  <c r="P23" i="20" s="1"/>
  <c r="N24" i="20"/>
  <c r="P24" i="20"/>
  <c r="V12" i="5"/>
  <c r="Q22" i="5"/>
  <c r="S22" i="5"/>
  <c r="S23" i="5"/>
  <c r="S24" i="5"/>
  <c r="S17" i="5"/>
  <c r="R17" i="5"/>
  <c r="Q17" i="5"/>
  <c r="R14" i="5"/>
  <c r="Q14" i="5"/>
  <c r="S14" i="5"/>
  <c r="S13" i="5"/>
  <c r="S12" i="5"/>
  <c r="S11" i="5"/>
  <c r="S10" i="5"/>
  <c r="S9" i="5"/>
  <c r="S8" i="5"/>
  <c r="S7" i="5"/>
  <c r="S6" i="5"/>
  <c r="S5" i="5"/>
  <c r="N17" i="13"/>
  <c r="R41" i="21"/>
  <c r="P41" i="21" s="1"/>
  <c r="J41" i="21"/>
  <c r="L37" i="5"/>
  <c r="L35" i="5"/>
  <c r="Z15" i="12"/>
  <c r="T17" i="13"/>
  <c r="T18" i="13"/>
  <c r="A18" i="13" s="1"/>
  <c r="U38" i="21"/>
  <c r="V38" i="21"/>
  <c r="T38" i="21"/>
  <c r="R40" i="21"/>
  <c r="P40" i="21" s="1"/>
  <c r="Z40" i="21"/>
  <c r="J40" i="21" s="1"/>
  <c r="L27" i="5"/>
  <c r="L29" i="5"/>
  <c r="L31" i="5"/>
  <c r="L33" i="5"/>
  <c r="L25" i="5"/>
  <c r="L17" i="5"/>
  <c r="L19" i="5"/>
  <c r="L21" i="5"/>
  <c r="L23" i="5"/>
  <c r="L15" i="5"/>
  <c r="L13" i="5"/>
  <c r="L11" i="5"/>
  <c r="L9" i="5"/>
  <c r="L7" i="5"/>
  <c r="L5" i="5"/>
  <c r="U37" i="21"/>
  <c r="V37" i="21"/>
  <c r="T37" i="21"/>
  <c r="T36" i="21"/>
  <c r="N8" i="20"/>
  <c r="P8" i="20"/>
  <c r="F8" i="20"/>
  <c r="H8" i="20"/>
  <c r="AB33" i="21"/>
  <c r="Z39" i="21"/>
  <c r="J39" i="21" s="1"/>
  <c r="R38" i="21"/>
  <c r="P38" i="21" s="1"/>
  <c r="R39" i="21"/>
  <c r="P39" i="21" s="1"/>
  <c r="R37" i="21"/>
  <c r="Q37" i="21" s="1"/>
  <c r="R36" i="21"/>
  <c r="Q36" i="21" s="1"/>
  <c r="R35" i="21"/>
  <c r="Q35" i="21" s="1"/>
  <c r="P20" i="5"/>
  <c r="Y16" i="13"/>
  <c r="P100" i="13" s="1"/>
  <c r="Z16" i="13"/>
  <c r="Q100" i="13" s="1"/>
  <c r="X16" i="13"/>
  <c r="O100" i="13" s="1"/>
  <c r="J39" i="5"/>
  <c r="K39" i="5"/>
  <c r="K42" i="5"/>
  <c r="K43" i="5"/>
  <c r="K44" i="5"/>
  <c r="G45" i="5"/>
  <c r="J45" i="5"/>
  <c r="K45" i="5"/>
  <c r="J54" i="5"/>
  <c r="K54" i="5" s="1"/>
  <c r="J55" i="5"/>
  <c r="K55" i="5"/>
  <c r="J56" i="5"/>
  <c r="K56" i="5" s="1"/>
  <c r="J59" i="5"/>
  <c r="K59" i="5"/>
  <c r="J60" i="5"/>
  <c r="K60" i="5"/>
  <c r="P19" i="5"/>
  <c r="P18" i="5"/>
  <c r="P17" i="5"/>
  <c r="P16" i="5"/>
  <c r="P15" i="5"/>
  <c r="P14" i="5"/>
  <c r="P13" i="5"/>
  <c r="P12" i="5"/>
  <c r="P11" i="5"/>
  <c r="P10" i="5"/>
  <c r="P9" i="5"/>
  <c r="J14" i="5"/>
  <c r="G14" i="5"/>
  <c r="K14" i="5"/>
  <c r="U36" i="21"/>
  <c r="V36" i="21"/>
  <c r="U35" i="21"/>
  <c r="V35" i="21"/>
  <c r="T35" i="21"/>
  <c r="T16" i="13"/>
  <c r="N16" i="13"/>
  <c r="V16" i="13" s="1"/>
  <c r="AR16" i="13" s="1"/>
  <c r="Z38" i="21"/>
  <c r="J38" i="21" s="1"/>
  <c r="J37" i="21"/>
  <c r="J36" i="21"/>
  <c r="Q16" i="21"/>
  <c r="P16" i="21" s="1"/>
  <c r="R6" i="21"/>
  <c r="Q6" i="21"/>
  <c r="G11" i="5"/>
  <c r="G10" i="5"/>
  <c r="R10" i="21"/>
  <c r="Q10" i="21" s="1"/>
  <c r="G7" i="5"/>
  <c r="G6" i="5"/>
  <c r="J6" i="5"/>
  <c r="K6" i="5"/>
  <c r="G15" i="5"/>
  <c r="G11" i="15"/>
  <c r="AF15" i="13"/>
  <c r="I44" i="4"/>
  <c r="I46" i="4"/>
  <c r="I48" i="4"/>
  <c r="I50" i="4"/>
  <c r="I52" i="4"/>
  <c r="I53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7" i="4"/>
  <c r="I98" i="4"/>
  <c r="I36" i="4"/>
  <c r="I38" i="4"/>
  <c r="I40" i="4"/>
  <c r="I42" i="4"/>
  <c r="AI8" i="21"/>
  <c r="J35" i="21"/>
  <c r="H6" i="21"/>
  <c r="H7" i="21" s="1"/>
  <c r="M102" i="21"/>
  <c r="Y102" i="21" s="1"/>
  <c r="M98" i="21"/>
  <c r="X98" i="21" s="1"/>
  <c r="M97" i="21"/>
  <c r="X97" i="21" s="1"/>
  <c r="T96" i="21"/>
  <c r="R96" i="21"/>
  <c r="P96" i="21"/>
  <c r="M96" i="21"/>
  <c r="M95" i="21"/>
  <c r="X95" i="21" s="1"/>
  <c r="T94" i="21"/>
  <c r="U94" i="21" s="1"/>
  <c r="V94" i="21" s="1"/>
  <c r="R94" i="21"/>
  <c r="P94" i="21"/>
  <c r="M94" i="21"/>
  <c r="M93" i="21"/>
  <c r="Y93" i="21" s="1"/>
  <c r="T92" i="21"/>
  <c r="R92" i="21"/>
  <c r="P92" i="21"/>
  <c r="M92" i="21"/>
  <c r="M91" i="21"/>
  <c r="Y91" i="21" s="1"/>
  <c r="T90" i="21"/>
  <c r="U90" i="21" s="1"/>
  <c r="R90" i="21"/>
  <c r="P90" i="21"/>
  <c r="M90" i="21"/>
  <c r="M89" i="21"/>
  <c r="X89" i="21" s="1"/>
  <c r="T88" i="21"/>
  <c r="R88" i="21"/>
  <c r="P88" i="21"/>
  <c r="M88" i="21"/>
  <c r="M87" i="21"/>
  <c r="Y87" i="21" s="1"/>
  <c r="T86" i="21"/>
  <c r="R86" i="21"/>
  <c r="P86" i="21"/>
  <c r="M86" i="21"/>
  <c r="M85" i="21"/>
  <c r="X85" i="21" s="1"/>
  <c r="T84" i="21"/>
  <c r="R84" i="21"/>
  <c r="P84" i="21"/>
  <c r="M84" i="21"/>
  <c r="M83" i="21"/>
  <c r="X83" i="21" s="1"/>
  <c r="T82" i="21"/>
  <c r="U82" i="21" s="1"/>
  <c r="R82" i="21"/>
  <c r="P82" i="21"/>
  <c r="M82" i="21"/>
  <c r="AD81" i="21"/>
  <c r="M81" i="21"/>
  <c r="Y81" i="21" s="1"/>
  <c r="R80" i="21"/>
  <c r="M80" i="21"/>
  <c r="W80" i="21" s="1"/>
  <c r="M79" i="21"/>
  <c r="X79" i="21" s="1"/>
  <c r="R78" i="21"/>
  <c r="X78" i="21"/>
  <c r="Y75" i="21"/>
  <c r="R74" i="21"/>
  <c r="M74" i="21"/>
  <c r="W74" i="21" s="1"/>
  <c r="M73" i="21"/>
  <c r="W73" i="21" s="1"/>
  <c r="R72" i="21"/>
  <c r="M72" i="21"/>
  <c r="W72" i="21" s="1"/>
  <c r="M71" i="21"/>
  <c r="Y71" i="21" s="1"/>
  <c r="R70" i="21"/>
  <c r="M70" i="21"/>
  <c r="X70" i="21" s="1"/>
  <c r="M69" i="21"/>
  <c r="Y69" i="21" s="1"/>
  <c r="R68" i="21"/>
  <c r="M68" i="21"/>
  <c r="Y68" i="21" s="1"/>
  <c r="M67" i="21"/>
  <c r="Y67" i="21" s="1"/>
  <c r="M66" i="21"/>
  <c r="X65" i="21"/>
  <c r="Y64" i="21"/>
  <c r="M60" i="21"/>
  <c r="M34" i="21"/>
  <c r="O34" i="21" s="1"/>
  <c r="M32" i="21"/>
  <c r="Y32" i="21" s="1"/>
  <c r="V31" i="21"/>
  <c r="U31" i="21"/>
  <c r="T31" i="21"/>
  <c r="V30" i="21"/>
  <c r="U30" i="21"/>
  <c r="T30" i="21"/>
  <c r="V29" i="21"/>
  <c r="U29" i="21"/>
  <c r="T29" i="21"/>
  <c r="V28" i="21"/>
  <c r="U28" i="21"/>
  <c r="T28" i="21"/>
  <c r="P28" i="21"/>
  <c r="V27" i="21"/>
  <c r="U27" i="21"/>
  <c r="T27" i="21"/>
  <c r="V26" i="21"/>
  <c r="U26" i="21"/>
  <c r="T26" i="21"/>
  <c r="V25" i="21"/>
  <c r="U25" i="21"/>
  <c r="T25" i="21"/>
  <c r="M24" i="21"/>
  <c r="AM7" i="21"/>
  <c r="AM8" i="21" s="1"/>
  <c r="V23" i="21"/>
  <c r="U23" i="21"/>
  <c r="T23" i="21"/>
  <c r="V22" i="21"/>
  <c r="U22" i="21"/>
  <c r="T22" i="21"/>
  <c r="V21" i="21"/>
  <c r="U21" i="21"/>
  <c r="T21" i="21"/>
  <c r="V20" i="21"/>
  <c r="U20" i="21"/>
  <c r="T20" i="21"/>
  <c r="H20" i="21"/>
  <c r="V19" i="21"/>
  <c r="U19" i="21"/>
  <c r="T19" i="21"/>
  <c r="V18" i="21"/>
  <c r="U18" i="21"/>
  <c r="T18" i="21"/>
  <c r="Q18" i="21"/>
  <c r="P18" i="21"/>
  <c r="V17" i="21"/>
  <c r="U17" i="21"/>
  <c r="T17" i="21"/>
  <c r="V16" i="21"/>
  <c r="U16" i="21"/>
  <c r="T16" i="21"/>
  <c r="H16" i="21"/>
  <c r="M15" i="21"/>
  <c r="W15" i="21" s="1"/>
  <c r="AB15" i="21" s="1"/>
  <c r="M14" i="21"/>
  <c r="W14" i="21" s="1"/>
  <c r="AB14" i="21" s="1"/>
  <c r="M13" i="21"/>
  <c r="Y13" i="21" s="1"/>
  <c r="M12" i="21"/>
  <c r="Y12" i="21" s="1"/>
  <c r="AI9" i="21"/>
  <c r="V11" i="21"/>
  <c r="U11" i="21"/>
  <c r="T11" i="21"/>
  <c r="V10" i="21"/>
  <c r="U10" i="21"/>
  <c r="T10" i="21"/>
  <c r="V9" i="21"/>
  <c r="U9" i="21"/>
  <c r="T9" i="21"/>
  <c r="H9" i="21"/>
  <c r="V8" i="21"/>
  <c r="U8" i="21"/>
  <c r="T8" i="21"/>
  <c r="V7" i="21"/>
  <c r="U7" i="21"/>
  <c r="T7" i="21"/>
  <c r="V6" i="21"/>
  <c r="U6" i="21"/>
  <c r="T6" i="21"/>
  <c r="V5" i="21"/>
  <c r="U5" i="21"/>
  <c r="M5" i="21"/>
  <c r="W5" i="21" s="1"/>
  <c r="J5" i="21"/>
  <c r="I11" i="15"/>
  <c r="AH15" i="13"/>
  <c r="H11" i="15"/>
  <c r="AG15" i="13"/>
  <c r="H10" i="15"/>
  <c r="I10" i="15"/>
  <c r="G10" i="15"/>
  <c r="J11" i="5"/>
  <c r="K11" i="5"/>
  <c r="R15" i="21"/>
  <c r="Q15" i="21" s="1"/>
  <c r="J15" i="5"/>
  <c r="K15" i="5"/>
  <c r="J7" i="5"/>
  <c r="K7" i="5"/>
  <c r="J10" i="5"/>
  <c r="K10" i="5"/>
  <c r="R7" i="21"/>
  <c r="Q7" i="21" s="1"/>
  <c r="R11" i="21"/>
  <c r="Q11" i="21" s="1"/>
  <c r="AI60" i="13"/>
  <c r="AG14" i="13"/>
  <c r="V98" i="13" s="1"/>
  <c r="AH14" i="13"/>
  <c r="W98" i="13" s="1"/>
  <c r="AF14" i="13"/>
  <c r="U98" i="13" s="1"/>
  <c r="U31" i="4"/>
  <c r="V31" i="4"/>
  <c r="T31" i="4"/>
  <c r="X15" i="13" s="1"/>
  <c r="O99" i="13" s="1"/>
  <c r="U30" i="4"/>
  <c r="V30" i="4"/>
  <c r="T30" i="4"/>
  <c r="U29" i="4"/>
  <c r="V29" i="4"/>
  <c r="T29" i="4"/>
  <c r="U28" i="4"/>
  <c r="V28" i="4"/>
  <c r="T28" i="4"/>
  <c r="U27" i="4"/>
  <c r="V27" i="4"/>
  <c r="T27" i="4"/>
  <c r="U26" i="4"/>
  <c r="V26" i="4"/>
  <c r="T26" i="4"/>
  <c r="F18" i="20"/>
  <c r="H18" i="20"/>
  <c r="N12" i="20"/>
  <c r="P12" i="20" s="1"/>
  <c r="N13" i="20"/>
  <c r="P13" i="20" s="1"/>
  <c r="N14" i="20"/>
  <c r="P14" i="20"/>
  <c r="F14" i="20"/>
  <c r="H14" i="20" s="1"/>
  <c r="F13" i="20"/>
  <c r="H13" i="20"/>
  <c r="N11" i="20"/>
  <c r="P11" i="20" s="1"/>
  <c r="F12" i="20"/>
  <c r="H12" i="20"/>
  <c r="F11" i="20"/>
  <c r="H11" i="20"/>
  <c r="N18" i="20"/>
  <c r="P18" i="20" s="1"/>
  <c r="N17" i="20"/>
  <c r="P17" i="20" s="1"/>
  <c r="N16" i="20"/>
  <c r="P16" i="20"/>
  <c r="N15" i="20"/>
  <c r="P15" i="20"/>
  <c r="F17" i="20"/>
  <c r="H17" i="20"/>
  <c r="F16" i="20"/>
  <c r="H16" i="20"/>
  <c r="F15" i="20"/>
  <c r="H15" i="20"/>
  <c r="P28" i="4"/>
  <c r="F6" i="20"/>
  <c r="H6" i="20"/>
  <c r="F7" i="20"/>
  <c r="H7" i="20"/>
  <c r="F9" i="20"/>
  <c r="H9" i="20"/>
  <c r="F10" i="20"/>
  <c r="H10" i="20"/>
  <c r="N10" i="20"/>
  <c r="P10" i="20" s="1"/>
  <c r="N9" i="20"/>
  <c r="P9" i="20" s="1"/>
  <c r="N7" i="20"/>
  <c r="P7" i="20" s="1"/>
  <c r="N6" i="20"/>
  <c r="P6" i="20"/>
  <c r="N5" i="20"/>
  <c r="P5" i="20" s="1"/>
  <c r="AG13" i="13"/>
  <c r="V97" i="13" s="1"/>
  <c r="AH13" i="13"/>
  <c r="W97" i="13" s="1"/>
  <c r="AF13" i="13"/>
  <c r="U97" i="13" s="1"/>
  <c r="H9" i="15"/>
  <c r="I9" i="15"/>
  <c r="G9" i="15"/>
  <c r="I114" i="1"/>
  <c r="V20" i="13"/>
  <c r="AR20" i="13" s="1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2" i="13"/>
  <c r="V63" i="13"/>
  <c r="N15" i="13"/>
  <c r="U23" i="4"/>
  <c r="V23" i="4"/>
  <c r="T23" i="4"/>
  <c r="T15" i="13"/>
  <c r="AC33" i="4"/>
  <c r="AC32" i="4"/>
  <c r="AA38" i="4"/>
  <c r="AA37" i="4"/>
  <c r="AA34" i="4"/>
  <c r="AA33" i="4"/>
  <c r="AA32" i="4"/>
  <c r="G26" i="5"/>
  <c r="J26" i="5"/>
  <c r="K26" i="5"/>
  <c r="T14" i="13"/>
  <c r="N14" i="13"/>
  <c r="U25" i="4"/>
  <c r="Y14" i="13" s="1"/>
  <c r="P98" i="13" s="1"/>
  <c r="V25" i="4"/>
  <c r="Z14" i="13" s="1"/>
  <c r="Q98" i="13" s="1"/>
  <c r="T25" i="4"/>
  <c r="V7" i="2"/>
  <c r="U7" i="2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T7" i="2"/>
  <c r="AF7" i="7" s="1"/>
  <c r="S7" i="2"/>
  <c r="AE7" i="7" s="1"/>
  <c r="AD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17" i="7"/>
  <c r="Z20" i="7"/>
  <c r="T13" i="13"/>
  <c r="A13" i="13" s="1"/>
  <c r="H8" i="15"/>
  <c r="AG12" i="13"/>
  <c r="V96" i="13" s="1"/>
  <c r="I8" i="15"/>
  <c r="AH12" i="13"/>
  <c r="W96" i="13" s="1"/>
  <c r="G8" i="15"/>
  <c r="AF12" i="13"/>
  <c r="U96" i="13" s="1"/>
  <c r="U22" i="4"/>
  <c r="V22" i="4"/>
  <c r="T22" i="4"/>
  <c r="U21" i="4"/>
  <c r="V21" i="4"/>
  <c r="T21" i="4"/>
  <c r="U20" i="4"/>
  <c r="V20" i="4"/>
  <c r="T20" i="4"/>
  <c r="U19" i="4"/>
  <c r="V19" i="4"/>
  <c r="T19" i="4"/>
  <c r="G22" i="5"/>
  <c r="U12" i="13"/>
  <c r="N13" i="13"/>
  <c r="U18" i="4"/>
  <c r="V18" i="4"/>
  <c r="T18" i="4"/>
  <c r="U17" i="4"/>
  <c r="V17" i="4"/>
  <c r="T17" i="4"/>
  <c r="T13" i="5"/>
  <c r="N12" i="13"/>
  <c r="H20" i="4"/>
  <c r="O2" i="4"/>
  <c r="H16" i="4"/>
  <c r="H17" i="4" s="1"/>
  <c r="I17" i="4" s="1"/>
  <c r="U13" i="13"/>
  <c r="M28" i="4" s="1"/>
  <c r="H33" i="4"/>
  <c r="H25" i="21"/>
  <c r="J22" i="5"/>
  <c r="K22" i="5"/>
  <c r="R22" i="21"/>
  <c r="P22" i="21" s="1"/>
  <c r="R26" i="4"/>
  <c r="R26" i="21"/>
  <c r="Q26" i="21" s="1"/>
  <c r="R22" i="4"/>
  <c r="AA35" i="4"/>
  <c r="AC34" i="4"/>
  <c r="AA39" i="4"/>
  <c r="AF40" i="4"/>
  <c r="P22" i="4"/>
  <c r="Q22" i="4"/>
  <c r="U16" i="4"/>
  <c r="Y13" i="13" s="1"/>
  <c r="P97" i="13" s="1"/>
  <c r="V16" i="4"/>
  <c r="Z13" i="13" s="1"/>
  <c r="Q97" i="13" s="1"/>
  <c r="T16" i="4"/>
  <c r="X13" i="13" s="1"/>
  <c r="O97" i="13" s="1"/>
  <c r="Q18" i="4"/>
  <c r="Q16" i="4"/>
  <c r="P16" i="4"/>
  <c r="P18" i="4"/>
  <c r="Q15" i="4"/>
  <c r="R49" i="4"/>
  <c r="I49" i="4"/>
  <c r="R51" i="4"/>
  <c r="I51" i="4"/>
  <c r="R55" i="4"/>
  <c r="I55" i="4"/>
  <c r="R57" i="4"/>
  <c r="I57" i="4"/>
  <c r="R59" i="4"/>
  <c r="I59" i="4"/>
  <c r="R61" i="4"/>
  <c r="I61" i="4"/>
  <c r="R63" i="4"/>
  <c r="I63" i="4"/>
  <c r="R65" i="4"/>
  <c r="I65" i="4"/>
  <c r="R67" i="4"/>
  <c r="I67" i="4"/>
  <c r="R69" i="4"/>
  <c r="I69" i="4"/>
  <c r="R71" i="4"/>
  <c r="I71" i="4"/>
  <c r="R73" i="4"/>
  <c r="I73" i="4"/>
  <c r="R75" i="4"/>
  <c r="I75" i="4"/>
  <c r="R77" i="4"/>
  <c r="I77" i="4"/>
  <c r="R79" i="4"/>
  <c r="I79" i="4"/>
  <c r="R81" i="4"/>
  <c r="I81" i="4"/>
  <c r="R83" i="4"/>
  <c r="I83" i="4"/>
  <c r="R85" i="4"/>
  <c r="I85" i="4"/>
  <c r="R87" i="4"/>
  <c r="I87" i="4"/>
  <c r="R89" i="4"/>
  <c r="I89" i="4"/>
  <c r="R91" i="4"/>
  <c r="I91" i="4"/>
  <c r="R93" i="4"/>
  <c r="I93" i="4"/>
  <c r="R95" i="4"/>
  <c r="I95" i="4"/>
  <c r="G17" i="5"/>
  <c r="J17" i="5"/>
  <c r="K17" i="5"/>
  <c r="G16" i="5"/>
  <c r="T6" i="5"/>
  <c r="T7" i="5"/>
  <c r="T8" i="5"/>
  <c r="T9" i="5"/>
  <c r="T10" i="5"/>
  <c r="T5" i="5"/>
  <c r="F6" i="14"/>
  <c r="M5" i="14"/>
  <c r="F5" i="14"/>
  <c r="I3" i="14"/>
  <c r="I2" i="14"/>
  <c r="I11" i="17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J24" i="17"/>
  <c r="K24" i="17"/>
  <c r="I24" i="17"/>
  <c r="J18" i="17"/>
  <c r="X18" i="17" s="1"/>
  <c r="K18" i="17"/>
  <c r="Y18" i="17" s="1"/>
  <c r="I18" i="17"/>
  <c r="W18" i="17" s="1"/>
  <c r="J11" i="17"/>
  <c r="X13" i="17" s="1"/>
  <c r="K11" i="17"/>
  <c r="Y13" i="17" s="1"/>
  <c r="J6" i="17"/>
  <c r="K6" i="17"/>
  <c r="I6" i="17"/>
  <c r="U21" i="17"/>
  <c r="V21" i="17"/>
  <c r="T21" i="17"/>
  <c r="W21" i="17" s="1"/>
  <c r="U18" i="17"/>
  <c r="V18" i="17"/>
  <c r="T18" i="17"/>
  <c r="U13" i="17"/>
  <c r="V13" i="17"/>
  <c r="T13" i="17"/>
  <c r="W13" i="17" s="1"/>
  <c r="U8" i="17"/>
  <c r="X8" i="17" s="1"/>
  <c r="V8" i="17"/>
  <c r="Y8" i="17" s="1"/>
  <c r="T8" i="17"/>
  <c r="W8" i="17" s="1"/>
  <c r="AV22" i="13"/>
  <c r="AV23" i="13"/>
  <c r="AV24" i="13"/>
  <c r="AV25" i="13"/>
  <c r="AV26" i="13"/>
  <c r="AV27" i="13"/>
  <c r="AV28" i="13"/>
  <c r="AV29" i="13"/>
  <c r="AV30" i="13"/>
  <c r="AV31" i="13"/>
  <c r="AV32" i="13"/>
  <c r="AV33" i="13"/>
  <c r="AV34" i="13"/>
  <c r="AV35" i="13"/>
  <c r="AV36" i="13"/>
  <c r="AV37" i="13"/>
  <c r="AV38" i="13"/>
  <c r="AV39" i="13"/>
  <c r="AV40" i="13"/>
  <c r="AV41" i="13"/>
  <c r="AV42" i="13"/>
  <c r="AV43" i="13"/>
  <c r="AV44" i="13"/>
  <c r="AV45" i="13"/>
  <c r="AV46" i="13"/>
  <c r="AV47" i="13"/>
  <c r="AV48" i="13"/>
  <c r="AV49" i="13"/>
  <c r="AV50" i="13"/>
  <c r="AV51" i="13"/>
  <c r="AV52" i="13"/>
  <c r="AV53" i="13"/>
  <c r="AV54" i="13"/>
  <c r="AV55" i="13"/>
  <c r="AV56" i="13"/>
  <c r="AV57" i="13"/>
  <c r="AV58" i="13"/>
  <c r="AV59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T22" i="13"/>
  <c r="AT23" i="13"/>
  <c r="AT24" i="13"/>
  <c r="AT25" i="13"/>
  <c r="AT26" i="13"/>
  <c r="AT27" i="13"/>
  <c r="AT28" i="13"/>
  <c r="AT29" i="13"/>
  <c r="AT30" i="13"/>
  <c r="AT31" i="13"/>
  <c r="AT32" i="13"/>
  <c r="AT33" i="13"/>
  <c r="AT34" i="13"/>
  <c r="AT35" i="13"/>
  <c r="AT36" i="13"/>
  <c r="AT37" i="13"/>
  <c r="AT38" i="13"/>
  <c r="AT39" i="13"/>
  <c r="AT40" i="13"/>
  <c r="AT41" i="13"/>
  <c r="AT42" i="13"/>
  <c r="AT43" i="13"/>
  <c r="AT44" i="13"/>
  <c r="AT45" i="13"/>
  <c r="AT46" i="13"/>
  <c r="AT47" i="13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F11" i="13"/>
  <c r="U95" i="13" s="1"/>
  <c r="H7" i="15"/>
  <c r="AG11" i="13"/>
  <c r="V95" i="13" s="1"/>
  <c r="I7" i="15"/>
  <c r="AH11" i="13"/>
  <c r="G7" i="15"/>
  <c r="U11" i="13"/>
  <c r="J16" i="5"/>
  <c r="K16" i="5"/>
  <c r="AC10" i="4"/>
  <c r="AF10" i="13"/>
  <c r="J19" i="12"/>
  <c r="M19" i="12" s="1"/>
  <c r="U88" i="12"/>
  <c r="U89" i="12"/>
  <c r="U90" i="12"/>
  <c r="U91" i="12"/>
  <c r="U92" i="12"/>
  <c r="U93" i="12"/>
  <c r="U94" i="12"/>
  <c r="U95" i="12"/>
  <c r="U87" i="12"/>
  <c r="U11" i="4"/>
  <c r="X11" i="4" s="1"/>
  <c r="V11" i="4"/>
  <c r="Y11" i="4" s="1"/>
  <c r="T11" i="4"/>
  <c r="U10" i="4"/>
  <c r="X10" i="4" s="1"/>
  <c r="V10" i="4"/>
  <c r="Y10" i="4" s="1"/>
  <c r="T10" i="4"/>
  <c r="U9" i="4"/>
  <c r="Y11" i="13" s="1"/>
  <c r="P95" i="13" s="1"/>
  <c r="V9" i="4"/>
  <c r="Y9" i="4" s="1"/>
  <c r="T9" i="4"/>
  <c r="U10" i="13"/>
  <c r="M16" i="4" s="1"/>
  <c r="J7" i="11"/>
  <c r="L7" i="11"/>
  <c r="J8" i="11"/>
  <c r="J9" i="11"/>
  <c r="L9" i="11"/>
  <c r="J10" i="11"/>
  <c r="J11" i="11"/>
  <c r="L11" i="11"/>
  <c r="J12" i="11"/>
  <c r="L12" i="11"/>
  <c r="J13" i="11"/>
  <c r="L13" i="11"/>
  <c r="J14" i="11"/>
  <c r="L14" i="11"/>
  <c r="J15" i="11"/>
  <c r="J16" i="11"/>
  <c r="J17" i="11"/>
  <c r="J18" i="11"/>
  <c r="J19" i="11"/>
  <c r="J20" i="11"/>
  <c r="L20" i="11"/>
  <c r="J21" i="11"/>
  <c r="L21" i="11"/>
  <c r="J22" i="11"/>
  <c r="L22" i="11"/>
  <c r="J23" i="11"/>
  <c r="J24" i="11"/>
  <c r="J25" i="11"/>
  <c r="L25" i="11"/>
  <c r="J26" i="11"/>
  <c r="J27" i="11"/>
  <c r="L27" i="11"/>
  <c r="J28" i="11"/>
  <c r="L28" i="11"/>
  <c r="J29" i="11"/>
  <c r="L29" i="11"/>
  <c r="J30" i="11"/>
  <c r="L30" i="1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H9" i="4"/>
  <c r="H10" i="4"/>
  <c r="M5" i="4"/>
  <c r="N11" i="13"/>
  <c r="V11" i="13" s="1"/>
  <c r="AR11" i="13" s="1"/>
  <c r="U8" i="4"/>
  <c r="X8" i="4" s="1"/>
  <c r="V8" i="4"/>
  <c r="Y8" i="4" s="1"/>
  <c r="T8" i="4"/>
  <c r="W8" i="4" s="1"/>
  <c r="Z8" i="4" s="1"/>
  <c r="U7" i="4"/>
  <c r="X7" i="4" s="1"/>
  <c r="V7" i="4"/>
  <c r="Y7" i="4" s="1"/>
  <c r="T7" i="4"/>
  <c r="W7" i="4" s="1"/>
  <c r="Z7" i="4" s="1"/>
  <c r="U6" i="4"/>
  <c r="V6" i="4"/>
  <c r="Y6" i="4" s="1"/>
  <c r="T6" i="4"/>
  <c r="W6" i="4" s="1"/>
  <c r="Z6" i="4" s="1"/>
  <c r="U5" i="4"/>
  <c r="V5" i="4"/>
  <c r="Y5" i="4" s="1"/>
  <c r="T5" i="4"/>
  <c r="W5" i="4" s="1"/>
  <c r="Z5" i="4" s="1"/>
  <c r="H6" i="4"/>
  <c r="M6" i="4"/>
  <c r="J5" i="4"/>
  <c r="N10" i="13"/>
  <c r="H11" i="4"/>
  <c r="I10" i="4"/>
  <c r="M7" i="4"/>
  <c r="O7" i="4"/>
  <c r="M9" i="4"/>
  <c r="H7" i="4"/>
  <c r="H8" i="4"/>
  <c r="N5" i="4"/>
  <c r="M8" i="4"/>
  <c r="M10" i="4"/>
  <c r="M11" i="4"/>
  <c r="I8" i="4"/>
  <c r="M12" i="4"/>
  <c r="N11" i="4" s="1"/>
  <c r="M13" i="4"/>
  <c r="W13" i="4" s="1"/>
  <c r="Z13" i="4" s="1"/>
  <c r="M14" i="4"/>
  <c r="W14" i="4" s="1"/>
  <c r="Z14" i="4" s="1"/>
  <c r="M15" i="4"/>
  <c r="M24" i="4"/>
  <c r="X24" i="4" s="1"/>
  <c r="M32" i="4"/>
  <c r="W32" i="4" s="1"/>
  <c r="M36" i="4"/>
  <c r="M37" i="4"/>
  <c r="Y37" i="4" s="1"/>
  <c r="M38" i="4"/>
  <c r="X38" i="4" s="1"/>
  <c r="M39" i="4"/>
  <c r="M40" i="4"/>
  <c r="O40" i="4" s="1"/>
  <c r="M41" i="4"/>
  <c r="M42" i="4"/>
  <c r="O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AC18" i="4"/>
  <c r="O11" i="4"/>
  <c r="O10" i="4"/>
  <c r="S9" i="4"/>
  <c r="N9" i="4"/>
  <c r="Y42" i="4"/>
  <c r="Y43" i="4"/>
  <c r="Y44" i="4"/>
  <c r="Y45" i="4"/>
  <c r="Y4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2" i="4"/>
  <c r="Y84" i="4"/>
  <c r="Y86" i="4"/>
  <c r="Y88" i="4"/>
  <c r="Y90" i="4"/>
  <c r="Y92" i="4"/>
  <c r="Y94" i="4"/>
  <c r="Y96" i="4"/>
  <c r="Y97" i="4"/>
  <c r="Y98" i="4"/>
  <c r="X9" i="4"/>
  <c r="X42" i="4"/>
  <c r="X43" i="4"/>
  <c r="X44" i="4"/>
  <c r="X45" i="4"/>
  <c r="X4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2" i="4"/>
  <c r="X84" i="4"/>
  <c r="X86" i="4"/>
  <c r="X88" i="4"/>
  <c r="X90" i="4"/>
  <c r="X92" i="4"/>
  <c r="X94" i="4"/>
  <c r="X96" i="4"/>
  <c r="X97" i="4"/>
  <c r="X98" i="4"/>
  <c r="W9" i="4"/>
  <c r="W10" i="4"/>
  <c r="Z10" i="4"/>
  <c r="W11" i="4"/>
  <c r="Z11" i="4" s="1"/>
  <c r="W42" i="4"/>
  <c r="W43" i="4"/>
  <c r="W44" i="4"/>
  <c r="W45" i="4"/>
  <c r="W4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2" i="4"/>
  <c r="W84" i="4"/>
  <c r="W86" i="4"/>
  <c r="W88" i="4"/>
  <c r="W90" i="4"/>
  <c r="W92" i="4"/>
  <c r="W94" i="4"/>
  <c r="W96" i="4"/>
  <c r="W97" i="4"/>
  <c r="W98" i="4"/>
  <c r="I6" i="4"/>
  <c r="Z7" i="7"/>
  <c r="Z9" i="7"/>
  <c r="S5" i="4"/>
  <c r="X6" i="4"/>
  <c r="O6" i="4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I56" i="7"/>
  <c r="H19" i="7"/>
  <c r="L18" i="8"/>
  <c r="M18" i="8"/>
  <c r="N18" i="8"/>
  <c r="M19" i="8"/>
  <c r="N7" i="4"/>
  <c r="O8" i="4"/>
  <c r="I16" i="7"/>
  <c r="I17" i="7"/>
  <c r="I18" i="7"/>
  <c r="I19" i="7"/>
  <c r="I20" i="7"/>
  <c r="I21" i="7"/>
  <c r="I22" i="7"/>
  <c r="I23" i="7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G35" i="12"/>
  <c r="J15" i="12"/>
  <c r="M15" i="12" s="1"/>
  <c r="G142" i="12"/>
  <c r="O34" i="1"/>
  <c r="O32" i="1"/>
  <c r="O26" i="1"/>
  <c r="O22" i="1"/>
  <c r="O20" i="1"/>
  <c r="AI62" i="7"/>
  <c r="S14" i="1"/>
  <c r="S16" i="1" s="1"/>
  <c r="J16" i="12"/>
  <c r="M16" i="12" s="1"/>
  <c r="AA14" i="1"/>
  <c r="AA13" i="1"/>
  <c r="M17" i="8"/>
  <c r="M20" i="8"/>
  <c r="M21" i="8"/>
  <c r="M22" i="8"/>
  <c r="M23" i="8"/>
  <c r="M24" i="8"/>
  <c r="M25" i="8"/>
  <c r="M26" i="8"/>
  <c r="M27" i="8"/>
  <c r="M28" i="8"/>
  <c r="M29" i="8"/>
  <c r="F9" i="8"/>
  <c r="J9" i="12"/>
  <c r="M9" i="12" s="1"/>
  <c r="J10" i="12"/>
  <c r="M10" i="12" s="1"/>
  <c r="J11" i="12"/>
  <c r="M11" i="12" s="1"/>
  <c r="J12" i="12"/>
  <c r="M12" i="12" s="1"/>
  <c r="J8" i="12"/>
  <c r="Z12" i="12"/>
  <c r="Z11" i="12"/>
  <c r="AA11" i="1"/>
  <c r="AA7" i="1"/>
  <c r="AA10" i="1"/>
  <c r="AA12" i="1"/>
  <c r="H47" i="12"/>
  <c r="J14" i="12"/>
  <c r="M14" i="12" s="1"/>
  <c r="J13" i="12"/>
  <c r="M13" i="12" s="1"/>
  <c r="J41" i="12"/>
  <c r="K9" i="12"/>
  <c r="K10" i="12"/>
  <c r="K11" i="12"/>
  <c r="K12" i="12"/>
  <c r="K8" i="12"/>
  <c r="J17" i="12"/>
  <c r="M17" i="12" s="1"/>
  <c r="J18" i="12"/>
  <c r="M18" i="12" s="1"/>
  <c r="J20" i="12"/>
  <c r="M20" i="12" s="1"/>
  <c r="J21" i="12"/>
  <c r="M21" i="12" s="1"/>
  <c r="J22" i="12"/>
  <c r="M22" i="12" s="1"/>
  <c r="J23" i="12"/>
  <c r="M23" i="12" s="1"/>
  <c r="J24" i="12"/>
  <c r="M24" i="12" s="1"/>
  <c r="J25" i="12"/>
  <c r="M25" i="12" s="1"/>
  <c r="J26" i="12"/>
  <c r="AP9" i="2"/>
  <c r="Z40" i="7"/>
  <c r="Z41" i="7"/>
  <c r="Z42" i="7"/>
  <c r="Z43" i="7"/>
  <c r="Z44" i="7"/>
  <c r="Z45" i="7"/>
  <c r="Z46" i="7"/>
  <c r="Z47" i="7"/>
  <c r="Z48" i="7"/>
  <c r="Z49" i="7"/>
  <c r="Z39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Z35" i="7"/>
  <c r="Z36" i="7"/>
  <c r="Z37" i="7"/>
  <c r="Z38" i="7"/>
  <c r="Z34" i="7"/>
  <c r="G31" i="5"/>
  <c r="J31" i="5"/>
  <c r="K31" i="5"/>
  <c r="V94" i="13"/>
  <c r="W94" i="13"/>
  <c r="R32" i="21"/>
  <c r="Q32" i="21" s="1"/>
  <c r="R32" i="4"/>
  <c r="Q32" i="4"/>
  <c r="P32" i="4"/>
  <c r="L6" i="11"/>
  <c r="AC15" i="7"/>
  <c r="R37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J5" i="11"/>
  <c r="L5" i="11"/>
  <c r="K5" i="14"/>
  <c r="L5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/>
  <c r="L39" i="14"/>
  <c r="M39" i="14"/>
  <c r="F48" i="14"/>
  <c r="F47" i="14"/>
  <c r="F46" i="14"/>
  <c r="F45" i="14"/>
  <c r="F44" i="14"/>
  <c r="F43" i="14"/>
  <c r="F42" i="14"/>
  <c r="K37" i="14"/>
  <c r="L37" i="14"/>
  <c r="M37" i="14"/>
  <c r="K41" i="14"/>
  <c r="L41" i="14"/>
  <c r="M41" i="14"/>
  <c r="F41" i="14"/>
  <c r="K40" i="14"/>
  <c r="L40" i="14"/>
  <c r="M40" i="14"/>
  <c r="F40" i="14"/>
  <c r="K36" i="14"/>
  <c r="L36" i="14"/>
  <c r="M36" i="14"/>
  <c r="F39" i="14"/>
  <c r="K38" i="14"/>
  <c r="L38" i="14"/>
  <c r="M38" i="14"/>
  <c r="F38" i="14"/>
  <c r="F37" i="14"/>
  <c r="F36" i="14"/>
  <c r="K34" i="14"/>
  <c r="L34" i="14"/>
  <c r="M34" i="14"/>
  <c r="F35" i="14"/>
  <c r="K33" i="14"/>
  <c r="F34" i="14"/>
  <c r="F33" i="14"/>
  <c r="F32" i="14"/>
  <c r="K32" i="14"/>
  <c r="L32" i="14"/>
  <c r="M32" i="14"/>
  <c r="F31" i="14"/>
  <c r="K31" i="14"/>
  <c r="L31" i="14"/>
  <c r="M31" i="14"/>
  <c r="F30" i="14"/>
  <c r="K30" i="14"/>
  <c r="L30" i="14"/>
  <c r="M30" i="14"/>
  <c r="K29" i="14"/>
  <c r="L29" i="14"/>
  <c r="M29" i="14"/>
  <c r="F29" i="14"/>
  <c r="F28" i="14"/>
  <c r="K28" i="14"/>
  <c r="L28" i="14"/>
  <c r="M28" i="14"/>
  <c r="F27" i="14"/>
  <c r="K27" i="14"/>
  <c r="L27" i="14"/>
  <c r="M27" i="14"/>
  <c r="F26" i="14"/>
  <c r="K26" i="14"/>
  <c r="L26" i="14"/>
  <c r="M26" i="14"/>
  <c r="K25" i="14"/>
  <c r="L25" i="14"/>
  <c r="M25" i="14"/>
  <c r="F25" i="14"/>
  <c r="F24" i="14"/>
  <c r="K24" i="14"/>
  <c r="L24" i="14"/>
  <c r="M24" i="14"/>
  <c r="F23" i="14"/>
  <c r="K23" i="14"/>
  <c r="L23" i="14"/>
  <c r="M23" i="14"/>
  <c r="F22" i="14"/>
  <c r="K22" i="14"/>
  <c r="L22" i="14"/>
  <c r="M22" i="14"/>
  <c r="K21" i="14"/>
  <c r="L21" i="14"/>
  <c r="M21" i="14"/>
  <c r="F21" i="14"/>
  <c r="F20" i="14"/>
  <c r="K20" i="14"/>
  <c r="L20" i="14"/>
  <c r="M20" i="14"/>
  <c r="F19" i="14"/>
  <c r="K19" i="14"/>
  <c r="L19" i="14"/>
  <c r="M19" i="14"/>
  <c r="F18" i="14"/>
  <c r="K18" i="14"/>
  <c r="L18" i="14"/>
  <c r="M18" i="14"/>
  <c r="K17" i="14"/>
  <c r="L17" i="14"/>
  <c r="M17" i="14"/>
  <c r="F17" i="14"/>
  <c r="F16" i="14"/>
  <c r="K16" i="14"/>
  <c r="L16" i="14"/>
  <c r="M16" i="14"/>
  <c r="F15" i="14"/>
  <c r="K15" i="14"/>
  <c r="L15" i="14"/>
  <c r="M15" i="14"/>
  <c r="F14" i="14"/>
  <c r="K14" i="14"/>
  <c r="L14" i="14"/>
  <c r="M14" i="14"/>
  <c r="K13" i="14"/>
  <c r="L13" i="14"/>
  <c r="M13" i="14"/>
  <c r="F13" i="14"/>
  <c r="F12" i="14"/>
  <c r="K12" i="14"/>
  <c r="L12" i="14"/>
  <c r="M12" i="14"/>
  <c r="K11" i="14"/>
  <c r="L11" i="14"/>
  <c r="M11" i="14"/>
  <c r="K10" i="14"/>
  <c r="L10" i="14"/>
  <c r="M10" i="14"/>
  <c r="K9" i="14"/>
  <c r="L9" i="14"/>
  <c r="M9" i="14"/>
  <c r="K8" i="14"/>
  <c r="L8" i="14"/>
  <c r="M8" i="14"/>
  <c r="K7" i="14"/>
  <c r="L7" i="14"/>
  <c r="M7" i="14"/>
  <c r="K6" i="14"/>
  <c r="L6" i="14"/>
  <c r="M6" i="14"/>
  <c r="G5" i="5"/>
  <c r="P5" i="5"/>
  <c r="Q5" i="5"/>
  <c r="J5" i="5"/>
  <c r="K5" i="5"/>
  <c r="R5" i="21"/>
  <c r="I5" i="21" s="1"/>
  <c r="R10" i="11"/>
  <c r="S10" i="11"/>
  <c r="T10" i="11"/>
  <c r="K57" i="14"/>
  <c r="K58" i="14"/>
  <c r="L33" i="14"/>
  <c r="L57" i="14"/>
  <c r="M57" i="14"/>
  <c r="M33" i="14"/>
  <c r="AB38" i="7"/>
  <c r="AB39" i="7"/>
  <c r="AB40" i="7"/>
  <c r="AB41" i="7"/>
  <c r="AB42" i="7"/>
  <c r="AB43" i="7"/>
  <c r="AB44" i="7"/>
  <c r="AB45" i="7"/>
  <c r="AB46" i="7"/>
  <c r="AB47" i="7"/>
  <c r="AB48" i="7"/>
  <c r="AB49" i="7"/>
  <c r="H15" i="3"/>
  <c r="K15" i="3"/>
  <c r="K14" i="3"/>
  <c r="H14" i="3"/>
  <c r="H10" i="3"/>
  <c r="Z24" i="7"/>
  <c r="R5" i="4"/>
  <c r="L99" i="4"/>
  <c r="AB23" i="4"/>
  <c r="AB24" i="4"/>
  <c r="F12" i="8"/>
  <c r="F10" i="8"/>
  <c r="K10" i="8"/>
  <c r="L46" i="8"/>
  <c r="F6" i="8"/>
  <c r="K6" i="8"/>
  <c r="L6" i="8"/>
  <c r="V18" i="1"/>
  <c r="T7" i="7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/>
  <c r="AC7" i="7"/>
  <c r="AC8" i="7"/>
  <c r="AA8" i="1"/>
  <c r="AA9" i="1"/>
  <c r="F115" i="1"/>
  <c r="AD80" i="4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/>
  <c r="P89" i="4"/>
  <c r="P91" i="4"/>
  <c r="P93" i="4"/>
  <c r="P95" i="4"/>
  <c r="T95" i="4"/>
  <c r="W95" i="4"/>
  <c r="P81" i="4"/>
  <c r="P83" i="4"/>
  <c r="P85" i="4"/>
  <c r="P87" i="4"/>
  <c r="G58" i="5"/>
  <c r="J58" i="5" s="1"/>
  <c r="K58" i="5" s="1"/>
  <c r="G61" i="5"/>
  <c r="R63" i="21" s="1"/>
  <c r="G62" i="5"/>
  <c r="R64" i="21" s="1"/>
  <c r="G63" i="5"/>
  <c r="J63" i="5" s="1"/>
  <c r="K63" i="5" s="1"/>
  <c r="G64" i="5"/>
  <c r="R66" i="21" s="1"/>
  <c r="G65" i="5"/>
  <c r="J65" i="5" s="1"/>
  <c r="K65" i="5" s="1"/>
  <c r="G66" i="5"/>
  <c r="J66" i="5" s="1"/>
  <c r="K66" i="5" s="1"/>
  <c r="G67" i="5"/>
  <c r="J67" i="5" s="1"/>
  <c r="K67" i="5" s="1"/>
  <c r="G68" i="5"/>
  <c r="J68" i="5" s="1"/>
  <c r="K68" i="5" s="1"/>
  <c r="G69" i="5"/>
  <c r="J69" i="5" s="1"/>
  <c r="K69" i="5" s="1"/>
  <c r="G52" i="5"/>
  <c r="R53" i="21" s="1"/>
  <c r="G53" i="5"/>
  <c r="G54" i="5"/>
  <c r="G55" i="5"/>
  <c r="G56" i="5"/>
  <c r="R58" i="21" s="1"/>
  <c r="G57" i="5"/>
  <c r="J57" i="5" s="1"/>
  <c r="K57" i="5" s="1"/>
  <c r="G50" i="5"/>
  <c r="P27" i="5" s="1"/>
  <c r="Q27" i="5" s="1"/>
  <c r="G49" i="5"/>
  <c r="J49" i="5" s="1"/>
  <c r="K49" i="5" s="1"/>
  <c r="G51" i="5"/>
  <c r="P28" i="5" s="1"/>
  <c r="Q28" i="5" s="1"/>
  <c r="R28" i="5" s="1"/>
  <c r="G48" i="5"/>
  <c r="R49" i="21" s="1"/>
  <c r="P49" i="21" s="1"/>
  <c r="G46" i="5"/>
  <c r="J46" i="5" s="1"/>
  <c r="K46" i="5" s="1"/>
  <c r="G41" i="5"/>
  <c r="J41" i="5"/>
  <c r="K41" i="5"/>
  <c r="AB7" i="7"/>
  <c r="P77" i="4"/>
  <c r="K33" i="8"/>
  <c r="M11" i="8"/>
  <c r="N6" i="8"/>
  <c r="I11" i="7"/>
  <c r="N11" i="8"/>
  <c r="M6" i="8"/>
  <c r="P79" i="4"/>
  <c r="T83" i="4"/>
  <c r="W83" i="4"/>
  <c r="T93" i="4"/>
  <c r="W93" i="4"/>
  <c r="T81" i="4"/>
  <c r="W81" i="4"/>
  <c r="T89" i="4"/>
  <c r="W89" i="4"/>
  <c r="T87" i="4"/>
  <c r="W87" i="4"/>
  <c r="T91" i="4"/>
  <c r="W91" i="4"/>
  <c r="U95" i="4"/>
  <c r="X95" i="4" s="1"/>
  <c r="T85" i="4"/>
  <c r="W85" i="4"/>
  <c r="AB56" i="4"/>
  <c r="K29" i="8"/>
  <c r="R42" i="5"/>
  <c r="P80" i="21"/>
  <c r="P73" i="4"/>
  <c r="R40" i="5"/>
  <c r="P75" i="4"/>
  <c r="R41" i="5"/>
  <c r="P97" i="4"/>
  <c r="R43" i="5"/>
  <c r="V95" i="4"/>
  <c r="Y95" i="4" s="1"/>
  <c r="U91" i="4"/>
  <c r="X91" i="4"/>
  <c r="U89" i="4"/>
  <c r="X89" i="4"/>
  <c r="U81" i="4"/>
  <c r="X81" i="4"/>
  <c r="U93" i="4"/>
  <c r="X93" i="4"/>
  <c r="U87" i="4"/>
  <c r="X87" i="4"/>
  <c r="U83" i="4"/>
  <c r="X83" i="4"/>
  <c r="U85" i="4"/>
  <c r="X85" i="4"/>
  <c r="R9" i="11"/>
  <c r="S9" i="11"/>
  <c r="T9" i="1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7" i="5"/>
  <c r="J37" i="5"/>
  <c r="K37" i="5"/>
  <c r="G38" i="5"/>
  <c r="G39" i="5"/>
  <c r="G40" i="5"/>
  <c r="J40" i="5"/>
  <c r="J38" i="5"/>
  <c r="K38" i="5"/>
  <c r="P21" i="5"/>
  <c r="R8" i="11"/>
  <c r="S8" i="11"/>
  <c r="V89" i="4"/>
  <c r="Y89" i="4"/>
  <c r="V87" i="4"/>
  <c r="Y87" i="4"/>
  <c r="V91" i="4"/>
  <c r="Y91" i="4"/>
  <c r="V93" i="4"/>
  <c r="Y93" i="4" s="1"/>
  <c r="V85" i="4"/>
  <c r="Y85" i="4"/>
  <c r="V83" i="4"/>
  <c r="Y83" i="4"/>
  <c r="V81" i="4"/>
  <c r="Y81" i="4"/>
  <c r="P49" i="4"/>
  <c r="P51" i="4"/>
  <c r="P57" i="4"/>
  <c r="P59" i="4"/>
  <c r="P61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/>
  <c r="K14" i="8"/>
  <c r="L14" i="8"/>
  <c r="K13" i="8"/>
  <c r="L13" i="8"/>
  <c r="K12" i="8"/>
  <c r="L12" i="8"/>
  <c r="L10" i="8"/>
  <c r="I15" i="7"/>
  <c r="K9" i="8"/>
  <c r="L9" i="8"/>
  <c r="F8" i="8"/>
  <c r="K8" i="8"/>
  <c r="L8" i="8"/>
  <c r="F7" i="8"/>
  <c r="K7" i="8"/>
  <c r="L7" i="8"/>
  <c r="Y57" i="7"/>
  <c r="X57" i="7"/>
  <c r="W57" i="7"/>
  <c r="V57" i="7"/>
  <c r="Y56" i="7"/>
  <c r="X56" i="7"/>
  <c r="W56" i="7"/>
  <c r="V56" i="7"/>
  <c r="T56" i="7"/>
  <c r="Q56" i="7"/>
  <c r="P56" i="7"/>
  <c r="O56" i="7"/>
  <c r="L39" i="5"/>
  <c r="K40" i="5"/>
  <c r="P65" i="4"/>
  <c r="R36" i="5"/>
  <c r="T8" i="11"/>
  <c r="S11" i="11"/>
  <c r="U8" i="11"/>
  <c r="M12" i="8"/>
  <c r="L16" i="8"/>
  <c r="M14" i="8"/>
  <c r="I12" i="7"/>
  <c r="M7" i="8"/>
  <c r="N7" i="8"/>
  <c r="M13" i="8"/>
  <c r="I14" i="7"/>
  <c r="M9" i="8"/>
  <c r="M15" i="8"/>
  <c r="N15" i="8"/>
  <c r="L43" i="8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M16" i="8"/>
  <c r="N16" i="8"/>
  <c r="K57" i="7"/>
  <c r="N43" i="8"/>
  <c r="O43" i="8"/>
  <c r="M43" i="8"/>
  <c r="AA9" i="8"/>
  <c r="L44" i="8"/>
  <c r="I57" i="7"/>
  <c r="K43" i="8"/>
  <c r="K44" i="8"/>
  <c r="AA11" i="8"/>
  <c r="AA10" i="8"/>
  <c r="AA12" i="8"/>
  <c r="G21" i="5"/>
  <c r="J21" i="5"/>
  <c r="K21" i="5"/>
  <c r="R34" i="5"/>
  <c r="G36" i="5"/>
  <c r="G35" i="5"/>
  <c r="G34" i="5"/>
  <c r="J34" i="5"/>
  <c r="K34" i="5"/>
  <c r="G33" i="5"/>
  <c r="J33" i="5"/>
  <c r="K33" i="5"/>
  <c r="G32" i="5"/>
  <c r="J32" i="5"/>
  <c r="K32" i="5"/>
  <c r="G30" i="5"/>
  <c r="J30" i="5"/>
  <c r="K30" i="5"/>
  <c r="G29" i="5"/>
  <c r="J29" i="5"/>
  <c r="K29" i="5"/>
  <c r="G28" i="5"/>
  <c r="J28" i="5"/>
  <c r="K28" i="5"/>
  <c r="R37" i="4"/>
  <c r="I37" i="4"/>
  <c r="G27" i="5"/>
  <c r="J27" i="5"/>
  <c r="K27" i="5"/>
  <c r="G25" i="5"/>
  <c r="J25" i="5"/>
  <c r="K25" i="5"/>
  <c r="G24" i="5"/>
  <c r="J24" i="5"/>
  <c r="K24" i="5"/>
  <c r="G23" i="5"/>
  <c r="J23" i="5"/>
  <c r="K23" i="5"/>
  <c r="G20" i="5"/>
  <c r="J20" i="5"/>
  <c r="K20" i="5"/>
  <c r="G19" i="5"/>
  <c r="J19" i="5"/>
  <c r="K19" i="5"/>
  <c r="G18" i="5"/>
  <c r="J18" i="5"/>
  <c r="K18" i="5"/>
  <c r="G13" i="5"/>
  <c r="G12" i="5"/>
  <c r="G9" i="5"/>
  <c r="G8" i="5"/>
  <c r="R17" i="21"/>
  <c r="P17" i="21" s="1"/>
  <c r="P8" i="5"/>
  <c r="J13" i="5"/>
  <c r="K13" i="5"/>
  <c r="J35" i="5"/>
  <c r="K35" i="5"/>
  <c r="R31" i="5"/>
  <c r="L50" i="7" s="1"/>
  <c r="N50" i="7" s="1"/>
  <c r="J36" i="5"/>
  <c r="K36" i="5"/>
  <c r="J8" i="5"/>
  <c r="K8" i="5"/>
  <c r="R8" i="21"/>
  <c r="Q8" i="21" s="1"/>
  <c r="P6" i="5"/>
  <c r="J9" i="5"/>
  <c r="K9" i="5"/>
  <c r="P7" i="5"/>
  <c r="R9" i="21"/>
  <c r="Q9" i="21" s="1"/>
  <c r="J12" i="5"/>
  <c r="K12" i="5"/>
  <c r="R12" i="21"/>
  <c r="Q12" i="21" s="1"/>
  <c r="R21" i="4"/>
  <c r="R21" i="21"/>
  <c r="P21" i="21" s="1"/>
  <c r="R34" i="4"/>
  <c r="R33" i="4"/>
  <c r="R45" i="4"/>
  <c r="I45" i="4" s="1"/>
  <c r="S25" i="5"/>
  <c r="R31" i="21"/>
  <c r="Q31" i="21" s="1"/>
  <c r="R31" i="4"/>
  <c r="R30" i="4"/>
  <c r="Q30" i="4"/>
  <c r="R30" i="21"/>
  <c r="P30" i="21" s="1"/>
  <c r="Q19" i="5"/>
  <c r="R29" i="21"/>
  <c r="Q29" i="21" s="1"/>
  <c r="R27" i="21"/>
  <c r="Q27" i="21" s="1"/>
  <c r="R25" i="21"/>
  <c r="P25" i="21" s="1"/>
  <c r="R24" i="21"/>
  <c r="Q24" i="21" s="1"/>
  <c r="R23" i="21"/>
  <c r="P23" i="21" s="1"/>
  <c r="R20" i="4"/>
  <c r="R20" i="21"/>
  <c r="Q20" i="21" s="1"/>
  <c r="R19" i="21"/>
  <c r="P19" i="21" s="1"/>
  <c r="S20" i="5"/>
  <c r="R41" i="4"/>
  <c r="I41" i="4"/>
  <c r="R29" i="4"/>
  <c r="R27" i="4"/>
  <c r="R25" i="4"/>
  <c r="R24" i="4"/>
  <c r="R23" i="4"/>
  <c r="S15" i="5"/>
  <c r="R19" i="4"/>
  <c r="Q12" i="5"/>
  <c r="J31" i="7"/>
  <c r="S16" i="5"/>
  <c r="P69" i="4"/>
  <c r="R38" i="5"/>
  <c r="Q10" i="5"/>
  <c r="J29" i="7"/>
  <c r="S26" i="5"/>
  <c r="O5" i="4"/>
  <c r="R33" i="5"/>
  <c r="Q13" i="5"/>
  <c r="Q20" i="4"/>
  <c r="P20" i="4"/>
  <c r="Q9" i="5"/>
  <c r="Q8" i="5"/>
  <c r="Q7" i="5"/>
  <c r="Q6" i="5"/>
  <c r="R43" i="4"/>
  <c r="I43" i="4"/>
  <c r="P30" i="4"/>
  <c r="P21" i="4"/>
  <c r="Q21" i="4"/>
  <c r="Q33" i="4"/>
  <c r="P33" i="4"/>
  <c r="P31" i="4"/>
  <c r="Q31" i="4"/>
  <c r="R17" i="4"/>
  <c r="R13" i="21"/>
  <c r="R13" i="4"/>
  <c r="R9" i="4"/>
  <c r="J41" i="7"/>
  <c r="J39" i="7"/>
  <c r="R39" i="5"/>
  <c r="J24" i="7"/>
  <c r="P5" i="21"/>
  <c r="Q20" i="5"/>
  <c r="R20" i="5"/>
  <c r="S21" i="5"/>
  <c r="P29" i="4"/>
  <c r="Q29" i="4"/>
  <c r="P27" i="4"/>
  <c r="Q27" i="4"/>
  <c r="J36" i="7"/>
  <c r="S19" i="5"/>
  <c r="R39" i="4"/>
  <c r="I39" i="4"/>
  <c r="P19" i="4"/>
  <c r="Q19" i="4"/>
  <c r="Q25" i="4"/>
  <c r="P25" i="4"/>
  <c r="P24" i="4"/>
  <c r="Q24" i="4"/>
  <c r="Q23" i="4"/>
  <c r="P23" i="4"/>
  <c r="R35" i="4"/>
  <c r="Q21" i="5"/>
  <c r="Q26" i="4"/>
  <c r="P26" i="4"/>
  <c r="Q18" i="5"/>
  <c r="J35" i="7"/>
  <c r="S18" i="5"/>
  <c r="Q16" i="5"/>
  <c r="Q15" i="5"/>
  <c r="J33" i="7"/>
  <c r="Q11" i="5"/>
  <c r="R11" i="5"/>
  <c r="P45" i="4"/>
  <c r="J43" i="7"/>
  <c r="P63" i="4"/>
  <c r="R35" i="5"/>
  <c r="I11" i="4"/>
  <c r="I7" i="4"/>
  <c r="I5" i="4"/>
  <c r="R5" i="5"/>
  <c r="R22" i="5"/>
  <c r="P37" i="4"/>
  <c r="R24" i="5"/>
  <c r="P41" i="4"/>
  <c r="R10" i="5"/>
  <c r="R12" i="5"/>
  <c r="R26" i="5"/>
  <c r="N18" i="7"/>
  <c r="N16" i="7"/>
  <c r="P71" i="4"/>
  <c r="N8" i="7"/>
  <c r="P5" i="4"/>
  <c r="R19" i="5"/>
  <c r="R13" i="5"/>
  <c r="J32" i="7"/>
  <c r="J28" i="7"/>
  <c r="P13" i="21"/>
  <c r="P13" i="4"/>
  <c r="R9" i="5"/>
  <c r="J26" i="7"/>
  <c r="P9" i="4"/>
  <c r="R7" i="5"/>
  <c r="P9" i="21"/>
  <c r="R6" i="5"/>
  <c r="P7" i="4"/>
  <c r="C10" i="13"/>
  <c r="P47" i="4"/>
  <c r="J44" i="7"/>
  <c r="R27" i="5"/>
  <c r="J25" i="7"/>
  <c r="P7" i="21"/>
  <c r="J27" i="7"/>
  <c r="P11" i="21"/>
  <c r="P11" i="4"/>
  <c r="R8" i="5"/>
  <c r="P17" i="4"/>
  <c r="Q17" i="4"/>
  <c r="I9" i="4"/>
  <c r="O9" i="4"/>
  <c r="J30" i="7"/>
  <c r="J40" i="7"/>
  <c r="J34" i="7"/>
  <c r="R16" i="5"/>
  <c r="J37" i="7"/>
  <c r="P35" i="4"/>
  <c r="C13" i="13"/>
  <c r="C15" i="13"/>
  <c r="C14" i="13"/>
  <c r="R23" i="5"/>
  <c r="P39" i="4"/>
  <c r="R18" i="5"/>
  <c r="J38" i="7"/>
  <c r="R21" i="5"/>
  <c r="R15" i="5"/>
  <c r="N20" i="7"/>
  <c r="N22" i="7"/>
  <c r="N10" i="7"/>
  <c r="N12" i="7"/>
  <c r="N14" i="7"/>
  <c r="N17" i="7"/>
  <c r="N15" i="7"/>
  <c r="N13" i="7"/>
  <c r="N23" i="7"/>
  <c r="N9" i="7"/>
  <c r="N21" i="7"/>
  <c r="N11" i="7"/>
  <c r="N19" i="7"/>
  <c r="N7" i="7"/>
  <c r="AC11" i="4"/>
  <c r="AC13" i="4"/>
  <c r="AB25" i="4"/>
  <c r="AB29" i="4"/>
  <c r="AB37" i="7"/>
  <c r="AB36" i="7"/>
  <c r="AB35" i="7"/>
  <c r="AB34" i="7"/>
  <c r="AB33" i="7"/>
  <c r="Z33" i="7"/>
  <c r="AB32" i="7"/>
  <c r="Z32" i="7"/>
  <c r="AB31" i="7"/>
  <c r="Z31" i="7"/>
  <c r="AB30" i="7"/>
  <c r="Z30" i="7"/>
  <c r="AB29" i="7"/>
  <c r="Z29" i="7"/>
  <c r="AB28" i="7"/>
  <c r="Z28" i="7"/>
  <c r="AB27" i="7"/>
  <c r="AB26" i="7"/>
  <c r="Z26" i="7"/>
  <c r="AB25" i="7"/>
  <c r="Z25" i="7"/>
  <c r="AB24" i="7"/>
  <c r="AB23" i="7"/>
  <c r="Z23" i="7"/>
  <c r="AB22" i="7"/>
  <c r="Z22" i="7"/>
  <c r="AB21" i="7"/>
  <c r="Z21" i="7"/>
  <c r="AB20" i="7"/>
  <c r="AB19" i="7"/>
  <c r="Z19" i="7"/>
  <c r="AB18" i="7"/>
  <c r="Z18" i="7"/>
  <c r="AB17" i="7"/>
  <c r="Z17" i="7"/>
  <c r="AB16" i="7"/>
  <c r="AC16" i="7"/>
  <c r="Z16" i="7"/>
  <c r="AB15" i="7"/>
  <c r="Z15" i="7"/>
  <c r="AB14" i="7"/>
  <c r="AC14" i="7"/>
  <c r="Z14" i="7"/>
  <c r="AB13" i="7"/>
  <c r="AC13" i="7"/>
  <c r="Z13" i="7"/>
  <c r="AB12" i="7"/>
  <c r="AC12" i="7"/>
  <c r="AB11" i="7"/>
  <c r="Z11" i="7"/>
  <c r="AB10" i="7"/>
  <c r="AC10" i="7"/>
  <c r="AB9" i="7"/>
  <c r="AC9" i="7"/>
  <c r="AB8" i="7"/>
  <c r="C11" i="13"/>
  <c r="O14" i="4"/>
  <c r="C12" i="13"/>
  <c r="AB26" i="4"/>
  <c r="AC14" i="4"/>
  <c r="AC15" i="4"/>
  <c r="M57" i="7"/>
  <c r="AC19" i="4"/>
  <c r="Z12" i="7"/>
  <c r="E19" i="7"/>
  <c r="X77" i="21" l="1"/>
  <c r="M107" i="21"/>
  <c r="X32" i="21"/>
  <c r="W71" i="21"/>
  <c r="W76" i="21"/>
  <c r="N75" i="21"/>
  <c r="O76" i="21"/>
  <c r="Y72" i="21"/>
  <c r="Y89" i="21"/>
  <c r="W89" i="21"/>
  <c r="O14" i="21"/>
  <c r="P66" i="21"/>
  <c r="O66" i="21" s="1"/>
  <c r="Q66" i="21"/>
  <c r="J64" i="5"/>
  <c r="K64" i="5" s="1"/>
  <c r="L18" i="1"/>
  <c r="N18" i="1" s="1"/>
  <c r="C13" i="7" s="1"/>
  <c r="E30" i="7"/>
  <c r="E28" i="7"/>
  <c r="X71" i="21"/>
  <c r="H28" i="4"/>
  <c r="I28" i="4" s="1"/>
  <c r="A15" i="13"/>
  <c r="H25" i="4"/>
  <c r="A14" i="13"/>
  <c r="U16" i="13"/>
  <c r="A16" i="13"/>
  <c r="O18" i="13"/>
  <c r="AP11" i="13"/>
  <c r="U17" i="13"/>
  <c r="O19" i="13" s="1"/>
  <c r="AO19" i="13" s="1"/>
  <c r="A17" i="13"/>
  <c r="AP10" i="13"/>
  <c r="BM11" i="13"/>
  <c r="Y66" i="21"/>
  <c r="N65" i="21"/>
  <c r="P63" i="21"/>
  <c r="I63" i="21"/>
  <c r="Q63" i="21"/>
  <c r="J61" i="5"/>
  <c r="K61" i="5" s="1"/>
  <c r="J62" i="5"/>
  <c r="K62" i="5" s="1"/>
  <c r="P64" i="21"/>
  <c r="O64" i="21" s="1"/>
  <c r="I64" i="21"/>
  <c r="Q64" i="21"/>
  <c r="W38" i="4"/>
  <c r="O12" i="13"/>
  <c r="D12" i="13" s="1"/>
  <c r="O15" i="13"/>
  <c r="N99" i="13" s="1"/>
  <c r="N95" i="13"/>
  <c r="D11" i="13"/>
  <c r="Y32" i="4"/>
  <c r="Y12" i="4"/>
  <c r="O38" i="4"/>
  <c r="W37" i="4"/>
  <c r="AQ10" i="13"/>
  <c r="D10" i="13"/>
  <c r="U18" i="13"/>
  <c r="H56" i="21"/>
  <c r="I56" i="21" s="1"/>
  <c r="AM19" i="13"/>
  <c r="AL19" i="13"/>
  <c r="V15" i="13"/>
  <c r="AR15" i="13" s="1"/>
  <c r="W81" i="21"/>
  <c r="W95" i="21"/>
  <c r="Y95" i="21"/>
  <c r="W96" i="21"/>
  <c r="X13" i="21"/>
  <c r="W34" i="21"/>
  <c r="AB34" i="21" s="1"/>
  <c r="W69" i="21"/>
  <c r="Q58" i="21"/>
  <c r="P58" i="21"/>
  <c r="Z15" i="13"/>
  <c r="Q99" i="13" s="1"/>
  <c r="X14" i="13"/>
  <c r="O98" i="13" s="1"/>
  <c r="X11" i="13"/>
  <c r="O95" i="13" s="1"/>
  <c r="Z12" i="13"/>
  <c r="Q96" i="13" s="1"/>
  <c r="Y15" i="13"/>
  <c r="P99" i="13" s="1"/>
  <c r="Y10" i="13"/>
  <c r="P94" i="13" s="1"/>
  <c r="Z11" i="13"/>
  <c r="Q95" i="13" s="1"/>
  <c r="X12" i="13"/>
  <c r="O96" i="13" s="1"/>
  <c r="X10" i="13"/>
  <c r="AP67" i="13" s="1"/>
  <c r="Y12" i="13"/>
  <c r="P96" i="13" s="1"/>
  <c r="Z10" i="13"/>
  <c r="V99" i="4"/>
  <c r="U99" i="4"/>
  <c r="T99" i="4"/>
  <c r="X5" i="4"/>
  <c r="AB10" i="13" s="1"/>
  <c r="AM10" i="13" s="1"/>
  <c r="X28" i="4"/>
  <c r="P30" i="5"/>
  <c r="R57" i="21"/>
  <c r="M26" i="12"/>
  <c r="M8" i="12"/>
  <c r="K35" i="12"/>
  <c r="V14" i="13"/>
  <c r="AR14" i="13" s="1"/>
  <c r="O14" i="13"/>
  <c r="AP14" i="13" s="1"/>
  <c r="V18" i="13"/>
  <c r="AR18" i="13" s="1"/>
  <c r="V12" i="13"/>
  <c r="AR12" i="13" s="1"/>
  <c r="V13" i="13"/>
  <c r="AR13" i="13" s="1"/>
  <c r="O13" i="13"/>
  <c r="M25" i="21"/>
  <c r="O25" i="21" s="1"/>
  <c r="U14" i="13"/>
  <c r="O16" i="13" s="1"/>
  <c r="N100" i="13" s="1"/>
  <c r="H35" i="21"/>
  <c r="H36" i="21" s="1"/>
  <c r="I36" i="21" s="1"/>
  <c r="V17" i="13"/>
  <c r="AR17" i="13" s="1"/>
  <c r="M20" i="21"/>
  <c r="M21" i="21" s="1"/>
  <c r="X21" i="21" s="1"/>
  <c r="AQ11" i="13"/>
  <c r="X81" i="21"/>
  <c r="Y5" i="21"/>
  <c r="P27" i="21"/>
  <c r="Q40" i="21"/>
  <c r="W32" i="21"/>
  <c r="AB32" i="21" s="1"/>
  <c r="Q17" i="21"/>
  <c r="I7" i="21"/>
  <c r="W68" i="21"/>
  <c r="X34" i="21"/>
  <c r="X68" i="21"/>
  <c r="P29" i="21"/>
  <c r="X69" i="21"/>
  <c r="P24" i="21"/>
  <c r="O24" i="21" s="1"/>
  <c r="Y70" i="21"/>
  <c r="X102" i="21"/>
  <c r="X72" i="21"/>
  <c r="X94" i="21"/>
  <c r="X14" i="21"/>
  <c r="H38" i="21"/>
  <c r="I38" i="21" s="1"/>
  <c r="W13" i="21"/>
  <c r="AB13" i="21" s="1"/>
  <c r="AB5" i="21"/>
  <c r="W79" i="21"/>
  <c r="Y80" i="21"/>
  <c r="X80" i="21"/>
  <c r="M6" i="21"/>
  <c r="M7" i="21" s="1"/>
  <c r="Y34" i="21"/>
  <c r="J53" i="5"/>
  <c r="K53" i="5" s="1"/>
  <c r="J52" i="5"/>
  <c r="K52" i="5" s="1"/>
  <c r="P53" i="21"/>
  <c r="Q53" i="21"/>
  <c r="S28" i="5"/>
  <c r="J51" i="5"/>
  <c r="K51" i="5" s="1"/>
  <c r="M27" i="12"/>
  <c r="I20" i="21"/>
  <c r="I9" i="21"/>
  <c r="P36" i="21"/>
  <c r="W85" i="21"/>
  <c r="Q19" i="21"/>
  <c r="W64" i="21"/>
  <c r="Y77" i="21"/>
  <c r="Y85" i="21"/>
  <c r="I6" i="21"/>
  <c r="X64" i="21"/>
  <c r="AB21" i="13" s="1"/>
  <c r="W78" i="21"/>
  <c r="W87" i="21"/>
  <c r="Q22" i="21"/>
  <c r="W86" i="21"/>
  <c r="H8" i="21"/>
  <c r="I8" i="21" s="1"/>
  <c r="Y78" i="21"/>
  <c r="Y94" i="21"/>
  <c r="W83" i="21"/>
  <c r="P20" i="21"/>
  <c r="W67" i="21"/>
  <c r="Y79" i="21"/>
  <c r="W88" i="21"/>
  <c r="W84" i="21"/>
  <c r="Y83" i="21"/>
  <c r="W92" i="21"/>
  <c r="Q21" i="21"/>
  <c r="Q23" i="21"/>
  <c r="P32" i="21"/>
  <c r="O32" i="21" s="1"/>
  <c r="AA109" i="21"/>
  <c r="X67" i="21"/>
  <c r="W93" i="21"/>
  <c r="P72" i="2"/>
  <c r="Y8" i="2" s="1"/>
  <c r="Y26" i="2" s="1"/>
  <c r="J50" i="5"/>
  <c r="R47" i="4"/>
  <c r="I47" i="4" s="1"/>
  <c r="S27" i="5"/>
  <c r="J42" i="7"/>
  <c r="P43" i="4"/>
  <c r="O43" i="4" s="1"/>
  <c r="C17" i="13"/>
  <c r="X90" i="21"/>
  <c r="V90" i="21"/>
  <c r="Y90" i="21" s="1"/>
  <c r="V82" i="21"/>
  <c r="Y82" i="21" s="1"/>
  <c r="X82" i="21"/>
  <c r="C18" i="13"/>
  <c r="Y73" i="21"/>
  <c r="Q41" i="21"/>
  <c r="Q30" i="21"/>
  <c r="X15" i="21"/>
  <c r="X74" i="21"/>
  <c r="W90" i="21"/>
  <c r="U96" i="21"/>
  <c r="V96" i="21" s="1"/>
  <c r="Y96" i="21" s="1"/>
  <c r="P26" i="21"/>
  <c r="H10" i="21"/>
  <c r="W75" i="21"/>
  <c r="U86" i="21"/>
  <c r="V86" i="21" s="1"/>
  <c r="Y86" i="21" s="1"/>
  <c r="Y97" i="21"/>
  <c r="Q42" i="21"/>
  <c r="P31" i="21"/>
  <c r="P35" i="21"/>
  <c r="W9" i="21"/>
  <c r="AB9" i="21" s="1"/>
  <c r="H21" i="21"/>
  <c r="I21" i="21" s="1"/>
  <c r="W70" i="21"/>
  <c r="X75" i="21"/>
  <c r="X87" i="21"/>
  <c r="X91" i="21"/>
  <c r="W97" i="21"/>
  <c r="X5" i="21"/>
  <c r="Q43" i="21"/>
  <c r="X12" i="21"/>
  <c r="X24" i="21"/>
  <c r="W65" i="21"/>
  <c r="W91" i="21"/>
  <c r="Q44" i="21"/>
  <c r="Y74" i="21"/>
  <c r="Y15" i="21"/>
  <c r="Y65" i="21"/>
  <c r="AC21" i="13" s="1"/>
  <c r="AN21" i="13" s="1"/>
  <c r="X76" i="21"/>
  <c r="W98" i="21"/>
  <c r="Q39" i="21"/>
  <c r="Q46" i="21"/>
  <c r="Q5" i="21"/>
  <c r="W12" i="21"/>
  <c r="AB12" i="21" s="1"/>
  <c r="W24" i="21"/>
  <c r="AB24" i="21" s="1"/>
  <c r="W66" i="21"/>
  <c r="Y76" i="21"/>
  <c r="W82" i="21"/>
  <c r="Y98" i="21"/>
  <c r="AI11" i="21"/>
  <c r="AI12" i="21" s="1"/>
  <c r="AI13" i="21" s="1"/>
  <c r="U88" i="21"/>
  <c r="W94" i="21"/>
  <c r="X73" i="21"/>
  <c r="U84" i="21"/>
  <c r="Y14" i="21"/>
  <c r="Q45" i="21"/>
  <c r="Y24" i="21"/>
  <c r="U107" i="21"/>
  <c r="U92" i="21"/>
  <c r="V92" i="21" s="1"/>
  <c r="Y92" i="21" s="1"/>
  <c r="Q38" i="21"/>
  <c r="V107" i="21"/>
  <c r="P37" i="21"/>
  <c r="Q25" i="21"/>
  <c r="X66" i="21"/>
  <c r="W77" i="21"/>
  <c r="X93" i="21"/>
  <c r="W102" i="21"/>
  <c r="O5" i="21"/>
  <c r="AA110" i="21"/>
  <c r="AH60" i="13"/>
  <c r="H48" i="21"/>
  <c r="AM11" i="13"/>
  <c r="AA10" i="13"/>
  <c r="M28" i="21"/>
  <c r="H28" i="21"/>
  <c r="I28" i="21" s="1"/>
  <c r="AF60" i="13"/>
  <c r="M48" i="21"/>
  <c r="AG60" i="13"/>
  <c r="J48" i="5"/>
  <c r="K48" i="5" s="1"/>
  <c r="Q49" i="21"/>
  <c r="AC11" i="7"/>
  <c r="AC57" i="7" s="1"/>
  <c r="S72" i="2"/>
  <c r="V72" i="2"/>
  <c r="AC8" i="2" s="1"/>
  <c r="O72" i="2"/>
  <c r="AF57" i="7"/>
  <c r="Z8" i="7"/>
  <c r="Z56" i="7" s="1"/>
  <c r="U72" i="2"/>
  <c r="AD8" i="2" s="1"/>
  <c r="AD11" i="2" s="1"/>
  <c r="R72" i="2"/>
  <c r="AB8" i="2" s="1"/>
  <c r="AB26" i="2" s="1"/>
  <c r="AB57" i="7"/>
  <c r="AB56" i="7"/>
  <c r="AF56" i="7"/>
  <c r="T72" i="2"/>
  <c r="Q72" i="2"/>
  <c r="Z8" i="2" s="1"/>
  <c r="Z26" i="2" s="1"/>
  <c r="AA57" i="7"/>
  <c r="L17" i="1"/>
  <c r="N16" i="1" s="1"/>
  <c r="C12" i="7" s="1"/>
  <c r="G12" i="7" s="1"/>
  <c r="H12" i="7" s="1"/>
  <c r="E40" i="7"/>
  <c r="L32" i="1"/>
  <c r="N22" i="1"/>
  <c r="E44" i="7"/>
  <c r="K22" i="1"/>
  <c r="M22" i="1" s="1"/>
  <c r="L15" i="1"/>
  <c r="N14" i="1" s="1"/>
  <c r="C11" i="7" s="1"/>
  <c r="E11" i="7" s="1"/>
  <c r="K77" i="1"/>
  <c r="M77" i="1" s="1"/>
  <c r="L12" i="1"/>
  <c r="K9" i="1"/>
  <c r="M9" i="1" s="1"/>
  <c r="G46" i="7"/>
  <c r="H46" i="7" s="1"/>
  <c r="K21" i="1"/>
  <c r="M20" i="1" s="1"/>
  <c r="N76" i="1"/>
  <c r="C42" i="7" s="1"/>
  <c r="E48" i="7"/>
  <c r="L13" i="1"/>
  <c r="G32" i="7"/>
  <c r="H32" i="7" s="1"/>
  <c r="K66" i="1"/>
  <c r="M66" i="1" s="1"/>
  <c r="K64" i="1"/>
  <c r="M64" i="1" s="1"/>
  <c r="C38" i="7"/>
  <c r="G38" i="7" s="1"/>
  <c r="H38" i="7" s="1"/>
  <c r="C39" i="7"/>
  <c r="E39" i="7" s="1"/>
  <c r="L26" i="1"/>
  <c r="K34" i="1"/>
  <c r="M34" i="1" s="1"/>
  <c r="K16" i="1"/>
  <c r="M16" i="1" s="1"/>
  <c r="K61" i="1"/>
  <c r="M61" i="1" s="1"/>
  <c r="L36" i="1"/>
  <c r="N36" i="1" s="1"/>
  <c r="C22" i="7" s="1"/>
  <c r="K60" i="1"/>
  <c r="M60" i="1" s="1"/>
  <c r="C33" i="7"/>
  <c r="G33" i="7" s="1"/>
  <c r="H33" i="7" s="1"/>
  <c r="K6" i="1"/>
  <c r="M6" i="1" s="1"/>
  <c r="C25" i="7"/>
  <c r="G25" i="7" s="1"/>
  <c r="H25" i="7" s="1"/>
  <c r="C18" i="7"/>
  <c r="G18" i="7" s="1"/>
  <c r="H18" i="7" s="1"/>
  <c r="K8" i="1"/>
  <c r="M8" i="1" s="1"/>
  <c r="K80" i="1"/>
  <c r="M80" i="1" s="1"/>
  <c r="J47" i="5"/>
  <c r="R48" i="21"/>
  <c r="F61" i="7"/>
  <c r="X63" i="7" s="1"/>
  <c r="Z14" i="12"/>
  <c r="F59" i="7"/>
  <c r="X61" i="7" s="1"/>
  <c r="F60" i="7"/>
  <c r="X64" i="7" s="1"/>
  <c r="X62" i="7"/>
  <c r="K63" i="1"/>
  <c r="M63" i="1" s="1"/>
  <c r="K23" i="1"/>
  <c r="M23" i="1" s="1"/>
  <c r="K14" i="1"/>
  <c r="M14" i="1" s="1"/>
  <c r="K38" i="1"/>
  <c r="M38" i="1" s="1"/>
  <c r="L7" i="1"/>
  <c r="N6" i="1" s="1"/>
  <c r="L79" i="1"/>
  <c r="N78" i="1" s="1"/>
  <c r="C43" i="7" s="1"/>
  <c r="C31" i="7"/>
  <c r="K37" i="1"/>
  <c r="M37" i="1" s="1"/>
  <c r="K78" i="1"/>
  <c r="M78" i="1" s="1"/>
  <c r="K10" i="1"/>
  <c r="M10" i="1" s="1"/>
  <c r="K67" i="1"/>
  <c r="M67" i="1" s="1"/>
  <c r="C35" i="7"/>
  <c r="E35" i="7" s="1"/>
  <c r="K27" i="1"/>
  <c r="M27" i="1" s="1"/>
  <c r="K11" i="1"/>
  <c r="M11" i="1" s="1"/>
  <c r="K19" i="1"/>
  <c r="M19" i="1" s="1"/>
  <c r="K35" i="1"/>
  <c r="M35" i="1" s="1"/>
  <c r="L39" i="1"/>
  <c r="N38" i="1" s="1"/>
  <c r="C23" i="7" s="1"/>
  <c r="N60" i="1"/>
  <c r="C34" i="7" s="1"/>
  <c r="C16" i="7"/>
  <c r="N34" i="1"/>
  <c r="C21" i="7" s="1"/>
  <c r="N10" i="1"/>
  <c r="C9" i="7" s="1"/>
  <c r="N66" i="1"/>
  <c r="C37" i="7" s="1"/>
  <c r="N8" i="1"/>
  <c r="C8" i="7" s="1"/>
  <c r="C24" i="7"/>
  <c r="K81" i="1"/>
  <c r="M81" i="1" s="1"/>
  <c r="N81" i="1"/>
  <c r="C44" i="7" s="1"/>
  <c r="G44" i="7" s="1"/>
  <c r="H44" i="7" s="1"/>
  <c r="L65" i="1"/>
  <c r="N64" i="1" s="1"/>
  <c r="C36" i="7" s="1"/>
  <c r="L33" i="1"/>
  <c r="L20" i="1"/>
  <c r="N20" i="1" s="1"/>
  <c r="C14" i="7" s="1"/>
  <c r="C41" i="7"/>
  <c r="L62" i="1"/>
  <c r="N62" i="1" s="1"/>
  <c r="K83" i="1"/>
  <c r="M83" i="1" s="1"/>
  <c r="L57" i="7"/>
  <c r="N44" i="7"/>
  <c r="N57" i="7"/>
  <c r="I25" i="4"/>
  <c r="Y24" i="4"/>
  <c r="N96" i="13"/>
  <c r="W95" i="13"/>
  <c r="W101" i="13" s="1"/>
  <c r="AO12" i="13"/>
  <c r="AL10" i="13"/>
  <c r="O32" i="4"/>
  <c r="X32" i="4"/>
  <c r="O16" i="4"/>
  <c r="X16" i="4"/>
  <c r="H26" i="21"/>
  <c r="I25" i="21"/>
  <c r="Y16" i="4"/>
  <c r="M16" i="21"/>
  <c r="H34" i="4"/>
  <c r="I34" i="4" s="1"/>
  <c r="I33" i="4"/>
  <c r="O24" i="4"/>
  <c r="W28" i="4"/>
  <c r="M29" i="4"/>
  <c r="O29" i="4" s="1"/>
  <c r="W24" i="4"/>
  <c r="V101" i="13"/>
  <c r="N60" i="13"/>
  <c r="V60" i="13" s="1"/>
  <c r="V10" i="13"/>
  <c r="AR10" i="13" s="1"/>
  <c r="W10" i="13"/>
  <c r="N94" i="13"/>
  <c r="W11" i="13"/>
  <c r="AO11" i="13"/>
  <c r="O28" i="4"/>
  <c r="M20" i="4"/>
  <c r="O20" i="4" s="1"/>
  <c r="AN11" i="13"/>
  <c r="Y36" i="4"/>
  <c r="O36" i="4"/>
  <c r="W36" i="4"/>
  <c r="H26" i="4"/>
  <c r="I26" i="4" s="1"/>
  <c r="H18" i="4"/>
  <c r="I18" i="4" s="1"/>
  <c r="AO10" i="13"/>
  <c r="U94" i="13"/>
  <c r="U101" i="13" s="1"/>
  <c r="M42" i="21"/>
  <c r="M43" i="21"/>
  <c r="O43" i="21" s="1"/>
  <c r="M25" i="4"/>
  <c r="M26" i="4" s="1"/>
  <c r="AM15" i="13"/>
  <c r="AL15" i="13"/>
  <c r="AN15" i="13"/>
  <c r="U15" i="13"/>
  <c r="O17" i="13" s="1"/>
  <c r="AQ17" i="13" s="1"/>
  <c r="H29" i="4"/>
  <c r="O46" i="21"/>
  <c r="H42" i="21"/>
  <c r="AC11" i="13"/>
  <c r="AB11" i="13"/>
  <c r="H17" i="21"/>
  <c r="I17" i="21" s="1"/>
  <c r="AA11" i="13"/>
  <c r="Z9" i="4"/>
  <c r="I20" i="4"/>
  <c r="H21" i="4"/>
  <c r="I21" i="4" s="1"/>
  <c r="N16" i="4"/>
  <c r="W15" i="4"/>
  <c r="Z15" i="4" s="1"/>
  <c r="Y15" i="4"/>
  <c r="X15" i="4"/>
  <c r="W12" i="4"/>
  <c r="Z12" i="4" s="1"/>
  <c r="Y41" i="4"/>
  <c r="X41" i="4"/>
  <c r="O41" i="4"/>
  <c r="W41" i="4"/>
  <c r="X14" i="4"/>
  <c r="Y40" i="4"/>
  <c r="X40" i="4"/>
  <c r="W40" i="4"/>
  <c r="X13" i="4"/>
  <c r="Y39" i="4"/>
  <c r="X39" i="4"/>
  <c r="W39" i="4"/>
  <c r="X12" i="4"/>
  <c r="Y14" i="4"/>
  <c r="O39" i="4"/>
  <c r="AC10" i="13"/>
  <c r="Y13" i="4"/>
  <c r="W16" i="4"/>
  <c r="M17" i="4"/>
  <c r="M18" i="4" s="1"/>
  <c r="X37" i="4"/>
  <c r="Y38" i="4"/>
  <c r="O37" i="4"/>
  <c r="X36" i="4"/>
  <c r="Y28" i="4"/>
  <c r="AG56" i="7"/>
  <c r="AC26" i="2" l="1"/>
  <c r="AC11" i="2"/>
  <c r="C21" i="13"/>
  <c r="D21" i="13" s="1"/>
  <c r="BF21" i="13"/>
  <c r="AV21" i="13"/>
  <c r="M114" i="1"/>
  <c r="N26" i="1"/>
  <c r="C17" i="7" s="1"/>
  <c r="AA21" i="13"/>
  <c r="O25" i="4"/>
  <c r="Y25" i="4"/>
  <c r="M21" i="4"/>
  <c r="Y21" i="4" s="1"/>
  <c r="BM12" i="13"/>
  <c r="BN11" i="13"/>
  <c r="BO11" i="13" s="1"/>
  <c r="BP11" i="13"/>
  <c r="AP15" i="13"/>
  <c r="AQ19" i="13"/>
  <c r="W12" i="13"/>
  <c r="W13" i="13" s="1"/>
  <c r="W14" i="13" s="1"/>
  <c r="W15" i="13" s="1"/>
  <c r="W16" i="13" s="1"/>
  <c r="W17" i="13" s="1"/>
  <c r="W18" i="13" s="1"/>
  <c r="W19" i="13" s="1"/>
  <c r="W20" i="13" s="1"/>
  <c r="W21" i="13" s="1"/>
  <c r="AO15" i="13"/>
  <c r="BM15" i="13" s="1"/>
  <c r="D18" i="13"/>
  <c r="AL12" i="13"/>
  <c r="BD12" i="13" s="1"/>
  <c r="AQ15" i="13"/>
  <c r="BF15" i="13" s="1"/>
  <c r="AQ14" i="13"/>
  <c r="AQ12" i="13"/>
  <c r="AP19" i="13"/>
  <c r="BE19" i="13" s="1"/>
  <c r="BA21" i="13" s="1"/>
  <c r="AP12" i="13"/>
  <c r="BM10" i="13"/>
  <c r="O63" i="21"/>
  <c r="Z57" i="7"/>
  <c r="H27" i="4"/>
  <c r="I27" i="4" s="1"/>
  <c r="AP69" i="13"/>
  <c r="M35" i="21"/>
  <c r="X35" i="21" s="1"/>
  <c r="Z60" i="13"/>
  <c r="AE10" i="13"/>
  <c r="AP70" i="13"/>
  <c r="AR69" i="13"/>
  <c r="AR60" i="13"/>
  <c r="X62" i="13"/>
  <c r="M38" i="21"/>
  <c r="M39" i="21" s="1"/>
  <c r="Y39" i="21" s="1"/>
  <c r="H57" i="21"/>
  <c r="H58" i="21" s="1"/>
  <c r="E63" i="13"/>
  <c r="E64" i="13" s="1"/>
  <c r="D14" i="13"/>
  <c r="M55" i="21"/>
  <c r="M56" i="21"/>
  <c r="X56" i="21" s="1"/>
  <c r="O20" i="13"/>
  <c r="AR67" i="13"/>
  <c r="O94" i="13"/>
  <c r="O101" i="13" s="1"/>
  <c r="X60" i="13"/>
  <c r="Q94" i="13"/>
  <c r="Q101" i="13" s="1"/>
  <c r="H37" i="21"/>
  <c r="I37" i="21" s="1"/>
  <c r="AQ68" i="13"/>
  <c r="Y60" i="13"/>
  <c r="BD19" i="13"/>
  <c r="AZ21" i="13" s="1"/>
  <c r="AT19" i="13"/>
  <c r="N97" i="13"/>
  <c r="D13" i="13"/>
  <c r="D17" i="13"/>
  <c r="AN13" i="13"/>
  <c r="AM13" i="13"/>
  <c r="AL11" i="13"/>
  <c r="M26" i="21"/>
  <c r="M27" i="21" s="1"/>
  <c r="N27" i="21" s="1"/>
  <c r="O20" i="21"/>
  <c r="Y20" i="21"/>
  <c r="X20" i="21"/>
  <c r="I35" i="21"/>
  <c r="O21" i="21"/>
  <c r="W21" i="21"/>
  <c r="AB21" i="21" s="1"/>
  <c r="Y21" i="21"/>
  <c r="M22" i="21"/>
  <c r="Y22" i="21" s="1"/>
  <c r="M35" i="12"/>
  <c r="AR68" i="13"/>
  <c r="AQ67" i="13"/>
  <c r="Y62" i="13"/>
  <c r="Z62" i="13"/>
  <c r="AR70" i="13"/>
  <c r="AQ69" i="13"/>
  <c r="AM12" i="13"/>
  <c r="AU12" i="13" s="1"/>
  <c r="AP68" i="13"/>
  <c r="AQ70" i="13"/>
  <c r="P101" i="13"/>
  <c r="AN12" i="13"/>
  <c r="AT11" i="13"/>
  <c r="AD10" i="13"/>
  <c r="Q30" i="5"/>
  <c r="R30" i="5" s="1"/>
  <c r="S30" i="5"/>
  <c r="P59" i="5"/>
  <c r="P60" i="5" s="1"/>
  <c r="M67" i="13" s="1"/>
  <c r="P57" i="21"/>
  <c r="C20" i="13" s="1"/>
  <c r="Q57" i="21"/>
  <c r="X25" i="21"/>
  <c r="AL13" i="13"/>
  <c r="M33" i="4"/>
  <c r="Y33" i="4" s="1"/>
  <c r="W25" i="21"/>
  <c r="AB25" i="21" s="1"/>
  <c r="AO13" i="13"/>
  <c r="BM13" i="13" s="1"/>
  <c r="W20" i="21"/>
  <c r="AB20" i="21" s="1"/>
  <c r="AL14" i="13"/>
  <c r="AM14" i="13"/>
  <c r="AN14" i="13"/>
  <c r="AV14" i="13" s="1"/>
  <c r="AO14" i="13"/>
  <c r="BM14" i="13" s="1"/>
  <c r="N98" i="13"/>
  <c r="M27" i="4"/>
  <c r="N27" i="4" s="1"/>
  <c r="Y25" i="21"/>
  <c r="AP13" i="13"/>
  <c r="AQ13" i="13"/>
  <c r="Q29" i="5"/>
  <c r="S29" i="5"/>
  <c r="H39" i="21"/>
  <c r="I39" i="21" s="1"/>
  <c r="W6" i="21"/>
  <c r="W16" i="21"/>
  <c r="AB16" i="21" s="1"/>
  <c r="M17" i="21"/>
  <c r="M18" i="21" s="1"/>
  <c r="X28" i="21"/>
  <c r="M8" i="21"/>
  <c r="N7" i="21" s="1"/>
  <c r="X6" i="21"/>
  <c r="Y6" i="21"/>
  <c r="O6" i="21"/>
  <c r="H22" i="21"/>
  <c r="I22" i="21" s="1"/>
  <c r="H29" i="21"/>
  <c r="N5" i="21"/>
  <c r="X92" i="21"/>
  <c r="X8" i="2"/>
  <c r="X26" i="2" s="1"/>
  <c r="L49" i="5"/>
  <c r="K50" i="5"/>
  <c r="X86" i="21"/>
  <c r="C16" i="13"/>
  <c r="I10" i="21"/>
  <c r="H11" i="21"/>
  <c r="I11" i="21" s="1"/>
  <c r="Y9" i="21"/>
  <c r="S9" i="21"/>
  <c r="N9" i="21"/>
  <c r="X9" i="21"/>
  <c r="O9" i="21"/>
  <c r="M49" i="21"/>
  <c r="M50" i="21" s="1"/>
  <c r="Y48" i="21"/>
  <c r="W48" i="21"/>
  <c r="X48" i="21"/>
  <c r="X84" i="21"/>
  <c r="V84" i="21"/>
  <c r="Y84" i="21" s="1"/>
  <c r="Y28" i="21"/>
  <c r="I48" i="21"/>
  <c r="H49" i="21"/>
  <c r="I49" i="21" s="1"/>
  <c r="V88" i="21"/>
  <c r="Y88" i="21" s="1"/>
  <c r="X88" i="21"/>
  <c r="X96" i="21"/>
  <c r="Y7" i="21"/>
  <c r="O7" i="21"/>
  <c r="W7" i="21"/>
  <c r="AB7" i="21" s="1"/>
  <c r="X7" i="21"/>
  <c r="N16" i="21"/>
  <c r="M29" i="21"/>
  <c r="N29" i="21" s="1"/>
  <c r="AO17" i="13"/>
  <c r="AM16" i="13"/>
  <c r="AQ16" i="13"/>
  <c r="AO16" i="13"/>
  <c r="Y16" i="21"/>
  <c r="AL16" i="13"/>
  <c r="AP16" i="13"/>
  <c r="X16" i="21"/>
  <c r="AN16" i="13"/>
  <c r="H19" i="4"/>
  <c r="I19" i="4" s="1"/>
  <c r="BE11" i="13"/>
  <c r="AU11" i="13"/>
  <c r="W28" i="21"/>
  <c r="AB28" i="21" s="1"/>
  <c r="AP17" i="13"/>
  <c r="O28" i="21"/>
  <c r="H18" i="21"/>
  <c r="I18" i="21" s="1"/>
  <c r="L47" i="5"/>
  <c r="AC56" i="7"/>
  <c r="T74" i="2"/>
  <c r="AA8" i="2"/>
  <c r="AA26" i="2" s="1"/>
  <c r="N32" i="1"/>
  <c r="C20" i="7" s="1"/>
  <c r="G20" i="7" s="1"/>
  <c r="H20" i="7" s="1"/>
  <c r="N12" i="1"/>
  <c r="C10" i="7" s="1"/>
  <c r="E10" i="7" s="1"/>
  <c r="E13" i="7"/>
  <c r="G13" i="7"/>
  <c r="H13" i="7" s="1"/>
  <c r="E38" i="7"/>
  <c r="G42" i="7"/>
  <c r="H42" i="7" s="1"/>
  <c r="E42" i="7"/>
  <c r="C7" i="7"/>
  <c r="G35" i="7"/>
  <c r="H35" i="7" s="1"/>
  <c r="G11" i="7"/>
  <c r="H11" i="7" s="1"/>
  <c r="G22" i="7"/>
  <c r="H22" i="7" s="1"/>
  <c r="E22" i="7"/>
  <c r="E25" i="7"/>
  <c r="E18" i="7"/>
  <c r="E12" i="7"/>
  <c r="P48" i="21"/>
  <c r="Q48" i="21"/>
  <c r="K47" i="5"/>
  <c r="E23" i="7"/>
  <c r="G23" i="7"/>
  <c r="H23" i="7" s="1"/>
  <c r="E33" i="7"/>
  <c r="C27" i="7"/>
  <c r="G27" i="7" s="1"/>
  <c r="H27" i="7" s="1"/>
  <c r="G39" i="7"/>
  <c r="H39" i="7" s="1"/>
  <c r="G41" i="7"/>
  <c r="H41" i="7" s="1"/>
  <c r="E41" i="7"/>
  <c r="G24" i="7"/>
  <c r="H24" i="7" s="1"/>
  <c r="E24" i="7"/>
  <c r="E36" i="7"/>
  <c r="G36" i="7"/>
  <c r="H36" i="7" s="1"/>
  <c r="K114" i="1"/>
  <c r="C26" i="7"/>
  <c r="C29" i="7"/>
  <c r="G14" i="7"/>
  <c r="H14" i="7" s="1"/>
  <c r="E14" i="7"/>
  <c r="L114" i="1"/>
  <c r="G21" i="7"/>
  <c r="H21" i="7" s="1"/>
  <c r="E21" i="7"/>
  <c r="E8" i="7"/>
  <c r="G8" i="7"/>
  <c r="H8" i="7" s="1"/>
  <c r="G9" i="7"/>
  <c r="H9" i="7" s="1"/>
  <c r="E9" i="7"/>
  <c r="E31" i="7"/>
  <c r="G31" i="7"/>
  <c r="H31" i="7" s="1"/>
  <c r="E16" i="7"/>
  <c r="G16" i="7"/>
  <c r="H16" i="7" s="1"/>
  <c r="G37" i="7"/>
  <c r="H37" i="7" s="1"/>
  <c r="E37" i="7"/>
  <c r="G34" i="7"/>
  <c r="H34" i="7" s="1"/>
  <c r="E34" i="7"/>
  <c r="C15" i="7"/>
  <c r="E47" i="7"/>
  <c r="G47" i="7"/>
  <c r="H47" i="7" s="1"/>
  <c r="E43" i="7"/>
  <c r="G43" i="7"/>
  <c r="Y99" i="4"/>
  <c r="O16" i="21"/>
  <c r="X20" i="4"/>
  <c r="M34" i="4"/>
  <c r="W34" i="4" s="1"/>
  <c r="H43" i="21"/>
  <c r="I42" i="21"/>
  <c r="Y26" i="4"/>
  <c r="X26" i="4"/>
  <c r="O26" i="4"/>
  <c r="W26" i="4"/>
  <c r="I26" i="21"/>
  <c r="H27" i="21"/>
  <c r="I27" i="21" s="1"/>
  <c r="AL18" i="13"/>
  <c r="AO18" i="13"/>
  <c r="AM18" i="13"/>
  <c r="AP18" i="13"/>
  <c r="AQ18" i="13"/>
  <c r="W25" i="4"/>
  <c r="N25" i="4"/>
  <c r="AT10" i="13"/>
  <c r="BD10" i="13"/>
  <c r="X99" i="4"/>
  <c r="H30" i="4"/>
  <c r="I29" i="4"/>
  <c r="AM17" i="13"/>
  <c r="AL17" i="13"/>
  <c r="AN17" i="13"/>
  <c r="N42" i="21"/>
  <c r="Y43" i="21"/>
  <c r="X43" i="21"/>
  <c r="W43" i="21"/>
  <c r="AB43" i="21" s="1"/>
  <c r="X29" i="4"/>
  <c r="N29" i="4"/>
  <c r="Y29" i="4"/>
  <c r="W29" i="4"/>
  <c r="M44" i="21"/>
  <c r="W44" i="21" s="1"/>
  <c r="AB44" i="21" s="1"/>
  <c r="M30" i="4"/>
  <c r="X25" i="4"/>
  <c r="O42" i="21"/>
  <c r="Y42" i="21"/>
  <c r="X42" i="21"/>
  <c r="W42" i="21"/>
  <c r="AB42" i="21" s="1"/>
  <c r="BD11" i="13"/>
  <c r="AV15" i="13"/>
  <c r="BF11" i="13"/>
  <c r="AV11" i="13"/>
  <c r="BE15" i="13"/>
  <c r="AU15" i="13"/>
  <c r="X21" i="4"/>
  <c r="W21" i="4"/>
  <c r="O21" i="4"/>
  <c r="H35" i="4"/>
  <c r="Y20" i="4"/>
  <c r="W20" i="4"/>
  <c r="AU10" i="13"/>
  <c r="BE10" i="13"/>
  <c r="W99" i="4"/>
  <c r="M19" i="4"/>
  <c r="S16" i="4" s="1"/>
  <c r="X17" i="4"/>
  <c r="W17" i="4"/>
  <c r="Z17" i="4" s="1"/>
  <c r="Y17" i="4"/>
  <c r="N17" i="4"/>
  <c r="O17" i="4"/>
  <c r="AD11" i="13"/>
  <c r="AE11" i="13"/>
  <c r="AN10" i="13"/>
  <c r="Y18" i="4"/>
  <c r="O18" i="4"/>
  <c r="X18" i="4"/>
  <c r="W18" i="4"/>
  <c r="Z16" i="4"/>
  <c r="H22" i="4"/>
  <c r="I22" i="4" s="1"/>
  <c r="Y35" i="21" l="1"/>
  <c r="AE21" i="13"/>
  <c r="AD21" i="13"/>
  <c r="N114" i="1"/>
  <c r="E20" i="7"/>
  <c r="C57" i="7"/>
  <c r="X67" i="7" s="1"/>
  <c r="E17" i="7"/>
  <c r="G17" i="7"/>
  <c r="H17" i="7" s="1"/>
  <c r="G10" i="7"/>
  <c r="H10" i="7" s="1"/>
  <c r="J36" i="12"/>
  <c r="E7" i="7"/>
  <c r="W27" i="4"/>
  <c r="M36" i="21"/>
  <c r="M37" i="21" s="1"/>
  <c r="Y37" i="21" s="1"/>
  <c r="M22" i="4"/>
  <c r="M23" i="4"/>
  <c r="BN14" i="13"/>
  <c r="BO14" i="13" s="1"/>
  <c r="BP14" i="13"/>
  <c r="BN13" i="13"/>
  <c r="BO13" i="13" s="1"/>
  <c r="BP13" i="13"/>
  <c r="BP15" i="13"/>
  <c r="BN15" i="13"/>
  <c r="BO15" i="13" s="1"/>
  <c r="BD15" i="13"/>
  <c r="M57" i="21"/>
  <c r="Y57" i="21" s="1"/>
  <c r="AV12" i="13"/>
  <c r="AT12" i="13"/>
  <c r="AT15" i="13"/>
  <c r="AU19" i="13"/>
  <c r="BN10" i="13"/>
  <c r="BO10" i="13" s="1"/>
  <c r="BP10" i="13"/>
  <c r="BN12" i="13"/>
  <c r="BO12" i="13" s="1"/>
  <c r="BP12" i="13"/>
  <c r="BE13" i="13"/>
  <c r="BA15" i="13" s="1"/>
  <c r="O35" i="21"/>
  <c r="W38" i="21"/>
  <c r="AB38" i="21" s="1"/>
  <c r="W35" i="21"/>
  <c r="AB35" i="21" s="1"/>
  <c r="N35" i="21"/>
  <c r="Z27" i="2"/>
  <c r="Z28" i="2" s="1"/>
  <c r="M40" i="21"/>
  <c r="M41" i="21" s="1"/>
  <c r="N102" i="13"/>
  <c r="X38" i="21"/>
  <c r="W39" i="21"/>
  <c r="AB39" i="21" s="1"/>
  <c r="X39" i="21"/>
  <c r="I57" i="21"/>
  <c r="O38" i="21"/>
  <c r="Y38" i="21"/>
  <c r="BE12" i="13"/>
  <c r="BA12" i="13" s="1"/>
  <c r="AV16" i="13"/>
  <c r="O33" i="4"/>
  <c r="S25" i="21"/>
  <c r="X26" i="21"/>
  <c r="N32" i="4"/>
  <c r="X33" i="4"/>
  <c r="W33" i="4"/>
  <c r="O26" i="21"/>
  <c r="Y26" i="21"/>
  <c r="AT14" i="13"/>
  <c r="W56" i="21"/>
  <c r="AA56" i="21"/>
  <c r="X57" i="21"/>
  <c r="Y55" i="21"/>
  <c r="W55" i="21"/>
  <c r="X55" i="21"/>
  <c r="Y56" i="21"/>
  <c r="AM20" i="13"/>
  <c r="AM60" i="13" s="1"/>
  <c r="D20" i="13"/>
  <c r="AQ20" i="13"/>
  <c r="AQ60" i="13" s="1"/>
  <c r="AL20" i="13"/>
  <c r="AO20" i="13"/>
  <c r="AO60" i="13" s="1"/>
  <c r="AP20" i="13"/>
  <c r="O27" i="4"/>
  <c r="BF16" i="13"/>
  <c r="N38" i="21"/>
  <c r="N101" i="13"/>
  <c r="AT16" i="13"/>
  <c r="H50" i="21"/>
  <c r="I50" i="21" s="1"/>
  <c r="N25" i="21"/>
  <c r="W26" i="21"/>
  <c r="AB26" i="21" s="1"/>
  <c r="M71" i="13"/>
  <c r="M68" i="13"/>
  <c r="BD17" i="13"/>
  <c r="Y27" i="4"/>
  <c r="AC14" i="13" s="1"/>
  <c r="X27" i="4"/>
  <c r="AB14" i="13" s="1"/>
  <c r="AV13" i="13"/>
  <c r="AT13" i="13"/>
  <c r="N61" i="13"/>
  <c r="AA11" i="2" s="1"/>
  <c r="N21" i="21"/>
  <c r="D16" i="13"/>
  <c r="M23" i="21"/>
  <c r="S20" i="21" s="1"/>
  <c r="W22" i="21"/>
  <c r="AB22" i="21" s="1"/>
  <c r="O22" i="21"/>
  <c r="X22" i="21"/>
  <c r="S59" i="5"/>
  <c r="AI6" i="5" s="1"/>
  <c r="BF12" i="13"/>
  <c r="BE16" i="13"/>
  <c r="BD13" i="13"/>
  <c r="AZ19" i="13" s="1"/>
  <c r="BF14" i="13"/>
  <c r="AU13" i="13"/>
  <c r="BF13" i="13"/>
  <c r="X34" i="4"/>
  <c r="AZ15" i="13"/>
  <c r="AZ11" i="13"/>
  <c r="AZ13" i="13"/>
  <c r="BA13" i="13"/>
  <c r="AB48" i="21"/>
  <c r="BA11" i="13"/>
  <c r="BB13" i="13"/>
  <c r="AU14" i="13"/>
  <c r="BE14" i="13"/>
  <c r="H40" i="21"/>
  <c r="H41" i="21" s="1"/>
  <c r="I41" i="21" s="1"/>
  <c r="BD14" i="13"/>
  <c r="AZ14" i="13" s="1"/>
  <c r="R29" i="5"/>
  <c r="Q59" i="5"/>
  <c r="M30" i="21"/>
  <c r="W30" i="21" s="1"/>
  <c r="AB30" i="21" s="1"/>
  <c r="Y29" i="21"/>
  <c r="M51" i="21"/>
  <c r="W29" i="21"/>
  <c r="AB29" i="21" s="1"/>
  <c r="AT18" i="13"/>
  <c r="M19" i="21"/>
  <c r="H23" i="21"/>
  <c r="I23" i="21" s="1"/>
  <c r="AB6" i="21"/>
  <c r="O48" i="21"/>
  <c r="C19" i="13"/>
  <c r="S5" i="21"/>
  <c r="O39" i="21"/>
  <c r="O50" i="21"/>
  <c r="H30" i="21"/>
  <c r="H31" i="21" s="1"/>
  <c r="I29" i="21"/>
  <c r="P55" i="4"/>
  <c r="X50" i="21"/>
  <c r="W50" i="21"/>
  <c r="Y50" i="21"/>
  <c r="O49" i="21"/>
  <c r="W49" i="21"/>
  <c r="AB49" i="21" s="1"/>
  <c r="X49" i="21"/>
  <c r="Y49" i="21"/>
  <c r="Y10" i="21"/>
  <c r="W10" i="21"/>
  <c r="AB10" i="21" s="1"/>
  <c r="O10" i="21"/>
  <c r="X10" i="21"/>
  <c r="N48" i="21"/>
  <c r="Y8" i="21"/>
  <c r="X8" i="21"/>
  <c r="W8" i="21"/>
  <c r="AB8" i="21" s="1"/>
  <c r="O8" i="21"/>
  <c r="W11" i="21"/>
  <c r="AB11" i="21" s="1"/>
  <c r="Y11" i="21"/>
  <c r="N11" i="21"/>
  <c r="X11" i="21"/>
  <c r="O11" i="21"/>
  <c r="O29" i="21"/>
  <c r="X29" i="21"/>
  <c r="AU16" i="13"/>
  <c r="X17" i="21"/>
  <c r="Y34" i="4"/>
  <c r="BD16" i="13"/>
  <c r="H19" i="21"/>
  <c r="I19" i="21" s="1"/>
  <c r="Y17" i="21"/>
  <c r="N17" i="21"/>
  <c r="AA98" i="4"/>
  <c r="O17" i="21"/>
  <c r="W17" i="21"/>
  <c r="AB17" i="21" s="1"/>
  <c r="O34" i="4"/>
  <c r="AA14" i="13"/>
  <c r="D7" i="7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G7" i="7"/>
  <c r="H7" i="7" s="1"/>
  <c r="E27" i="7"/>
  <c r="C56" i="7"/>
  <c r="E15" i="7"/>
  <c r="G15" i="7"/>
  <c r="H15" i="7" s="1"/>
  <c r="E29" i="7"/>
  <c r="G29" i="7"/>
  <c r="H29" i="7" s="1"/>
  <c r="G26" i="7"/>
  <c r="H26" i="7" s="1"/>
  <c r="E26" i="7"/>
  <c r="H43" i="7"/>
  <c r="O27" i="21"/>
  <c r="W27" i="21"/>
  <c r="AB27" i="21" s="1"/>
  <c r="AV17" i="13"/>
  <c r="BF17" i="13"/>
  <c r="X27" i="21"/>
  <c r="M35" i="4"/>
  <c r="I35" i="4"/>
  <c r="AZ12" i="13"/>
  <c r="AZ10" i="13"/>
  <c r="Y27" i="21"/>
  <c r="AU17" i="13"/>
  <c r="BE17" i="13"/>
  <c r="BA17" i="13" s="1"/>
  <c r="H23" i="4"/>
  <c r="I23" i="4" s="1"/>
  <c r="H31" i="4"/>
  <c r="I31" i="4" s="1"/>
  <c r="I30" i="4"/>
  <c r="H44" i="21"/>
  <c r="I43" i="21"/>
  <c r="BB11" i="13"/>
  <c r="X30" i="4"/>
  <c r="M31" i="4"/>
  <c r="S28" i="4" s="1"/>
  <c r="W30" i="4"/>
  <c r="Y30" i="4"/>
  <c r="O30" i="4"/>
  <c r="AU18" i="13"/>
  <c r="BE18" i="13"/>
  <c r="M45" i="21"/>
  <c r="O45" i="21" s="1"/>
  <c r="O44" i="21"/>
  <c r="Y44" i="21"/>
  <c r="X44" i="21"/>
  <c r="BD18" i="13"/>
  <c r="AT17" i="13"/>
  <c r="S25" i="4"/>
  <c r="AC12" i="13"/>
  <c r="AA101" i="4"/>
  <c r="AB12" i="13"/>
  <c r="Y19" i="4"/>
  <c r="AC13" i="13" s="1"/>
  <c r="X19" i="4"/>
  <c r="AB13" i="13" s="1"/>
  <c r="O19" i="4"/>
  <c r="W19" i="4"/>
  <c r="AA13" i="13" s="1"/>
  <c r="N19" i="4"/>
  <c r="AA12" i="13"/>
  <c r="AV10" i="13"/>
  <c r="BF10" i="13"/>
  <c r="AA102" i="4"/>
  <c r="BA10" i="13"/>
  <c r="W36" i="21" l="1"/>
  <c r="AB36" i="21" s="1"/>
  <c r="X36" i="21"/>
  <c r="N36" i="21"/>
  <c r="I40" i="21"/>
  <c r="X37" i="21"/>
  <c r="Y36" i="21"/>
  <c r="AC16" i="13" s="1"/>
  <c r="S35" i="21"/>
  <c r="O36" i="21"/>
  <c r="O37" i="21"/>
  <c r="W37" i="21"/>
  <c r="AB37" i="21" s="1"/>
  <c r="E57" i="7"/>
  <c r="X68" i="7" s="1"/>
  <c r="N23" i="4"/>
  <c r="W23" i="4"/>
  <c r="X23" i="4"/>
  <c r="Y23" i="4"/>
  <c r="O23" i="4"/>
  <c r="W22" i="4"/>
  <c r="O22" i="4"/>
  <c r="X22" i="4"/>
  <c r="Y22" i="4"/>
  <c r="S20" i="4"/>
  <c r="N21" i="4"/>
  <c r="W57" i="21"/>
  <c r="M58" i="21"/>
  <c r="M59" i="21" s="1"/>
  <c r="Y59" i="21" s="1"/>
  <c r="X11" i="2"/>
  <c r="BE20" i="13"/>
  <c r="BE61" i="13" s="1"/>
  <c r="W58" i="21"/>
  <c r="BA14" i="13"/>
  <c r="BB16" i="13"/>
  <c r="H51" i="21"/>
  <c r="H52" i="21" s="1"/>
  <c r="I52" i="21" s="1"/>
  <c r="M99" i="4"/>
  <c r="BD20" i="13"/>
  <c r="AZ20" i="13" s="1"/>
  <c r="AT20" i="13"/>
  <c r="AT60" i="13" s="1"/>
  <c r="AU20" i="13"/>
  <c r="AU60" i="13" s="1"/>
  <c r="V61" i="13"/>
  <c r="Z11" i="2"/>
  <c r="Y11" i="2"/>
  <c r="D60" i="6"/>
  <c r="AB11" i="2"/>
  <c r="AL60" i="13"/>
  <c r="AL63" i="13" s="1"/>
  <c r="AP60" i="13"/>
  <c r="BA16" i="13"/>
  <c r="AZ17" i="13"/>
  <c r="O23" i="21"/>
  <c r="N23" i="21"/>
  <c r="X23" i="21"/>
  <c r="W23" i="21"/>
  <c r="AB23" i="21" s="1"/>
  <c r="Y23" i="21"/>
  <c r="C61" i="13"/>
  <c r="E65" i="13"/>
  <c r="D19" i="13"/>
  <c r="D60" i="13" s="1"/>
  <c r="J67" i="13"/>
  <c r="M52" i="21"/>
  <c r="O52" i="21" s="1"/>
  <c r="R59" i="5"/>
  <c r="AJ6" i="5" s="1"/>
  <c r="S60" i="5"/>
  <c r="BB17" i="13"/>
  <c r="Y30" i="21"/>
  <c r="O30" i="21"/>
  <c r="X30" i="21"/>
  <c r="M31" i="21"/>
  <c r="S28" i="21" s="1"/>
  <c r="AZ16" i="13"/>
  <c r="BB15" i="13"/>
  <c r="AZ18" i="13"/>
  <c r="BA19" i="13"/>
  <c r="P99" i="4"/>
  <c r="Q60" i="5"/>
  <c r="AH6" i="5"/>
  <c r="C60" i="13"/>
  <c r="N44" i="21"/>
  <c r="BA18" i="13"/>
  <c r="X107" i="21"/>
  <c r="Y107" i="21"/>
  <c r="W41" i="21"/>
  <c r="AB41" i="21" s="1"/>
  <c r="Y41" i="21"/>
  <c r="O41" i="21"/>
  <c r="X41" i="21"/>
  <c r="O40" i="21"/>
  <c r="Y40" i="21"/>
  <c r="N40" i="21"/>
  <c r="S38" i="21"/>
  <c r="X40" i="21"/>
  <c r="W40" i="21"/>
  <c r="AB40" i="21" s="1"/>
  <c r="AA102" i="21"/>
  <c r="AC28" i="2"/>
  <c r="AB28" i="2"/>
  <c r="X28" i="2"/>
  <c r="Y28" i="2"/>
  <c r="AA28" i="2"/>
  <c r="X45" i="21"/>
  <c r="AB18" i="13" s="1"/>
  <c r="S42" i="21"/>
  <c r="AD14" i="13"/>
  <c r="AE14" i="13"/>
  <c r="O19" i="21"/>
  <c r="Y19" i="21"/>
  <c r="W19" i="21"/>
  <c r="AB19" i="21" s="1"/>
  <c r="N19" i="21"/>
  <c r="X19" i="21"/>
  <c r="S16" i="21"/>
  <c r="Y18" i="21"/>
  <c r="O18" i="21"/>
  <c r="X18" i="21"/>
  <c r="W18" i="21"/>
  <c r="AB18" i="21" s="1"/>
  <c r="H57" i="7"/>
  <c r="G56" i="7"/>
  <c r="G63" i="7" s="1"/>
  <c r="G57" i="7"/>
  <c r="H56" i="7"/>
  <c r="H45" i="21"/>
  <c r="I45" i="21" s="1"/>
  <c r="I44" i="21"/>
  <c r="Y35" i="4"/>
  <c r="X35" i="4"/>
  <c r="O35" i="4"/>
  <c r="W35" i="4"/>
  <c r="N34" i="4"/>
  <c r="W45" i="21"/>
  <c r="Y45" i="21"/>
  <c r="AC18" i="13" s="1"/>
  <c r="AN18" i="13" s="1"/>
  <c r="X31" i="4"/>
  <c r="AB15" i="13" s="1"/>
  <c r="O31" i="4"/>
  <c r="Y31" i="4"/>
  <c r="AC15" i="13" s="1"/>
  <c r="W31" i="4"/>
  <c r="AA15" i="13" s="1"/>
  <c r="N30" i="4"/>
  <c r="BB10" i="13"/>
  <c r="BB12" i="13" s="1"/>
  <c r="BB14" i="13"/>
  <c r="AE13" i="13"/>
  <c r="AD13" i="13"/>
  <c r="AE12" i="13"/>
  <c r="AD12" i="13"/>
  <c r="AB16" i="13" l="1"/>
  <c r="AA16" i="13"/>
  <c r="AD16" i="13" s="1"/>
  <c r="X59" i="21"/>
  <c r="Y58" i="21"/>
  <c r="AC20" i="13" s="1"/>
  <c r="AN20" i="13" s="1"/>
  <c r="AV20" i="13" s="1"/>
  <c r="W59" i="21"/>
  <c r="AA20" i="13" s="1"/>
  <c r="S56" i="21"/>
  <c r="N57" i="21"/>
  <c r="N102" i="4"/>
  <c r="X58" i="21"/>
  <c r="AB20" i="13" s="1"/>
  <c r="BA20" i="13"/>
  <c r="I51" i="21"/>
  <c r="R60" i="5"/>
  <c r="AE20" i="13"/>
  <c r="AD20" i="13"/>
  <c r="Y31" i="21"/>
  <c r="O31" i="21"/>
  <c r="W31" i="21"/>
  <c r="AB31" i="21" s="1"/>
  <c r="H53" i="21"/>
  <c r="I53" i="21" s="1"/>
  <c r="X31" i="21"/>
  <c r="BD61" i="13"/>
  <c r="BD63" i="13" s="1"/>
  <c r="J68" i="13"/>
  <c r="P67" i="13" s="1"/>
  <c r="M75" i="13" s="1"/>
  <c r="M70" i="13"/>
  <c r="M72" i="13" s="1"/>
  <c r="M73" i="13" s="1"/>
  <c r="N67" i="13"/>
  <c r="M74" i="13" s="1"/>
  <c r="M77" i="13"/>
  <c r="U67" i="13"/>
  <c r="M76" i="13" s="1"/>
  <c r="M53" i="21"/>
  <c r="M54" i="21" s="1"/>
  <c r="N54" i="21" s="1"/>
  <c r="X52" i="21"/>
  <c r="W52" i="21"/>
  <c r="Y52" i="21"/>
  <c r="AV18" i="13"/>
  <c r="BF18" i="13"/>
  <c r="N30" i="21"/>
  <c r="W107" i="21"/>
  <c r="AB17" i="13"/>
  <c r="AC17" i="13"/>
  <c r="AA17" i="13"/>
  <c r="O51" i="21"/>
  <c r="W51" i="21"/>
  <c r="N50" i="21"/>
  <c r="X51" i="21"/>
  <c r="Y51" i="21"/>
  <c r="AB45" i="21"/>
  <c r="AA18" i="13"/>
  <c r="AE15" i="13"/>
  <c r="AD15" i="13"/>
  <c r="BF20" i="13" l="1"/>
  <c r="BB20" i="13" s="1"/>
  <c r="AE16" i="13"/>
  <c r="H54" i="21"/>
  <c r="I54" i="21" s="1"/>
  <c r="N52" i="21"/>
  <c r="O54" i="21"/>
  <c r="S48" i="21"/>
  <c r="Y54" i="21"/>
  <c r="W54" i="21"/>
  <c r="X54" i="21"/>
  <c r="X53" i="21"/>
  <c r="AB19" i="13" s="1"/>
  <c r="Y53" i="21"/>
  <c r="W53" i="21"/>
  <c r="O53" i="21"/>
  <c r="BB18" i="13"/>
  <c r="AE17" i="13"/>
  <c r="AD17" i="13"/>
  <c r="AD18" i="13"/>
  <c r="AE18" i="13"/>
  <c r="AC19" i="13" l="1"/>
  <c r="AN19" i="13" s="1"/>
  <c r="AA19" i="13"/>
  <c r="AA60" i="13" s="1"/>
  <c r="AB62" i="13"/>
  <c r="AB60" i="13"/>
  <c r="AD19" i="13" l="1"/>
  <c r="AE19" i="13"/>
  <c r="AA62" i="13"/>
  <c r="AC62" i="13"/>
  <c r="AC60" i="13"/>
  <c r="AN60" i="13"/>
  <c r="BF19" i="13"/>
  <c r="AV19" i="13"/>
  <c r="AV60" i="13" s="1"/>
  <c r="BB19" i="13" l="1"/>
  <c r="BB21" i="13"/>
  <c r="BF6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tc={72DFFA8F-5DE9-459F-B818-73C58DAE2181}</author>
    <author>tc={57ADF46A-940E-45DC-8586-0ED4E234377F}</author>
    <author>Dyan Ramdhani</author>
  </authors>
  <commentList>
    <comment ref="T10" authorId="0" shapeId="0" xr:uid="{72DFFA8F-5DE9-459F-B818-73C58DAE2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  <comment ref="O54" authorId="1" shapeId="0" xr:uid="{57ADF46A-940E-45DC-8586-0ED4E23437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Gua hitung tph yang ini dibagi 24, biar jelas tph nya
</t>
      </text>
    </comment>
    <comment ref="M56" authorId="2" shapeId="0" xr:uid="{43D54788-3E5B-4ACB-8B83-67320C7820CF}">
      <text>
        <r>
          <rPr>
            <b/>
            <sz val="9"/>
            <color indexed="81"/>
            <rFont val="Tahoma"/>
            <charset val="1"/>
          </rPr>
          <t>Dyan Ramdhani:</t>
        </r>
        <r>
          <rPr>
            <sz val="9"/>
            <color indexed="81"/>
            <rFont val="Tahoma"/>
            <charset val="1"/>
          </rPr>
          <t xml:space="preserve">
ada akumulasi dari shift pagi 115 ton yang digabungkan ke shift malam makanya pada shift malam tinggi sekali tonagenya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  <author>tc={D3486233-D7DC-4CE7-AF65-6DCF72496164}</author>
    <author>tc={85355430-F166-4DCA-A2A3-CC5CEE664CF9}</author>
  </authors>
  <commentList>
    <comment ref="J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  <comment ref="C15" authorId="1" shapeId="0" xr:uid="{D3486233-D7DC-4CE7-AF65-6DCF72496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stuck Thickener karena material overload</t>
      </text>
    </comment>
    <comment ref="C16" authorId="2" shapeId="0" xr:uid="{85355430-F166-4DCA-A2A3-CC5CEE66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Gua kurang 4,5 soalnya kan selesai malam sebelum jam 7 finish jam 02:30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<sst xmlns="http://schemas.openxmlformats.org/spreadsheetml/2006/main" count="2669" uniqueCount="780">
  <si>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</si>
  <si>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</si>
  <si>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</si>
  <si>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</si>
  <si>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</si>
  <si>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</si>
  <si>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</si>
  <si>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</si>
  <si>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</si>
  <si>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</si>
  <si>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</si>
  <si>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</si>
  <si>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</si>
  <si>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</si>
  <si>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</si>
  <si>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</si>
  <si>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</si>
  <si>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</si>
  <si>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</si>
  <si>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</si>
  <si>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</si>
  <si>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</si>
  <si>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</si>
  <si>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</si>
  <si>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</si>
  <si>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</si>
  <si>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</si>
  <si>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</si>
  <si>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</si>
  <si>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</si>
  <si>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</si>
  <si>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</si>
  <si>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</si>
  <si>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</si>
  <si>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</si>
  <si>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</si>
  <si>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</si>
  <si>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</si>
  <si>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</si>
  <si>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</si>
  <si>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</si>
  <si>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</si>
  <si>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</si>
  <si>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</si>
  <si>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</si>
  <si>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</si>
  <si>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</si>
  <si>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</si>
  <si>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</si>
  <si>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</si>
  <si>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</si>
  <si>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</si>
  <si>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</si>
  <si>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</si>
  <si>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</si>
  <si>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</si>
  <si>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</si>
  <si>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</si>
  <si>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</si>
  <si>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</si>
  <si>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</si>
  <si>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</si>
  <si>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</si>
  <si>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</si>
  <si>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</si>
  <si>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</si>
  <si>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</si>
  <si>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</si>
  <si>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</si>
  <si>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</si>
  <si>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</si>
  <si>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</si>
  <si>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</si>
  <si>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</si>
  <si>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</si>
  <si>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</si>
  <si>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</si>
  <si>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</si>
  <si>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</si>
  <si>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</si>
  <si>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</si>
  <si>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</si>
  <si>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</si>
  <si>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</si>
  <si>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</si>
  <si>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</si>
  <si>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</si>
  <si>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</si>
  <si>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</si>
  <si>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</si>
  <si>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</si>
  <si>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</si>
  <si>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</si>
  <si>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</si>
  <si>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</si>
  <si>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</si>
  <si>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</si>
  <si>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</si>
  <si>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</si>
  <si>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</si>
  <si>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</si>
  <si>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</si>
  <si>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</si>
  <si>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</si>
  <si>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</si>
  <si>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</si>
  <si>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</si>
  <si>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</si>
  <si>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</si>
  <si>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</si>
  <si>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</si>
  <si>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</si>
  <si>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</si>
  <si>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</si>
  <si>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</si>
  <si>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</si>
  <si>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</si>
  <si>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</si>
  <si>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</si>
  <si>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</si>
  <si>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</si>
  <si>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</si>
  <si>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</si>
  <si>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</si>
  <si>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</si>
  <si>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</si>
  <si>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</si>
  <si>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</si>
  <si>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</si>
  <si>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</si>
  <si>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</si>
  <si>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</si>
  <si>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</si>
  <si>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</si>
  <si>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</si>
  <si>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</si>
  <si>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</si>
  <si>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</si>
  <si>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</si>
  <si>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</si>
  <si>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</si>
  <si>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</si>
  <si>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</si>
  <si>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</si>
  <si>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</si>
  <si>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</si>
  <si>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</si>
  <si>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</si>
  <si>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</si>
  <si>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</si>
  <si>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</si>
  <si>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</si>
  <si>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</si>
  <si>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</si>
  <si>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</si>
  <si>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</si>
  <si>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</si>
  <si>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</si>
  <si>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</si>
  <si>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</si>
  <si>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</si>
  <si>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</si>
  <si>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</si>
  <si>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</si>
  <si>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</si>
  <si>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</si>
  <si>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</si>
  <si>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</si>
  <si>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</si>
  <si>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</si>
  <si>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</si>
  <si>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</si>
  <si>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</si>
  <si>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</si>
  <si>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</si>
  <si>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</si>
  <si>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</si>
  <si>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</si>
  <si>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</si>
  <si>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</si>
  <si>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</si>
  <si>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</si>
  <si>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</si>
  <si>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</si>
  <si>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</si>
  <si>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</si>
  <si>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</si>
  <si>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</si>
  <si>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</si>
  <si>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</si>
  <si>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</si>
  <si>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</si>
  <si>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</si>
  <si>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</si>
  <si>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</si>
  <si>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</si>
  <si>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</si>
  <si>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</si>
  <si>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</si>
  <si>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</si>
  <si>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</si>
  <si>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</si>
  <si>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</si>
  <si>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</si>
  <si>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</si>
  <si>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</si>
  <si>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</si>
  <si>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</si>
  <si>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</si>
  <si>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</si>
  <si>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</si>
  <si>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</si>
  <si>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</si>
  <si>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</si>
  <si>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</si>
  <si>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</si>
  <si>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</si>
  <si>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</si>
  <si>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</si>
  <si>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</si>
  <si>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</si>
  <si>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</si>
  <si>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</si>
  <si>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</si>
  <si>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</si>
  <si>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</si>
  <si>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</si>
  <si>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</si>
  <si>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</si>
  <si>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</si>
  <si>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</si>
  <si>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</si>
  <si>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</si>
  <si>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</si>
  <si>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</si>
  <si>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</si>
  <si>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</si>
  <si>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</si>
  <si>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</si>
  <si>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</si>
  <si>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</si>
  <si>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</si>
  <si>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</si>
  <si>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</si>
  <si>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</si>
  <si>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</si>
  <si>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</si>
  <si>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</si>
  <si>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</si>
  <si>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</si>
  <si>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</si>
  <si>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</si>
  <si>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</si>
  <si>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</si>
  <si>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</si>
  <si>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</si>
  <si>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</si>
  <si>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</si>
  <si>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</si>
  <si>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</si>
  <si>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</si>
  <si>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</si>
  <si>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</si>
  <si>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</si>
  <si>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</si>
  <si>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</si>
  <si>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</si>
  <si>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</si>
  <si>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</si>
  <si>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</si>
  <si>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</si>
  <si>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</si>
  <si>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</si>
  <si>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</si>
  <si>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</si>
  <si>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</si>
  <si>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</si>
  <si>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</si>
  <si>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</si>
  <si>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</si>
  <si>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</si>
  <si>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</si>
  <si>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</si>
  <si>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</si>
  <si>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</si>
  <si>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</si>
  <si>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</si>
  <si>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</si>
  <si>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</si>
  <si>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</si>
  <si>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</si>
  <si>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</si>
  <si>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</si>
  <si>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</si>
  <si>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</si>
  <si>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</si>
  <si>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</si>
  <si>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</si>
  <si>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</si>
  <si>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</si>
  <si>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</si>
  <si>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</si>
  <si>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</si>
  <si>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</si>
  <si>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</si>
  <si>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</si>
  <si>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</si>
  <si>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</si>
  <si>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</si>
  <si>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</si>
  <si>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</si>
  <si>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</si>
  <si>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</si>
  <si>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</si>
  <si>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</si>
  <si>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</si>
  <si>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</si>
  <si>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</si>
  <si>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Material Solid (Ton)</t>
  </si>
  <si>
    <t xml:space="preserve">Thickener Tank </t>
  </si>
  <si>
    <t>Hours Milling</t>
  </si>
  <si>
    <t>Siklus Pengolahan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</si>
  <si>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</si>
  <si>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</si>
  <si>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</si>
  <si>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</si>
  <si>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</si>
  <si>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</si>
  <si>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</si>
  <si>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</si>
  <si>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</si>
  <si>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</si>
  <si>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</si>
  <si>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</si>
  <si>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</si>
  <si>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</si>
  <si>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</si>
  <si>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</si>
  <si>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</si>
  <si>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</si>
  <si>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</si>
  <si>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</si>
  <si>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</si>
  <si>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</si>
  <si>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</si>
  <si>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</si>
  <si>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</si>
  <si>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</si>
  <si>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</si>
  <si>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</si>
  <si>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</si>
  <si>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</si>
  <si>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</si>
  <si>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</si>
  <si>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</si>
  <si>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</si>
  <si>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</si>
  <si>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</si>
  <si>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</si>
  <si>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</si>
  <si>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</si>
  <si>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</si>
  <si>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</si>
  <si>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</si>
  <si>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</si>
  <si>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</si>
  <si>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</si>
  <si>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</si>
  <si>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</si>
  <si>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</si>
  <si>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</si>
  <si>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</si>
  <si>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</si>
  <si>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</si>
  <si>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</si>
  <si>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</si>
  <si>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</si>
  <si>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</si>
  <si>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</si>
  <si>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</si>
  <si>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</si>
  <si>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</si>
  <si>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</si>
  <si>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</si>
  <si>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</si>
  <si>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</si>
  <si>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</si>
  <si>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</si>
  <si>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</si>
  <si>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</si>
  <si>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</si>
  <si>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</si>
  <si>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</si>
  <si>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</si>
  <si>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</si>
  <si>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</si>
  <si>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</si>
  <si>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</si>
  <si>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</si>
  <si>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</si>
  <si>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</si>
  <si>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</si>
  <si>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</si>
  <si>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</si>
  <si>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</si>
  <si>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</si>
  <si>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</si>
  <si>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</si>
  <si>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</si>
  <si>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</si>
  <si>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Availability (%)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</si>
  <si>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</si>
  <si>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</si>
  <si>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</si>
  <si>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</si>
  <si>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</si>
  <si>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</si>
  <si>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</si>
  <si>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</si>
  <si>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</si>
  <si>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</si>
  <si>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</si>
  <si>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</si>
  <si>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</si>
  <si>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</si>
  <si>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</si>
  <si>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</si>
  <si>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</si>
  <si>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</si>
  <si>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</si>
  <si>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</si>
  <si>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</si>
  <si>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</si>
  <si>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</si>
  <si>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</si>
  <si>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</si>
  <si>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</si>
  <si>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</si>
  <si>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</si>
  <si>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</si>
  <si>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</si>
  <si>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</si>
  <si>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</si>
  <si>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</si>
  <si>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</si>
  <si>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</si>
  <si>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</si>
  <si>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</si>
  <si>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</si>
  <si>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</si>
  <si>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</si>
  <si>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</si>
  <si>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</si>
  <si>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</si>
  <si>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</si>
  <si>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</si>
  <si>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</si>
  <si>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</si>
  <si>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</si>
  <si>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</si>
  <si>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</si>
  <si>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</si>
  <si>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</si>
  <si>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</si>
  <si>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</si>
  <si>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</si>
  <si>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</si>
  <si>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</si>
  <si>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</si>
  <si>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</si>
  <si>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</si>
  <si>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</si>
  <si>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</si>
  <si>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</si>
  <si>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</si>
  <si>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</si>
  <si>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</si>
  <si>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</si>
  <si>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</si>
  <si>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</si>
  <si>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</si>
  <si>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</si>
  <si>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</si>
  <si>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</si>
  <si>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</si>
  <si>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</si>
  <si>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</si>
  <si>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</si>
  <si>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</si>
  <si>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</si>
  <si>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</si>
  <si>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</si>
  <si>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</si>
  <si>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</si>
  <si>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</si>
  <si>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</si>
  <si>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</si>
  <si>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</si>
  <si>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</si>
  <si>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</si>
  <si>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</si>
  <si>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</si>
  <si>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</si>
  <si>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</si>
  <si>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</si>
  <si>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</si>
  <si>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</si>
  <si>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</si>
  <si>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</si>
  <si>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</si>
  <si>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</si>
  <si>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</si>
  <si>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</si>
  <si>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</si>
  <si>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</si>
  <si>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</si>
  <si>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</si>
  <si>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</si>
  <si>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</si>
  <si>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</si>
  <si>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</si>
  <si>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</si>
  <si>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</si>
  <si>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</si>
  <si>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</si>
  <si>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</si>
  <si>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</si>
  <si>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</si>
  <si>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</si>
  <si>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</si>
  <si>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</si>
  <si>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</si>
  <si>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</si>
  <si>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</si>
  <si>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</si>
  <si>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</si>
  <si>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</si>
  <si>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</si>
  <si>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</si>
  <si>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</si>
  <si>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</si>
  <si>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</si>
  <si>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</si>
  <si>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</si>
  <si>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</si>
  <si>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</si>
  <si>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</si>
  <si>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</si>
  <si>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</si>
  <si>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</si>
  <si>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</si>
  <si>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</si>
  <si>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</si>
  <si>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</si>
  <si>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</si>
  <si>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</si>
  <si>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</si>
  <si>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</si>
  <si>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</si>
  <si>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</si>
  <si>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</si>
  <si>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</si>
  <si>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</si>
  <si>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</si>
  <si>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</si>
  <si>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</si>
  <si>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</si>
  <si>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</si>
  <si>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</si>
  <si>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</si>
  <si>
    <t>Anja</t>
  </si>
  <si>
    <t xml:space="preserve">Perbaikan Thickener </t>
  </si>
  <si>
    <t>Hadi</t>
  </si>
  <si>
    <t>NaOH</t>
  </si>
  <si>
    <t>HCl</t>
  </si>
  <si>
    <t>NaOH kg</t>
  </si>
  <si>
    <t>HCl/Jerigen</t>
  </si>
  <si>
    <t>Total Estimasi Biaya Reagent Pengolahan</t>
  </si>
  <si>
    <t>Reagent Price (Rp)</t>
  </si>
  <si>
    <t>Flculant</t>
  </si>
  <si>
    <t>Gold Price</t>
  </si>
  <si>
    <t>START BALL MILL BATCH 7, TANK 2</t>
  </si>
  <si>
    <t>Batch 6 Start jam 12:36</t>
  </si>
  <si>
    <t>Tinggi Plat (Meter)</t>
  </si>
  <si>
    <t>Tony S</t>
  </si>
  <si>
    <t>Start Ball Mill jam 20:30</t>
  </si>
  <si>
    <t>Perbaikan Thickener dan penaikan slurry dari tank thickener</t>
  </si>
  <si>
    <t>Milling And Leach Feed Material Periode Agustus-September 2026</t>
  </si>
  <si>
    <t>START BALL MILL BATCH 7 20:30, TANK 2</t>
  </si>
  <si>
    <t>Stop Genset Rusak</t>
  </si>
  <si>
    <t>BALL MILL JALAN 3 BIJI</t>
  </si>
  <si>
    <t>Ball mill jalan 3; ball mill 2 jam 15:35 mati (maintenance di gear grith)</t>
  </si>
  <si>
    <t>ballmill 1,3 ; ball mill 2 maintenance</t>
  </si>
  <si>
    <t>Ball mill jalan 3; ball mill 2 maintenance</t>
  </si>
  <si>
    <t>Yan leee</t>
  </si>
  <si>
    <t>Ball mill jalan 3; ball mill 2 maintenance, slurry pump to tank 2 batch 7 finish jam 02:39</t>
  </si>
  <si>
    <t>Running Time Hour/Shift</t>
  </si>
  <si>
    <t>Availibility per Shift</t>
  </si>
  <si>
    <t>Suono</t>
  </si>
  <si>
    <t>Ball mill 3-4; ball mill 1,2 maintenance</t>
  </si>
  <si>
    <t>Ball mill 1-2 perbaikan gear grith 00:30 , jam 04:00 ball mill 3-4 perbaikan, running lagi 3-4 jam 5</t>
  </si>
  <si>
    <t xml:space="preserve">          PT BULAWAN DAYA LESTARI</t>
  </si>
  <si>
    <t>MINING &amp; INDUSTRI COMPANY</t>
  </si>
  <si>
    <t>SITE BULAWAN DAYA LESTARI, BOLAANG MONGONDOW, SULAWESI UTARA</t>
  </si>
  <si>
    <t xml:space="preserve">Id Sampel </t>
  </si>
  <si>
    <t>FP</t>
  </si>
  <si>
    <t>V Sampel (ml)</t>
  </si>
  <si>
    <t>V Agno3 (ml)</t>
  </si>
  <si>
    <t>M Agno3</t>
  </si>
  <si>
    <t>pH</t>
  </si>
  <si>
    <t>Krisna</t>
  </si>
  <si>
    <t>Berat Solid (gr)</t>
  </si>
  <si>
    <t>Filter Press Day Shift</t>
  </si>
  <si>
    <t>Gerald</t>
  </si>
  <si>
    <t>Filter Press Night</t>
  </si>
  <si>
    <t>Filter Press Night Shift</t>
  </si>
  <si>
    <t>Filter Press Day</t>
  </si>
  <si>
    <t>Filter PressDay</t>
  </si>
  <si>
    <t xml:space="preserve">Gerald </t>
  </si>
  <si>
    <t>&lt;0,05</t>
  </si>
  <si>
    <t>Lab Technician</t>
  </si>
  <si>
    <t xml:space="preserve">Eka </t>
  </si>
  <si>
    <t>Daily Monitoring sandios ppm on Solid Tailing Cake Filter Press</t>
  </si>
  <si>
    <t>Adi</t>
  </si>
  <si>
    <t>Yan leee Huang</t>
  </si>
  <si>
    <t>Availibility Per Day</t>
  </si>
  <si>
    <t>Yan Lee Huang</t>
  </si>
  <si>
    <t>Running with 2 ball mill (3&amp;4); ball mill 1&amp;2 maintenance</t>
  </si>
  <si>
    <t xml:space="preserve">Yan Lee </t>
  </si>
  <si>
    <t>Running with two Ball Mill (3&amp;4), ball mill 3 sempat bocor &amp; baut longgar, begitupun ball mill 4</t>
  </si>
  <si>
    <t xml:space="preserve">ballmill 1,3 ; ball mill 2 maintenance, slurry pump to tank 2 batch 7 finish jam 02:30, start batch 8 </t>
  </si>
  <si>
    <t>Crusher 07:00</t>
  </si>
  <si>
    <t>Crusher 12:00</t>
  </si>
  <si>
    <t>Assay Lab Result Head Grade ppm</t>
  </si>
  <si>
    <t>Prosess</t>
  </si>
  <si>
    <t>Running Ball Mill 3-4. jam 19:20 running ball mill 1,3 dan 4</t>
  </si>
  <si>
    <t>Running Time Hour Tercatat</t>
  </si>
  <si>
    <t>Down Time Hour Tercatat</t>
  </si>
  <si>
    <t>%Plant Availability</t>
  </si>
  <si>
    <t xml:space="preserve">Material dari cell A1 Heap Leach Labuha </t>
  </si>
  <si>
    <t xml:space="preserve">Udah ter mixxing kapur dan cement </t>
  </si>
  <si>
    <t>Finish Drain Slurry batch 7 04:30. slurry pump to tank leaching finish jam 07:00 Batch 8</t>
  </si>
  <si>
    <t>Total Price</t>
  </si>
  <si>
    <t>Fuel Consumption (L/t)</t>
  </si>
  <si>
    <t>Batch 9 Tank 2</t>
  </si>
  <si>
    <t>Batch 9 Tank 2 jam 07:00</t>
  </si>
  <si>
    <t xml:space="preserve">Yanli </t>
  </si>
  <si>
    <t>Suono/Kristo</t>
  </si>
  <si>
    <t>Kabel putus kena batu mengakibatkan putus aliran listrik dari genset ke pabrik</t>
  </si>
  <si>
    <t>Awal/Suono</t>
  </si>
  <si>
    <t>Running Ball Mill No 1,3 dan 4</t>
  </si>
  <si>
    <t>Selesai pengisian tank 2, drain slurry tank 3 tanki floculant bermasalah</t>
  </si>
  <si>
    <t>Kristo Suono</t>
  </si>
  <si>
    <t>Perbaikan</t>
  </si>
  <si>
    <t xml:space="preserve">Floculation Tank bermasalah drain slurry tank 3 terhambat, ball mill stop </t>
  </si>
  <si>
    <t>Trouble pada tanki floculant</t>
  </si>
  <si>
    <t>Batch 9 Tank 2, finish pump slurry batch 9 tank 2 jam 03:20</t>
  </si>
  <si>
    <t xml:space="preserve">Perbaikan tanki Floculation </t>
  </si>
  <si>
    <t>Perbaikan Tank Floculation</t>
  </si>
  <si>
    <t/>
  </si>
  <si>
    <t>Oxide Cell A1</t>
  </si>
  <si>
    <t>Estimasi Lab AAS Loaded Carbon</t>
  </si>
  <si>
    <t>Tonage by survey (WMT)</t>
  </si>
  <si>
    <t>Start Ball Mill Batch 10 tank 3, Jam 16:35</t>
  </si>
  <si>
    <t>Stock ROM CIL APRIL-September 2026</t>
  </si>
  <si>
    <t>Crushing Production</t>
  </si>
  <si>
    <t xml:space="preserve">Perbaikan tanki Floculation, Ada kebocoran screen pada tanki 02 </t>
  </si>
  <si>
    <t xml:space="preserve">Met Lab Technician </t>
  </si>
  <si>
    <t>Start ball mill jam 19:30</t>
  </si>
  <si>
    <t>Crusher 20:00</t>
  </si>
  <si>
    <t>Crusher 21:00</t>
  </si>
  <si>
    <t>Crusher 22:00</t>
  </si>
  <si>
    <t>Crusher 23:00</t>
  </si>
  <si>
    <t>Crusher 00:00</t>
  </si>
  <si>
    <t>Crusher 02:00</t>
  </si>
  <si>
    <t>Crusher 03:00</t>
  </si>
  <si>
    <t>Crusher 04:00</t>
  </si>
  <si>
    <t>Crusher 05:00</t>
  </si>
  <si>
    <t>Crusher 06:00</t>
  </si>
  <si>
    <t>CUTI DLU KAWAN</t>
  </si>
  <si>
    <t>Carbon (gpl)</t>
  </si>
  <si>
    <t>Start ball mill 19:30</t>
  </si>
  <si>
    <t xml:space="preserve">Kristo </t>
  </si>
  <si>
    <t>Ball Mill Running 1 dan 3</t>
  </si>
  <si>
    <t>Screen</t>
  </si>
  <si>
    <t>Bocor</t>
  </si>
  <si>
    <t>Ball Mill sisa 1 dan 3</t>
  </si>
  <si>
    <t>Ball Mill 3 kayak sirkus</t>
  </si>
  <si>
    <t>Bola baja</t>
  </si>
  <si>
    <t>ball mill 3</t>
  </si>
  <si>
    <t>frestyle sampe conveyor</t>
  </si>
  <si>
    <t>Running Ball Mill 1 dan 3, BM 02 BD</t>
  </si>
  <si>
    <t>Ball Mill 02 BD, BM 04 tidak stabil bocor terus pemai</t>
  </si>
  <si>
    <t>terbang loncat jawa hama</t>
  </si>
  <si>
    <t>Rivai</t>
  </si>
  <si>
    <t>Stop Ball Mill Pengisian Batch 10 tank 3 finish jam 05:45, tank 2 screen carbon rusak</t>
  </si>
  <si>
    <t>Log Sheet ilang kata mas wiliam</t>
  </si>
  <si>
    <t>Finish Batch 10 tank 3, jam 05:45</t>
  </si>
  <si>
    <t>Kristo Ulan</t>
  </si>
  <si>
    <t>Drain Slurry tank no 2 finish jam 09:30</t>
  </si>
  <si>
    <t>Genset 750 Trouble start ball mill jam 14:30</t>
  </si>
  <si>
    <t>Jam 05:50 ball mill 03 mati perbaikan</t>
  </si>
  <si>
    <t>Batch 10 tank 3</t>
  </si>
  <si>
    <t>Batch 10 Tank 3 Finish Pump jam 13:30</t>
  </si>
  <si>
    <t>Finish Pump slurry to tank3 batch 10 jam 13:30</t>
  </si>
  <si>
    <t>Start Batch 11 Tank 2</t>
  </si>
  <si>
    <t>Estimasi</t>
  </si>
  <si>
    <t>Batch 11 Tank 2 mulai start pengisian dari jam 13:30</t>
  </si>
  <si>
    <t xml:space="preserve">Batch 11 Tank 2 </t>
  </si>
  <si>
    <t>Perbaikan tanki thickener tank batch 8 fimish pump, bearing agitator perbaikan</t>
  </si>
  <si>
    <t xml:space="preserve">Kode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</si>
  <si>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</si>
  <si>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</si>
  <si>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</si>
  <si>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</si>
  <si>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</si>
  <si>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</si>
  <si>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</si>
  <si>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</si>
  <si>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</si>
  <si>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</si>
  <si>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</si>
  <si>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</si>
  <si>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</si>
  <si>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</si>
  <si>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</si>
  <si>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Density</t>
  </si>
  <si>
    <t>Tonase</t>
  </si>
  <si>
    <t>Au grade</t>
  </si>
  <si>
    <t>KET</t>
  </si>
  <si>
    <t>HIGH GRADE</t>
  </si>
  <si>
    <t>MIDDLE GRADE</t>
  </si>
  <si>
    <t>LOW GRADE</t>
  </si>
  <si>
    <t>&gt;0,8</t>
  </si>
  <si>
    <t>0,3-0,6</t>
  </si>
  <si>
    <t>0,6-0,8</t>
  </si>
  <si>
    <t>WEST</t>
  </si>
  <si>
    <t>&lt;0,3</t>
  </si>
  <si>
    <t>Estimasi Content</t>
  </si>
  <si>
    <t>Alan</t>
  </si>
  <si>
    <t>STP</t>
  </si>
  <si>
    <t xml:space="preserve">Septian </t>
  </si>
  <si>
    <t xml:space="preserve">Perbaikan Bearing tanki thickener, drain slurry terhambat karena air habis </t>
  </si>
  <si>
    <t xml:space="preserve">per batch </t>
  </si>
  <si>
    <t>Crusher 24:00</t>
  </si>
  <si>
    <t>Crusher 01:00</t>
  </si>
  <si>
    <t>Finish Pump tank 2 batch 11, jam 07:00</t>
  </si>
  <si>
    <t>Vein Sandly OX</t>
  </si>
  <si>
    <t>Start Batch 11 Tank 2 Mulai jam 13:30</t>
  </si>
  <si>
    <t>Kristo/Agung</t>
  </si>
  <si>
    <t>Perbaikan bearing thickener, dan perbaikan tanki floculation, Batch 11 Tank 3 star jam 15:00</t>
  </si>
  <si>
    <t xml:space="preserve">Pergantian genset </t>
  </si>
  <si>
    <t>Pergantian genset, ball mill running no 1 dan 3</t>
  </si>
  <si>
    <t>Batch 12 Tank 3 start jam 15:00</t>
  </si>
  <si>
    <t xml:space="preserve">Batch 12 Tank 3 </t>
  </si>
  <si>
    <t>Batch 12 Tank 3</t>
  </si>
  <si>
    <t>Kristo/Hendra</t>
  </si>
  <si>
    <t>Jalan ball mill 1.2 dan3, Ball mill 1 mati selama 2 jam, ball mill no 2 mati 2 jam</t>
  </si>
  <si>
    <t>Jalan ball mill 1, 2, dan 3</t>
  </si>
  <si>
    <t>Running Ball Mill 3 dan 2</t>
  </si>
  <si>
    <t>Batch 12 Tank 3 jam 18:30 slurry pump 9 plat</t>
  </si>
  <si>
    <t>Assay Lab Result Iol</t>
  </si>
  <si>
    <t>ppm</t>
  </si>
  <si>
    <t>Au Estimate on Carbon</t>
  </si>
  <si>
    <t xml:space="preserve">Au </t>
  </si>
  <si>
    <t>Varince Cal With Carbon</t>
  </si>
  <si>
    <t>Batch 13 Tank 2</t>
  </si>
  <si>
    <t>Carbon on tank Leaching Estimate</t>
  </si>
  <si>
    <t>01/10/1016</t>
  </si>
  <si>
    <t>Oxide</t>
  </si>
  <si>
    <t>Gunawan</t>
  </si>
  <si>
    <t>Peralihan genset</t>
  </si>
  <si>
    <t>Vincert</t>
  </si>
  <si>
    <t>Nuel</t>
  </si>
  <si>
    <t>Vincent</t>
  </si>
  <si>
    <t>NaCN (kg) :</t>
  </si>
  <si>
    <t>NaCN  (kg) :</t>
  </si>
  <si>
    <t>NaCN (kg)</t>
  </si>
  <si>
    <t>NaCN (kg/t)</t>
  </si>
  <si>
    <t xml:space="preserve">Ada perbaikan pada tanki thickener tank,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</si>
</sst>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[$-13809]d\ mmm\ yyyy;@"/>
    <numFmt numFmtId="185" formatCode="_-* #,##0_-;\-* #,##0_-;_-* &quot;-&quot;????_-;_-@_-"/>
    <numFmt numFmtId="186" formatCode="_-* #,##0_-;\-* #,##0_-;_-* &quot;-&quot;?_-;_-@_-"/>
    <numFmt numFmtId="189" formatCode="_-* #,##0.00_-;\-* #,##0.00_-;_-* &quot;-&quot;????_-;_-@_-"/>
  </numFmts>
  <fonts count="11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sz val="72"/>
      <color theme="1"/>
      <name val="Calibri"/>
      <family val="2"/>
      <charset val="1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16"/>
      <color theme="9"/>
      <name val="Calibri"/>
      <family val="2"/>
      <charset val="1"/>
      <scheme val="minor"/>
    </font>
    <font>
      <sz val="16"/>
      <color rgb="FFFF0000"/>
      <name val="Calibri"/>
      <family val="2"/>
      <charset val="1"/>
      <scheme val="minor"/>
    </font>
    <font>
      <sz val="16"/>
      <color theme="4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164" fontId="82" fillId="0" borderId="0" applyFont="0" applyFill="0" applyBorder="0" applyAlignment="0" applyProtection="0"/>
  </cellStyleXfs>
  <cellXfs count="1604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82" fillId="2" borderId="12" xfId="0" applyFont="1" applyFill="1" applyBorder="1"/>
    <xf numFmtId="0" fontId="0" fillId="2" borderId="12" xfId="0" applyFill="1" applyBorder="1"/>
    <xf numFmtId="0" fontId="82" fillId="2" borderId="0" xfId="0" applyFont="1" applyFill="1"/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83" fillId="4" borderId="12" xfId="0" applyFont="1" applyFill="1" applyBorder="1" applyAlignment="1">
      <alignment horizontal="center"/>
    </xf>
    <xf numFmtId="0" fontId="83" fillId="3" borderId="12" xfId="0" applyFont="1" applyFill="1" applyBorder="1" applyAlignment="1">
      <alignment horizontal="center"/>
    </xf>
    <xf numFmtId="0" fontId="82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83" fillId="3" borderId="12" xfId="0" applyFont="1" applyFill="1" applyBorder="1"/>
    <xf numFmtId="0" fontId="0" fillId="3" borderId="12" xfId="0" applyFill="1" applyBorder="1"/>
    <xf numFmtId="0" fontId="83" fillId="3" borderId="31" xfId="0" applyFont="1" applyFill="1" applyBorder="1" applyAlignment="1">
      <alignment horizontal="center"/>
    </xf>
    <xf numFmtId="0" fontId="83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4" fillId="5" borderId="0" xfId="0" applyFont="1" applyFill="1"/>
    <xf numFmtId="0" fontId="85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86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86" fillId="2" borderId="0" xfId="3" applyNumberFormat="1" applyFont="1" applyFill="1"/>
    <xf numFmtId="170" fontId="86" fillId="5" borderId="0" xfId="3" applyNumberFormat="1" applyFon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82" fillId="2" borderId="12" xfId="0" applyNumberFormat="1" applyFont="1" applyFill="1" applyBorder="1" applyAlignment="1">
      <alignment horizontal="center" vertical="center"/>
    </xf>
    <xf numFmtId="0" fontId="82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87" fillId="5" borderId="0" xfId="2" applyNumberFormat="1" applyFont="1" applyFill="1"/>
    <xf numFmtId="172" fontId="86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88" fillId="6" borderId="12" xfId="0" applyFont="1" applyFill="1" applyBorder="1" applyAlignment="1">
      <alignment horizontal="center" vertical="center"/>
    </xf>
    <xf numFmtId="0" fontId="88" fillId="2" borderId="12" xfId="0" applyFont="1" applyFill="1" applyBorder="1" applyAlignment="1">
      <alignment horizontal="center" vertical="center"/>
    </xf>
    <xf numFmtId="0" fontId="88" fillId="8" borderId="12" xfId="0" applyFont="1" applyFill="1" applyBorder="1" applyAlignment="1">
      <alignment horizontal="center" vertical="center"/>
    </xf>
    <xf numFmtId="0" fontId="88" fillId="9" borderId="12" xfId="0" applyFont="1" applyFill="1" applyBorder="1" applyAlignment="1">
      <alignment horizontal="center" vertical="center"/>
    </xf>
    <xf numFmtId="14" fontId="88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88" fillId="7" borderId="20" xfId="0" applyNumberFormat="1" applyFont="1" applyFill="1" applyBorder="1" applyAlignment="1">
      <alignment horizontal="center" vertical="center"/>
    </xf>
    <xf numFmtId="14" fontId="88" fillId="7" borderId="21" xfId="0" applyNumberFormat="1" applyFont="1" applyFill="1" applyBorder="1" applyAlignment="1">
      <alignment horizontal="center" vertical="center"/>
    </xf>
    <xf numFmtId="14" fontId="88" fillId="7" borderId="28" xfId="0" applyNumberFormat="1" applyFont="1" applyFill="1" applyBorder="1" applyAlignment="1">
      <alignment horizontal="center" vertical="center"/>
    </xf>
    <xf numFmtId="0" fontId="83" fillId="10" borderId="12" xfId="0" applyFont="1" applyFill="1" applyBorder="1" applyAlignment="1">
      <alignment horizontal="center"/>
    </xf>
    <xf numFmtId="0" fontId="90" fillId="11" borderId="12" xfId="0" applyFont="1" applyFill="1" applyBorder="1" applyAlignment="1">
      <alignment horizontal="center" vertical="center"/>
    </xf>
    <xf numFmtId="0" fontId="83" fillId="10" borderId="12" xfId="0" applyFont="1" applyFill="1" applyBorder="1" applyAlignment="1">
      <alignment horizontal="center" vertical="center"/>
    </xf>
    <xf numFmtId="14" fontId="90" fillId="12" borderId="12" xfId="0" applyNumberFormat="1" applyFont="1" applyFill="1" applyBorder="1" applyAlignment="1">
      <alignment horizontal="center" vertical="center"/>
    </xf>
    <xf numFmtId="0" fontId="90" fillId="13" borderId="12" xfId="0" applyFont="1" applyFill="1" applyBorder="1" applyAlignment="1">
      <alignment horizontal="center" vertical="center"/>
    </xf>
    <xf numFmtId="0" fontId="82" fillId="0" borderId="7" xfId="0" applyFont="1" applyBorder="1" applyAlignment="1">
      <alignment horizontal="center"/>
    </xf>
    <xf numFmtId="20" fontId="82" fillId="2" borderId="28" xfId="0" applyNumberFormat="1" applyFont="1" applyFill="1" applyBorder="1" applyAlignment="1">
      <alignment horizontal="center" vertical="center"/>
    </xf>
    <xf numFmtId="1" fontId="82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82" fillId="2" borderId="12" xfId="0" applyFont="1" applyFill="1" applyBorder="1" applyAlignment="1">
      <alignment vertical="center"/>
    </xf>
    <xf numFmtId="0" fontId="82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82" fillId="2" borderId="12" xfId="0" applyNumberFormat="1" applyFont="1" applyFill="1" applyBorder="1" applyAlignment="1">
      <alignment horizontal="center" vertical="center"/>
    </xf>
    <xf numFmtId="0" fontId="83" fillId="3" borderId="12" xfId="0" applyFont="1" applyFill="1" applyBorder="1" applyAlignment="1">
      <alignment horizontal="right"/>
    </xf>
    <xf numFmtId="1" fontId="83" fillId="3" borderId="20" xfId="0" applyNumberFormat="1" applyFont="1" applyFill="1" applyBorder="1" applyAlignment="1">
      <alignment horizontal="right"/>
    </xf>
    <xf numFmtId="9" fontId="83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93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0" fontId="88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88" fillId="0" borderId="38" xfId="0" applyFont="1" applyBorder="1"/>
    <xf numFmtId="1" fontId="88" fillId="0" borderId="38" xfId="0" applyNumberFormat="1" applyFont="1" applyBorder="1" applyAlignment="1">
      <alignment horizontal="center"/>
    </xf>
    <xf numFmtId="0" fontId="88" fillId="0" borderId="38" xfId="0" applyFont="1" applyBorder="1" applyAlignment="1">
      <alignment horizontal="center"/>
    </xf>
    <xf numFmtId="43" fontId="88" fillId="0" borderId="38" xfId="1" applyFont="1" applyBorder="1" applyAlignment="1">
      <alignment horizontal="center"/>
    </xf>
    <xf numFmtId="0" fontId="88" fillId="0" borderId="39" xfId="0" applyFont="1" applyBorder="1"/>
    <xf numFmtId="0" fontId="90" fillId="0" borderId="0" xfId="0" applyFont="1" applyAlignment="1">
      <alignment wrapText="1"/>
    </xf>
    <xf numFmtId="0" fontId="90" fillId="3" borderId="45" xfId="0" applyFont="1" applyFill="1" applyBorder="1" applyAlignment="1">
      <alignment horizontal="center" vertical="center" wrapText="1"/>
    </xf>
    <xf numFmtId="0" fontId="88" fillId="0" borderId="47" xfId="0" applyFont="1" applyBorder="1"/>
    <xf numFmtId="173" fontId="88" fillId="0" borderId="48" xfId="0" applyNumberFormat="1" applyFont="1" applyBorder="1" applyAlignment="1">
      <alignment horizontal="center"/>
    </xf>
    <xf numFmtId="1" fontId="88" fillId="0" borderId="48" xfId="0" applyNumberFormat="1" applyFont="1" applyBorder="1" applyAlignment="1">
      <alignment horizontal="center"/>
    </xf>
    <xf numFmtId="174" fontId="88" fillId="0" borderId="48" xfId="0" applyNumberFormat="1" applyFont="1" applyBorder="1" applyAlignment="1">
      <alignment horizontal="center"/>
    </xf>
    <xf numFmtId="0" fontId="88" fillId="0" borderId="48" xfId="0" applyFont="1" applyBorder="1"/>
    <xf numFmtId="9" fontId="88" fillId="0" borderId="48" xfId="0" applyNumberFormat="1" applyFont="1" applyBorder="1" applyAlignment="1">
      <alignment horizontal="center"/>
    </xf>
    <xf numFmtId="0" fontId="88" fillId="0" borderId="48" xfId="0" applyFont="1" applyBorder="1" applyAlignment="1">
      <alignment horizontal="center"/>
    </xf>
    <xf numFmtId="9" fontId="88" fillId="0" borderId="49" xfId="0" applyNumberFormat="1" applyFont="1" applyBorder="1" applyAlignment="1">
      <alignment horizontal="center"/>
    </xf>
    <xf numFmtId="0" fontId="88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89" fillId="2" borderId="12" xfId="0" applyFont="1" applyFill="1" applyBorder="1"/>
    <xf numFmtId="14" fontId="88" fillId="2" borderId="12" xfId="0" applyNumberFormat="1" applyFont="1" applyFill="1" applyBorder="1" applyAlignment="1">
      <alignment horizontal="center" vertical="center"/>
    </xf>
    <xf numFmtId="0" fontId="83" fillId="10" borderId="20" xfId="0" applyFont="1" applyFill="1" applyBorder="1"/>
    <xf numFmtId="0" fontId="83" fillId="10" borderId="28" xfId="0" applyFont="1" applyFill="1" applyBorder="1"/>
    <xf numFmtId="14" fontId="88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83" fillId="16" borderId="12" xfId="0" applyFont="1" applyFill="1" applyBorder="1" applyAlignment="1">
      <alignment horizontal="center"/>
    </xf>
    <xf numFmtId="0" fontId="83" fillId="10" borderId="7" xfId="0" applyFont="1" applyFill="1" applyBorder="1" applyAlignment="1">
      <alignment horizontal="center"/>
    </xf>
    <xf numFmtId="9" fontId="88" fillId="0" borderId="12" xfId="0" applyNumberFormat="1" applyFont="1" applyBorder="1" applyAlignment="1">
      <alignment horizontal="center"/>
    </xf>
    <xf numFmtId="0" fontId="83" fillId="17" borderId="12" xfId="0" applyFont="1" applyFill="1" applyBorder="1" applyAlignment="1">
      <alignment horizontal="center"/>
    </xf>
    <xf numFmtId="0" fontId="83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83" fillId="3" borderId="0" xfId="0" applyFont="1" applyFill="1" applyAlignment="1">
      <alignment horizontal="center"/>
    </xf>
    <xf numFmtId="0" fontId="83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83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98" fillId="18" borderId="12" xfId="0" applyNumberFormat="1" applyFont="1" applyFill="1" applyBorder="1" applyAlignment="1">
      <alignment horizontal="center"/>
    </xf>
    <xf numFmtId="2" fontId="98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83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83" fillId="3" borderId="20" xfId="0" applyNumberFormat="1" applyFont="1" applyFill="1" applyBorder="1" applyAlignment="1">
      <alignment horizontal="right"/>
    </xf>
    <xf numFmtId="0" fontId="98" fillId="18" borderId="7" xfId="0" applyFont="1" applyFill="1" applyBorder="1"/>
    <xf numFmtId="0" fontId="98" fillId="18" borderId="29" xfId="0" applyFont="1" applyFill="1" applyBorder="1"/>
    <xf numFmtId="174" fontId="98" fillId="18" borderId="29" xfId="0" applyNumberFormat="1" applyFont="1" applyFill="1" applyBorder="1" applyAlignment="1">
      <alignment horizontal="center"/>
    </xf>
    <xf numFmtId="0" fontId="99" fillId="2" borderId="0" xfId="0" applyFont="1" applyFill="1"/>
    <xf numFmtId="176" fontId="88" fillId="0" borderId="48" xfId="0" applyNumberFormat="1" applyFont="1" applyBorder="1" applyAlignment="1">
      <alignment horizontal="center"/>
    </xf>
    <xf numFmtId="0" fontId="82" fillId="2" borderId="7" xfId="0" applyFont="1" applyFill="1" applyBorder="1" applyAlignment="1">
      <alignment horizontal="center" vertical="center"/>
    </xf>
    <xf numFmtId="0" fontId="83" fillId="18" borderId="12" xfId="0" applyFont="1" applyFill="1" applyBorder="1" applyAlignment="1">
      <alignment horizontal="center"/>
    </xf>
    <xf numFmtId="0" fontId="88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83" fillId="2" borderId="0" xfId="0" applyFont="1" applyFill="1" applyAlignment="1">
      <alignment horizontal="center"/>
    </xf>
    <xf numFmtId="0" fontId="82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80" fillId="2" borderId="28" xfId="0" applyFont="1" applyFill="1" applyBorder="1" applyAlignment="1">
      <alignment horizontal="center" vertical="center"/>
    </xf>
    <xf numFmtId="9" fontId="98" fillId="18" borderId="29" xfId="2" applyFont="1" applyFill="1" applyBorder="1" applyAlignment="1">
      <alignment horizontal="center"/>
    </xf>
    <xf numFmtId="0" fontId="83" fillId="20" borderId="12" xfId="0" applyFont="1" applyFill="1" applyBorder="1"/>
    <xf numFmtId="9" fontId="88" fillId="0" borderId="0" xfId="2" applyFont="1" applyAlignment="1">
      <alignment horizontal="center"/>
    </xf>
    <xf numFmtId="0" fontId="83" fillId="0" borderId="12" xfId="0" applyFont="1" applyBorder="1"/>
    <xf numFmtId="176" fontId="0" fillId="0" borderId="12" xfId="0" applyNumberFormat="1" applyBorder="1"/>
    <xf numFmtId="1" fontId="101" fillId="2" borderId="12" xfId="0" applyNumberFormat="1" applyFont="1" applyFill="1" applyBorder="1"/>
    <xf numFmtId="9" fontId="101" fillId="2" borderId="12" xfId="0" applyNumberFormat="1" applyFont="1" applyFill="1" applyBorder="1"/>
    <xf numFmtId="0" fontId="93" fillId="2" borderId="12" xfId="0" applyFont="1" applyFill="1" applyBorder="1"/>
    <xf numFmtId="1" fontId="90" fillId="3" borderId="45" xfId="0" applyNumberFormat="1" applyFont="1" applyFill="1" applyBorder="1" applyAlignment="1">
      <alignment horizontal="center" vertical="center" wrapText="1"/>
    </xf>
    <xf numFmtId="43" fontId="90" fillId="3" borderId="45" xfId="1" applyFont="1" applyFill="1" applyBorder="1" applyAlignment="1">
      <alignment horizontal="center" vertical="center" wrapText="1"/>
    </xf>
    <xf numFmtId="0" fontId="83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79" fillId="2" borderId="28" xfId="0" applyFont="1" applyFill="1" applyBorder="1" applyAlignment="1">
      <alignment vertical="center"/>
    </xf>
    <xf numFmtId="20" fontId="79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78" fillId="2" borderId="12" xfId="0" applyFont="1" applyFill="1" applyBorder="1" applyAlignment="1">
      <alignment vertical="center"/>
    </xf>
    <xf numFmtId="0" fontId="78" fillId="2" borderId="12" xfId="0" applyFont="1" applyFill="1" applyBorder="1" applyAlignment="1">
      <alignment horizontal="center" vertical="center"/>
    </xf>
    <xf numFmtId="0" fontId="77" fillId="2" borderId="12" xfId="0" applyFont="1" applyFill="1" applyBorder="1" applyAlignment="1">
      <alignment vertical="center"/>
    </xf>
    <xf numFmtId="0" fontId="77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88" fillId="8" borderId="20" xfId="0" applyFont="1" applyFill="1" applyBorder="1" applyAlignment="1">
      <alignment horizontal="center" vertical="center"/>
    </xf>
    <xf numFmtId="14" fontId="88" fillId="7" borderId="12" xfId="0" applyNumberFormat="1" applyFont="1" applyFill="1" applyBorder="1" applyAlignment="1">
      <alignment horizontal="center" vertical="center"/>
    </xf>
    <xf numFmtId="20" fontId="76" fillId="2" borderId="28" xfId="0" applyNumberFormat="1" applyFont="1" applyFill="1" applyBorder="1" applyAlignment="1">
      <alignment horizontal="center" vertical="center"/>
    </xf>
    <xf numFmtId="0" fontId="76" fillId="2" borderId="12" xfId="0" applyFont="1" applyFill="1" applyBorder="1" applyAlignment="1">
      <alignment horizontal="center" vertical="center"/>
    </xf>
    <xf numFmtId="0" fontId="76" fillId="2" borderId="12" xfId="0" applyFont="1" applyFill="1" applyBorder="1" applyAlignment="1">
      <alignment vertical="center"/>
    </xf>
    <xf numFmtId="9" fontId="88" fillId="8" borderId="12" xfId="0" applyNumberFormat="1" applyFont="1" applyFill="1" applyBorder="1" applyAlignment="1">
      <alignment horizontal="center" vertical="center"/>
    </xf>
    <xf numFmtId="1" fontId="88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75" fillId="2" borderId="12" xfId="0" applyFont="1" applyFill="1" applyBorder="1" applyAlignment="1">
      <alignment vertical="center"/>
    </xf>
    <xf numFmtId="14" fontId="88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88" fillId="2" borderId="20" xfId="0" applyFont="1" applyFill="1" applyBorder="1" applyAlignment="1">
      <alignment horizontal="center" vertical="center"/>
    </xf>
    <xf numFmtId="14" fontId="88" fillId="7" borderId="28" xfId="0" applyNumberFormat="1" applyFont="1" applyFill="1" applyBorder="1" applyAlignment="1">
      <alignment vertical="center"/>
    </xf>
    <xf numFmtId="0" fontId="89" fillId="2" borderId="28" xfId="0" applyFont="1" applyFill="1" applyBorder="1"/>
    <xf numFmtId="0" fontId="88" fillId="2" borderId="28" xfId="0" applyFont="1" applyFill="1" applyBorder="1" applyAlignment="1">
      <alignment horizontal="center" vertical="center"/>
    </xf>
    <xf numFmtId="14" fontId="88" fillId="7" borderId="10" xfId="0" applyNumberFormat="1" applyFont="1" applyFill="1" applyBorder="1" applyAlignment="1">
      <alignment vertical="center"/>
    </xf>
    <xf numFmtId="14" fontId="88" fillId="7" borderId="10" xfId="0" applyNumberFormat="1" applyFont="1" applyFill="1" applyBorder="1" applyAlignment="1">
      <alignment horizontal="center" vertical="center"/>
    </xf>
    <xf numFmtId="14" fontId="88" fillId="2" borderId="10" xfId="0" applyNumberFormat="1" applyFont="1" applyFill="1" applyBorder="1" applyAlignment="1">
      <alignment vertical="center"/>
    </xf>
    <xf numFmtId="14" fontId="88" fillId="2" borderId="10" xfId="0" applyNumberFormat="1" applyFont="1" applyFill="1" applyBorder="1" applyAlignment="1">
      <alignment horizontal="center" vertical="center"/>
    </xf>
    <xf numFmtId="0" fontId="88" fillId="2" borderId="10" xfId="0" applyFont="1" applyFill="1" applyBorder="1" applyAlignment="1">
      <alignment horizontal="center" vertical="center"/>
    </xf>
    <xf numFmtId="1" fontId="88" fillId="8" borderId="10" xfId="0" applyNumberFormat="1" applyFont="1" applyFill="1" applyBorder="1" applyAlignment="1">
      <alignment horizontal="center" vertical="center"/>
    </xf>
    <xf numFmtId="0" fontId="88" fillId="8" borderId="10" xfId="0" applyFont="1" applyFill="1" applyBorder="1" applyAlignment="1">
      <alignment horizontal="center" vertical="center"/>
    </xf>
    <xf numFmtId="14" fontId="88" fillId="7" borderId="17" xfId="0" applyNumberFormat="1" applyFont="1" applyFill="1" applyBorder="1" applyAlignment="1">
      <alignment vertical="center"/>
    </xf>
    <xf numFmtId="14" fontId="88" fillId="2" borderId="17" xfId="0" applyNumberFormat="1" applyFont="1" applyFill="1" applyBorder="1" applyAlignment="1">
      <alignment vertical="center"/>
    </xf>
    <xf numFmtId="14" fontId="88" fillId="2" borderId="17" xfId="0" applyNumberFormat="1" applyFont="1" applyFill="1" applyBorder="1" applyAlignment="1">
      <alignment horizontal="center" vertical="center"/>
    </xf>
    <xf numFmtId="0" fontId="88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88" fillId="9" borderId="28" xfId="0" applyFont="1" applyFill="1" applyBorder="1" applyAlignment="1">
      <alignment horizontal="center" vertical="center"/>
    </xf>
    <xf numFmtId="0" fontId="89" fillId="2" borderId="10" xfId="0" applyFont="1" applyFill="1" applyBorder="1"/>
    <xf numFmtId="0" fontId="89" fillId="2" borderId="17" xfId="0" applyFont="1" applyFill="1" applyBorder="1"/>
    <xf numFmtId="0" fontId="0" fillId="2" borderId="17" xfId="0" applyFill="1" applyBorder="1"/>
    <xf numFmtId="0" fontId="88" fillId="9" borderId="17" xfId="0" applyFont="1" applyFill="1" applyBorder="1" applyAlignment="1">
      <alignment horizontal="center" vertical="center"/>
    </xf>
    <xf numFmtId="0" fontId="74" fillId="2" borderId="12" xfId="0" applyFont="1" applyFill="1" applyBorder="1" applyAlignment="1">
      <alignment vertical="center"/>
    </xf>
    <xf numFmtId="0" fontId="74" fillId="2" borderId="12" xfId="0" applyFont="1" applyFill="1" applyBorder="1" applyAlignment="1">
      <alignment horizontal="center" vertical="center"/>
    </xf>
    <xf numFmtId="9" fontId="88" fillId="2" borderId="12" xfId="0" applyNumberFormat="1" applyFont="1" applyFill="1" applyBorder="1" applyAlignment="1">
      <alignment horizontal="center" vertical="center"/>
    </xf>
    <xf numFmtId="1" fontId="88" fillId="8" borderId="28" xfId="0" applyNumberFormat="1" applyFont="1" applyFill="1" applyBorder="1" applyAlignment="1">
      <alignment horizontal="center" vertical="center"/>
    </xf>
    <xf numFmtId="0" fontId="83" fillId="18" borderId="28" xfId="0" applyFont="1" applyFill="1" applyBorder="1" applyAlignment="1">
      <alignment horizontal="center" vertical="center"/>
    </xf>
    <xf numFmtId="0" fontId="83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88" fillId="0" borderId="47" xfId="0" applyNumberFormat="1" applyFont="1" applyBorder="1" applyAlignment="1">
      <alignment horizontal="center"/>
    </xf>
    <xf numFmtId="1" fontId="88" fillId="0" borderId="12" xfId="0" applyNumberFormat="1" applyFont="1" applyBorder="1" applyAlignment="1">
      <alignment horizontal="center"/>
    </xf>
    <xf numFmtId="174" fontId="88" fillId="0" borderId="12" xfId="0" applyNumberFormat="1" applyFont="1" applyBorder="1" applyAlignment="1">
      <alignment horizontal="center"/>
    </xf>
    <xf numFmtId="0" fontId="88" fillId="0" borderId="12" xfId="0" applyFont="1" applyBorder="1" applyAlignment="1">
      <alignment horizontal="center"/>
    </xf>
    <xf numFmtId="0" fontId="0" fillId="2" borderId="7" xfId="0" applyFill="1" applyBorder="1"/>
    <xf numFmtId="0" fontId="0" fillId="18" borderId="7" xfId="0" applyFill="1" applyBorder="1"/>
    <xf numFmtId="0" fontId="88" fillId="2" borderId="12" xfId="0" applyFont="1" applyFill="1" applyBorder="1" applyAlignment="1">
      <alignment vertical="top" wrapText="1"/>
    </xf>
    <xf numFmtId="0" fontId="83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83" fillId="18" borderId="30" xfId="0" applyFont="1" applyFill="1" applyBorder="1" applyAlignment="1">
      <alignment horizontal="center" vertical="center"/>
    </xf>
    <xf numFmtId="0" fontId="83" fillId="18" borderId="22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83" fillId="20" borderId="12" xfId="0" applyFont="1" applyFill="1" applyBorder="1" applyAlignment="1">
      <alignment horizontal="center"/>
    </xf>
    <xf numFmtId="0" fontId="83" fillId="18" borderId="20" xfId="0" applyFont="1" applyFill="1" applyBorder="1" applyAlignment="1">
      <alignment horizontal="center" vertical="center"/>
    </xf>
    <xf numFmtId="0" fontId="83" fillId="18" borderId="21" xfId="0" applyFont="1" applyFill="1" applyBorder="1" applyAlignment="1">
      <alignment horizontal="center" vertical="center"/>
    </xf>
    <xf numFmtId="43" fontId="83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83" fillId="4" borderId="12" xfId="0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83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66" fillId="2" borderId="12" xfId="0" applyNumberFormat="1" applyFont="1" applyFill="1" applyBorder="1" applyAlignment="1">
      <alignment horizontal="center" vertical="center"/>
    </xf>
    <xf numFmtId="0" fontId="83" fillId="18" borderId="30" xfId="0" applyFont="1" applyFill="1" applyBorder="1" applyAlignment="1">
      <alignment horizontal="center"/>
    </xf>
    <xf numFmtId="0" fontId="83" fillId="18" borderId="32" xfId="0" applyFont="1" applyFill="1" applyBorder="1" applyAlignment="1">
      <alignment horizontal="center"/>
    </xf>
    <xf numFmtId="0" fontId="83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83" fillId="4" borderId="12" xfId="0" applyFont="1" applyFill="1" applyBorder="1"/>
    <xf numFmtId="0" fontId="83" fillId="18" borderId="12" xfId="0" applyFont="1" applyFill="1" applyBorder="1"/>
    <xf numFmtId="0" fontId="83" fillId="18" borderId="12" xfId="0" applyFont="1" applyFill="1" applyBorder="1" applyAlignment="1">
      <alignment horizontal="left"/>
    </xf>
    <xf numFmtId="0" fontId="64" fillId="2" borderId="12" xfId="0" applyFont="1" applyFill="1" applyBorder="1"/>
    <xf numFmtId="0" fontId="82" fillId="3" borderId="0" xfId="0" applyFont="1" applyFill="1" applyAlignment="1">
      <alignment horizontal="center"/>
    </xf>
    <xf numFmtId="0" fontId="82" fillId="3" borderId="19" xfId="0" applyFont="1" applyFill="1" applyBorder="1" applyAlignment="1">
      <alignment horizontal="center"/>
    </xf>
    <xf numFmtId="0" fontId="82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64" fillId="2" borderId="28" xfId="0" applyFont="1" applyFill="1" applyBorder="1" applyAlignment="1">
      <alignment horizontal="center" vertical="center"/>
    </xf>
    <xf numFmtId="0" fontId="64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98" fillId="3" borderId="19" xfId="0" applyFont="1" applyFill="1" applyBorder="1" applyAlignment="1">
      <alignment horizontal="center" vertical="center"/>
    </xf>
    <xf numFmtId="165" fontId="98" fillId="3" borderId="21" xfId="1" applyNumberFormat="1" applyFont="1" applyFill="1" applyBorder="1" applyAlignment="1">
      <alignment horizontal="center" vertical="center"/>
    </xf>
    <xf numFmtId="166" fontId="98" fillId="3" borderId="21" xfId="0" applyNumberFormat="1" applyFont="1" applyFill="1" applyBorder="1" applyAlignment="1">
      <alignment horizontal="center" vertical="center"/>
    </xf>
    <xf numFmtId="9" fontId="98" fillId="3" borderId="21" xfId="2" applyFont="1" applyFill="1" applyBorder="1" applyAlignment="1">
      <alignment horizontal="center" vertical="center"/>
    </xf>
    <xf numFmtId="9" fontId="98" fillId="3" borderId="22" xfId="2" applyFont="1" applyFill="1" applyBorder="1" applyAlignment="1">
      <alignment horizontal="center" vertical="center" wrapText="1"/>
    </xf>
    <xf numFmtId="14" fontId="103" fillId="2" borderId="9" xfId="0" applyNumberFormat="1" applyFont="1" applyFill="1" applyBorder="1" applyAlignment="1">
      <alignment horizontal="center" vertical="center"/>
    </xf>
    <xf numFmtId="0" fontId="103" fillId="2" borderId="10" xfId="0" applyFont="1" applyFill="1" applyBorder="1" applyAlignment="1">
      <alignment vertical="center"/>
    </xf>
    <xf numFmtId="165" fontId="103" fillId="2" borderId="10" xfId="1" applyNumberFormat="1" applyFont="1" applyFill="1" applyBorder="1" applyAlignment="1">
      <alignment horizontal="center" vertical="center"/>
    </xf>
    <xf numFmtId="166" fontId="103" fillId="2" borderId="10" xfId="0" applyNumberFormat="1" applyFont="1" applyFill="1" applyBorder="1" applyAlignment="1">
      <alignment horizontal="center" vertical="center"/>
    </xf>
    <xf numFmtId="9" fontId="103" fillId="2" borderId="10" xfId="2" applyFont="1" applyFill="1" applyBorder="1" applyAlignment="1">
      <alignment horizontal="center" vertical="center"/>
    </xf>
    <xf numFmtId="167" fontId="103" fillId="2" borderId="11" xfId="1" applyNumberFormat="1" applyFont="1" applyFill="1" applyBorder="1" applyAlignment="1">
      <alignment horizontal="center" vertical="center"/>
    </xf>
    <xf numFmtId="0" fontId="103" fillId="2" borderId="11" xfId="0" applyFont="1" applyFill="1" applyBorder="1" applyAlignment="1">
      <alignment horizontal="center" vertical="center"/>
    </xf>
    <xf numFmtId="1" fontId="103" fillId="2" borderId="11" xfId="0" applyNumberFormat="1" applyFont="1" applyFill="1" applyBorder="1" applyAlignment="1">
      <alignment horizontal="center" vertical="center"/>
    </xf>
    <xf numFmtId="165" fontId="103" fillId="2" borderId="10" xfId="0" applyNumberFormat="1" applyFont="1" applyFill="1" applyBorder="1" applyAlignment="1">
      <alignment horizontal="center" vertical="center"/>
    </xf>
    <xf numFmtId="0" fontId="103" fillId="2" borderId="12" xfId="0" applyFont="1" applyFill="1" applyBorder="1"/>
    <xf numFmtId="14" fontId="103" fillId="2" borderId="14" xfId="0" applyNumberFormat="1" applyFont="1" applyFill="1" applyBorder="1" applyAlignment="1">
      <alignment horizontal="center" vertical="center"/>
    </xf>
    <xf numFmtId="0" fontId="103" fillId="2" borderId="15" xfId="0" applyFont="1" applyFill="1" applyBorder="1" applyAlignment="1">
      <alignment vertical="center"/>
    </xf>
    <xf numFmtId="165" fontId="103" fillId="2" borderId="15" xfId="1" applyNumberFormat="1" applyFont="1" applyFill="1" applyBorder="1" applyAlignment="1">
      <alignment horizontal="center" vertical="center"/>
    </xf>
    <xf numFmtId="166" fontId="103" fillId="2" borderId="15" xfId="0" applyNumberFormat="1" applyFont="1" applyFill="1" applyBorder="1" applyAlignment="1">
      <alignment horizontal="center" vertical="center"/>
    </xf>
    <xf numFmtId="9" fontId="103" fillId="2" borderId="15" xfId="2" applyFont="1" applyFill="1" applyBorder="1" applyAlignment="1">
      <alignment horizontal="center" vertical="center"/>
    </xf>
    <xf numFmtId="165" fontId="103" fillId="2" borderId="17" xfId="1" applyNumberFormat="1" applyFont="1" applyFill="1" applyBorder="1" applyAlignment="1">
      <alignment horizontal="center" vertical="center"/>
    </xf>
    <xf numFmtId="167" fontId="103" fillId="2" borderId="16" xfId="1" applyNumberFormat="1" applyFont="1" applyFill="1" applyBorder="1" applyAlignment="1">
      <alignment horizontal="center" vertical="center"/>
    </xf>
    <xf numFmtId="165" fontId="103" fillId="2" borderId="12" xfId="0" applyNumberFormat="1" applyFont="1" applyFill="1" applyBorder="1"/>
    <xf numFmtId="168" fontId="103" fillId="2" borderId="12" xfId="0" applyNumberFormat="1" applyFont="1" applyFill="1" applyBorder="1"/>
    <xf numFmtId="165" fontId="103" fillId="2" borderId="15" xfId="0" applyNumberFormat="1" applyFont="1" applyFill="1" applyBorder="1" applyAlignment="1">
      <alignment horizontal="center" vertical="center"/>
    </xf>
    <xf numFmtId="165" fontId="103" fillId="2" borderId="17" xfId="0" applyNumberFormat="1" applyFont="1" applyFill="1" applyBorder="1" applyAlignment="1">
      <alignment horizontal="center" vertical="center"/>
    </xf>
    <xf numFmtId="167" fontId="103" fillId="2" borderId="12" xfId="0" applyNumberFormat="1" applyFont="1" applyFill="1" applyBorder="1"/>
    <xf numFmtId="0" fontId="103" fillId="2" borderId="17" xfId="0" applyFont="1" applyFill="1" applyBorder="1" applyAlignment="1">
      <alignment vertical="center"/>
    </xf>
    <xf numFmtId="1" fontId="103" fillId="2" borderId="16" xfId="0" applyNumberFormat="1" applyFont="1" applyFill="1" applyBorder="1" applyAlignment="1">
      <alignment horizontal="center" vertical="center"/>
    </xf>
    <xf numFmtId="14" fontId="103" fillId="2" borderId="19" xfId="0" applyNumberFormat="1" applyFont="1" applyFill="1" applyBorder="1" applyAlignment="1">
      <alignment horizontal="center" vertical="center"/>
    </xf>
    <xf numFmtId="0" fontId="103" fillId="2" borderId="20" xfId="0" applyFont="1" applyFill="1" applyBorder="1" applyAlignment="1">
      <alignment vertical="center"/>
    </xf>
    <xf numFmtId="165" fontId="103" fillId="2" borderId="20" xfId="1" applyNumberFormat="1" applyFont="1" applyFill="1" applyBorder="1" applyAlignment="1">
      <alignment horizontal="center" vertical="center"/>
    </xf>
    <xf numFmtId="166" fontId="103" fillId="2" borderId="21" xfId="0" applyNumberFormat="1" applyFont="1" applyFill="1" applyBorder="1" applyAlignment="1">
      <alignment horizontal="center" vertical="center"/>
    </xf>
    <xf numFmtId="9" fontId="103" fillId="2" borderId="21" xfId="2" applyFont="1" applyFill="1" applyBorder="1" applyAlignment="1">
      <alignment horizontal="center" vertical="center"/>
    </xf>
    <xf numFmtId="167" fontId="103" fillId="2" borderId="22" xfId="1" applyNumberFormat="1" applyFont="1" applyFill="1" applyBorder="1" applyAlignment="1">
      <alignment horizontal="center" vertical="center"/>
    </xf>
    <xf numFmtId="1" fontId="103" fillId="2" borderId="22" xfId="0" applyNumberFormat="1" applyFont="1" applyFill="1" applyBorder="1" applyAlignment="1">
      <alignment horizontal="center" vertical="center"/>
    </xf>
    <xf numFmtId="165" fontId="103" fillId="2" borderId="21" xfId="0" applyNumberFormat="1" applyFont="1" applyFill="1" applyBorder="1" applyAlignment="1">
      <alignment horizontal="center" vertical="center"/>
    </xf>
    <xf numFmtId="165" fontId="103" fillId="2" borderId="20" xfId="0" applyNumberFormat="1" applyFont="1" applyFill="1" applyBorder="1" applyAlignment="1">
      <alignment horizontal="center" vertical="center"/>
    </xf>
    <xf numFmtId="165" fontId="103" fillId="2" borderId="23" xfId="0" applyNumberFormat="1" applyFont="1" applyFill="1" applyBorder="1" applyAlignment="1">
      <alignment horizontal="center" vertical="center"/>
    </xf>
    <xf numFmtId="165" fontId="103" fillId="2" borderId="25" xfId="0" applyNumberFormat="1" applyFont="1" applyFill="1" applyBorder="1" applyAlignment="1">
      <alignment horizontal="center" vertical="center"/>
    </xf>
    <xf numFmtId="0" fontId="103" fillId="2" borderId="16" xfId="0" applyFont="1" applyFill="1" applyBorder="1" applyAlignment="1">
      <alignment horizontal="center" vertical="center"/>
    </xf>
    <xf numFmtId="0" fontId="103" fillId="2" borderId="27" xfId="0" applyFont="1" applyFill="1" applyBorder="1" applyAlignment="1">
      <alignment vertical="center"/>
    </xf>
    <xf numFmtId="165" fontId="103" fillId="2" borderId="27" xfId="1" applyNumberFormat="1" applyFont="1" applyFill="1" applyBorder="1" applyAlignment="1">
      <alignment horizontal="center" vertical="center"/>
    </xf>
    <xf numFmtId="166" fontId="103" fillId="2" borderId="27" xfId="0" applyNumberFormat="1" applyFont="1" applyFill="1" applyBorder="1" applyAlignment="1">
      <alignment horizontal="center" vertical="center"/>
    </xf>
    <xf numFmtId="9" fontId="103" fillId="2" borderId="27" xfId="2" applyFont="1" applyFill="1" applyBorder="1" applyAlignment="1">
      <alignment horizontal="center" vertical="center"/>
    </xf>
    <xf numFmtId="165" fontId="103" fillId="2" borderId="15" xfId="0" applyNumberFormat="1" applyFont="1" applyFill="1" applyBorder="1" applyAlignment="1">
      <alignment vertical="center"/>
    </xf>
    <xf numFmtId="165" fontId="103" fillId="2" borderId="17" xfId="0" applyNumberFormat="1" applyFont="1" applyFill="1" applyBorder="1" applyAlignment="1">
      <alignment vertical="center"/>
    </xf>
    <xf numFmtId="175" fontId="103" fillId="2" borderId="27" xfId="2" applyNumberFormat="1" applyFont="1" applyFill="1" applyBorder="1" applyAlignment="1">
      <alignment horizontal="center" vertical="center"/>
    </xf>
    <xf numFmtId="14" fontId="98" fillId="4" borderId="19" xfId="0" applyNumberFormat="1" applyFont="1" applyFill="1" applyBorder="1" applyAlignment="1">
      <alignment horizontal="center" vertical="center"/>
    </xf>
    <xf numFmtId="0" fontId="98" fillId="4" borderId="21" xfId="0" applyFont="1" applyFill="1" applyBorder="1" applyAlignment="1">
      <alignment vertical="center"/>
    </xf>
    <xf numFmtId="165" fontId="98" fillId="4" borderId="21" xfId="1" applyNumberFormat="1" applyFont="1" applyFill="1" applyBorder="1" applyAlignment="1">
      <alignment horizontal="center" vertical="center"/>
    </xf>
    <xf numFmtId="166" fontId="98" fillId="4" borderId="21" xfId="0" applyNumberFormat="1" applyFont="1" applyFill="1" applyBorder="1" applyAlignment="1">
      <alignment horizontal="center" vertical="center"/>
    </xf>
    <xf numFmtId="9" fontId="98" fillId="4" borderId="21" xfId="2" applyFont="1" applyFill="1" applyBorder="1" applyAlignment="1">
      <alignment horizontal="center" vertical="center"/>
    </xf>
    <xf numFmtId="167" fontId="98" fillId="4" borderId="22" xfId="1" applyNumberFormat="1" applyFont="1" applyFill="1" applyBorder="1" applyAlignment="1">
      <alignment horizontal="center" vertical="center"/>
    </xf>
    <xf numFmtId="0" fontId="98" fillId="4" borderId="22" xfId="0" applyFont="1" applyFill="1" applyBorder="1" applyAlignment="1">
      <alignment horizontal="center" vertical="center"/>
    </xf>
    <xf numFmtId="1" fontId="98" fillId="4" borderId="22" xfId="0" applyNumberFormat="1" applyFont="1" applyFill="1" applyBorder="1" applyAlignment="1">
      <alignment horizontal="center" vertical="center"/>
    </xf>
    <xf numFmtId="165" fontId="98" fillId="4" borderId="21" xfId="0" applyNumberFormat="1" applyFont="1" applyFill="1" applyBorder="1" applyAlignment="1">
      <alignment horizontal="center" vertical="center"/>
    </xf>
    <xf numFmtId="0" fontId="98" fillId="4" borderId="17" xfId="0" applyFont="1" applyFill="1" applyBorder="1"/>
    <xf numFmtId="165" fontId="98" fillId="4" borderId="17" xfId="1" applyNumberFormat="1" applyFont="1" applyFill="1" applyBorder="1" applyAlignment="1">
      <alignment horizontal="center" vertical="center"/>
    </xf>
    <xf numFmtId="9" fontId="98" fillId="4" borderId="17" xfId="2" applyFont="1" applyFill="1" applyBorder="1" applyAlignment="1">
      <alignment horizontal="center" vertical="center"/>
    </xf>
    <xf numFmtId="1" fontId="98" fillId="4" borderId="17" xfId="0" applyNumberFormat="1" applyFont="1" applyFill="1" applyBorder="1" applyAlignment="1">
      <alignment horizontal="center"/>
    </xf>
    <xf numFmtId="165" fontId="98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98" fillId="4" borderId="54" xfId="0" applyNumberFormat="1" applyFont="1" applyFill="1" applyBorder="1" applyAlignment="1">
      <alignment vertical="center"/>
    </xf>
    <xf numFmtId="0" fontId="98" fillId="3" borderId="22" xfId="0" applyFont="1" applyFill="1" applyBorder="1" applyAlignment="1">
      <alignment horizontal="center" vertical="center" wrapText="1"/>
    </xf>
    <xf numFmtId="0" fontId="98" fillId="3" borderId="21" xfId="0" applyFont="1" applyFill="1" applyBorder="1" applyAlignment="1">
      <alignment horizontal="center" vertical="center"/>
    </xf>
    <xf numFmtId="0" fontId="98" fillId="3" borderId="21" xfId="0" applyFont="1" applyFill="1" applyBorder="1" applyAlignment="1">
      <alignment horizontal="center" vertical="center" wrapText="1"/>
    </xf>
    <xf numFmtId="0" fontId="98" fillId="20" borderId="28" xfId="0" applyFont="1" applyFill="1" applyBorder="1" applyAlignment="1">
      <alignment horizontal="center" vertical="center"/>
    </xf>
    <xf numFmtId="14" fontId="103" fillId="17" borderId="9" xfId="0" applyNumberFormat="1" applyFont="1" applyFill="1" applyBorder="1" applyAlignment="1">
      <alignment horizontal="center" vertical="center"/>
    </xf>
    <xf numFmtId="0" fontId="103" fillId="17" borderId="10" xfId="0" applyFont="1" applyFill="1" applyBorder="1" applyAlignment="1">
      <alignment vertical="center"/>
    </xf>
    <xf numFmtId="165" fontId="103" fillId="17" borderId="10" xfId="1" applyNumberFormat="1" applyFont="1" applyFill="1" applyBorder="1" applyAlignment="1">
      <alignment horizontal="center" vertical="center"/>
    </xf>
    <xf numFmtId="166" fontId="103" fillId="17" borderId="10" xfId="0" applyNumberFormat="1" applyFont="1" applyFill="1" applyBorder="1" applyAlignment="1">
      <alignment horizontal="center" vertical="center"/>
    </xf>
    <xf numFmtId="9" fontId="103" fillId="17" borderId="10" xfId="2" applyFont="1" applyFill="1" applyBorder="1" applyAlignment="1">
      <alignment horizontal="center" vertical="center"/>
    </xf>
    <xf numFmtId="167" fontId="103" fillId="17" borderId="11" xfId="1" applyNumberFormat="1" applyFont="1" applyFill="1" applyBorder="1" applyAlignment="1">
      <alignment horizontal="center" vertical="center"/>
    </xf>
    <xf numFmtId="1" fontId="103" fillId="17" borderId="11" xfId="0" applyNumberFormat="1" applyFont="1" applyFill="1" applyBorder="1" applyAlignment="1">
      <alignment horizontal="center" vertical="center"/>
    </xf>
    <xf numFmtId="165" fontId="103" fillId="17" borderId="10" xfId="0" applyNumberFormat="1" applyFont="1" applyFill="1" applyBorder="1" applyAlignment="1">
      <alignment horizontal="center" vertical="center"/>
    </xf>
    <xf numFmtId="0" fontId="103" fillId="17" borderId="12" xfId="0" applyFont="1" applyFill="1" applyBorder="1"/>
    <xf numFmtId="14" fontId="103" fillId="17" borderId="14" xfId="0" applyNumberFormat="1" applyFont="1" applyFill="1" applyBorder="1" applyAlignment="1">
      <alignment horizontal="center" vertical="center"/>
    </xf>
    <xf numFmtId="0" fontId="103" fillId="17" borderId="15" xfId="0" applyFont="1" applyFill="1" applyBorder="1" applyAlignment="1">
      <alignment vertical="center"/>
    </xf>
    <xf numFmtId="165" fontId="103" fillId="17" borderId="17" xfId="1" applyNumberFormat="1" applyFont="1" applyFill="1" applyBorder="1" applyAlignment="1">
      <alignment horizontal="center" vertical="center"/>
    </xf>
    <xf numFmtId="9" fontId="103" fillId="17" borderId="15" xfId="2" applyFont="1" applyFill="1" applyBorder="1" applyAlignment="1">
      <alignment horizontal="center" vertical="center"/>
    </xf>
    <xf numFmtId="167" fontId="103" fillId="17" borderId="16" xfId="1" applyNumberFormat="1" applyFont="1" applyFill="1" applyBorder="1" applyAlignment="1">
      <alignment horizontal="center" vertical="center"/>
    </xf>
    <xf numFmtId="165" fontId="103" fillId="17" borderId="15" xfId="0" applyNumberFormat="1" applyFont="1" applyFill="1" applyBorder="1" applyAlignment="1">
      <alignment horizontal="center" vertical="center"/>
    </xf>
    <xf numFmtId="165" fontId="103" fillId="17" borderId="12" xfId="0" applyNumberFormat="1" applyFont="1" applyFill="1" applyBorder="1"/>
    <xf numFmtId="165" fontId="103" fillId="17" borderId="17" xfId="0" applyNumberFormat="1" applyFont="1" applyFill="1" applyBorder="1" applyAlignment="1">
      <alignment horizontal="center" vertical="center"/>
    </xf>
    <xf numFmtId="0" fontId="103" fillId="17" borderId="17" xfId="0" applyFont="1" applyFill="1" applyBorder="1" applyAlignment="1">
      <alignment vertical="center"/>
    </xf>
    <xf numFmtId="1" fontId="103" fillId="17" borderId="1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83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83" fillId="18" borderId="12" xfId="0" applyFont="1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83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63" fillId="2" borderId="12" xfId="0" applyFont="1" applyFill="1" applyBorder="1" applyAlignment="1">
      <alignment horizontal="center" vertical="center"/>
    </xf>
    <xf numFmtId="0" fontId="62" fillId="2" borderId="12" xfId="0" applyFont="1" applyFill="1" applyBorder="1" applyAlignment="1">
      <alignment horizontal="center" vertical="center"/>
    </xf>
    <xf numFmtId="0" fontId="61" fillId="2" borderId="12" xfId="0" applyFont="1" applyFill="1" applyBorder="1" applyAlignment="1">
      <alignment horizontal="center" vertical="center"/>
    </xf>
    <xf numFmtId="0" fontId="60" fillId="2" borderId="7" xfId="0" applyFont="1" applyFill="1" applyBorder="1" applyAlignment="1">
      <alignment horizontal="center" vertical="center"/>
    </xf>
    <xf numFmtId="0" fontId="59" fillId="2" borderId="12" xfId="0" applyFont="1" applyFill="1" applyBorder="1" applyAlignment="1">
      <alignment horizontal="center" vertical="center"/>
    </xf>
    <xf numFmtId="0" fontId="59" fillId="2" borderId="12" xfId="0" applyFont="1" applyFill="1" applyBorder="1" applyAlignment="1">
      <alignment horizontal="left" vertical="center"/>
    </xf>
    <xf numFmtId="0" fontId="103" fillId="2" borderId="12" xfId="0" applyFont="1" applyFill="1" applyBorder="1" applyAlignment="1">
      <alignment wrapText="1"/>
    </xf>
    <xf numFmtId="0" fontId="59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83" fillId="4" borderId="12" xfId="0" applyFont="1" applyFill="1" applyBorder="1" applyAlignment="1">
      <alignment horizontal="center" wrapText="1"/>
    </xf>
    <xf numFmtId="166" fontId="104" fillId="17" borderId="10" xfId="0" applyNumberFormat="1" applyFont="1" applyFill="1" applyBorder="1" applyAlignment="1">
      <alignment horizontal="center" vertical="center"/>
    </xf>
    <xf numFmtId="166" fontId="104" fillId="2" borderId="21" xfId="0" applyNumberFormat="1" applyFont="1" applyFill="1" applyBorder="1" applyAlignment="1">
      <alignment horizontal="center" vertical="center"/>
    </xf>
    <xf numFmtId="166" fontId="104" fillId="17" borderId="15" xfId="0" applyNumberFormat="1" applyFont="1" applyFill="1" applyBorder="1" applyAlignment="1">
      <alignment horizontal="center" vertical="center"/>
    </xf>
    <xf numFmtId="166" fontId="104" fillId="2" borderId="15" xfId="0" applyNumberFormat="1" applyFont="1" applyFill="1" applyBorder="1" applyAlignment="1">
      <alignment horizontal="center" vertical="center"/>
    </xf>
    <xf numFmtId="166" fontId="104" fillId="2" borderId="10" xfId="0" applyNumberFormat="1" applyFont="1" applyFill="1" applyBorder="1" applyAlignment="1">
      <alignment horizontal="center" vertical="center"/>
    </xf>
    <xf numFmtId="0" fontId="58" fillId="2" borderId="12" xfId="0" applyFont="1" applyFill="1" applyBorder="1" applyAlignment="1">
      <alignment vertical="center"/>
    </xf>
    <xf numFmtId="0" fontId="58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88" fillId="18" borderId="12" xfId="0" applyFont="1" applyFill="1" applyBorder="1" applyAlignment="1">
      <alignment horizontal="center"/>
    </xf>
    <xf numFmtId="0" fontId="83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83" fillId="18" borderId="12" xfId="0" applyNumberFormat="1" applyFont="1" applyFill="1" applyBorder="1" applyAlignment="1">
      <alignment horizontal="center" wrapText="1"/>
    </xf>
    <xf numFmtId="14" fontId="57" fillId="2" borderId="12" xfId="0" applyNumberFormat="1" applyFont="1" applyFill="1" applyBorder="1"/>
    <xf numFmtId="0" fontId="56" fillId="2" borderId="12" xfId="0" applyFont="1" applyFill="1" applyBorder="1" applyAlignment="1">
      <alignment vertical="center"/>
    </xf>
    <xf numFmtId="0" fontId="56" fillId="2" borderId="12" xfId="0" applyFont="1" applyFill="1" applyBorder="1" applyAlignment="1">
      <alignment horizontal="center" vertical="center"/>
    </xf>
    <xf numFmtId="173" fontId="88" fillId="0" borderId="47" xfId="0" applyNumberFormat="1" applyFont="1" applyBorder="1" applyAlignment="1">
      <alignment horizontal="center"/>
    </xf>
    <xf numFmtId="1" fontId="88" fillId="0" borderId="20" xfId="0" applyNumberFormat="1" applyFont="1" applyBorder="1" applyAlignment="1">
      <alignment horizontal="center"/>
    </xf>
    <xf numFmtId="0" fontId="88" fillId="0" borderId="20" xfId="0" applyFont="1" applyBorder="1"/>
    <xf numFmtId="9" fontId="88" fillId="0" borderId="20" xfId="0" applyNumberFormat="1" applyFont="1" applyBorder="1" applyAlignment="1">
      <alignment horizontal="center"/>
    </xf>
    <xf numFmtId="0" fontId="88" fillId="0" borderId="20" xfId="0" applyFont="1" applyBorder="1" applyAlignment="1">
      <alignment horizontal="center"/>
    </xf>
    <xf numFmtId="173" fontId="88" fillId="14" borderId="12" xfId="0" applyNumberFormat="1" applyFont="1" applyFill="1" applyBorder="1" applyAlignment="1">
      <alignment horizontal="center"/>
    </xf>
    <xf numFmtId="43" fontId="88" fillId="14" borderId="12" xfId="1" applyFont="1" applyFill="1" applyBorder="1" applyAlignment="1">
      <alignment horizontal="center"/>
    </xf>
    <xf numFmtId="0" fontId="88" fillId="21" borderId="12" xfId="0" applyFont="1" applyFill="1" applyBorder="1" applyAlignment="1">
      <alignment horizontal="center"/>
    </xf>
    <xf numFmtId="0" fontId="88" fillId="14" borderId="12" xfId="0" applyFont="1" applyFill="1" applyBorder="1"/>
    <xf numFmtId="1" fontId="88" fillId="21" borderId="12" xfId="0" applyNumberFormat="1" applyFont="1" applyFill="1" applyBorder="1" applyAlignment="1">
      <alignment horizontal="center"/>
    </xf>
    <xf numFmtId="2" fontId="88" fillId="21" borderId="12" xfId="0" applyNumberFormat="1" applyFont="1" applyFill="1" applyBorder="1" applyAlignment="1">
      <alignment horizontal="center"/>
    </xf>
    <xf numFmtId="176" fontId="88" fillId="21" borderId="12" xfId="0" applyNumberFormat="1" applyFont="1" applyFill="1" applyBorder="1" applyAlignment="1">
      <alignment horizontal="center"/>
    </xf>
    <xf numFmtId="9" fontId="88" fillId="21" borderId="12" xfId="0" applyNumberFormat="1" applyFont="1" applyFill="1" applyBorder="1" applyAlignment="1">
      <alignment horizontal="center"/>
    </xf>
    <xf numFmtId="0" fontId="88" fillId="14" borderId="12" xfId="0" applyFont="1" applyFill="1" applyBorder="1" applyAlignment="1">
      <alignment horizontal="center"/>
    </xf>
    <xf numFmtId="0" fontId="90" fillId="21" borderId="12" xfId="0" applyFont="1" applyFill="1" applyBorder="1" applyAlignment="1">
      <alignment horizontal="center" wrapText="1"/>
    </xf>
    <xf numFmtId="43" fontId="88" fillId="21" borderId="12" xfId="1" applyFont="1" applyFill="1" applyBorder="1" applyAlignment="1">
      <alignment horizontal="center"/>
    </xf>
    <xf numFmtId="1" fontId="88" fillId="14" borderId="48" xfId="0" applyNumberFormat="1" applyFont="1" applyFill="1" applyBorder="1" applyAlignment="1">
      <alignment horizontal="center"/>
    </xf>
    <xf numFmtId="0" fontId="83" fillId="2" borderId="12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55" fillId="2" borderId="7" xfId="0" applyFont="1" applyFill="1" applyBorder="1" applyAlignment="1">
      <alignment vertical="center"/>
    </xf>
    <xf numFmtId="0" fontId="83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53" fillId="2" borderId="7" xfId="0" applyFont="1" applyFill="1" applyBorder="1" applyAlignment="1">
      <alignment vertical="center"/>
    </xf>
    <xf numFmtId="0" fontId="86" fillId="16" borderId="0" xfId="0" applyFont="1" applyFill="1"/>
    <xf numFmtId="0" fontId="0" fillId="16" borderId="0" xfId="0" applyFill="1"/>
    <xf numFmtId="180" fontId="86" fillId="16" borderId="0" xfId="3" applyNumberFormat="1" applyFont="1" applyFill="1"/>
    <xf numFmtId="0" fontId="83" fillId="0" borderId="0" xfId="0" applyFont="1" applyAlignment="1">
      <alignment horizontal="center"/>
    </xf>
    <xf numFmtId="0" fontId="83" fillId="18" borderId="7" xfId="0" applyFont="1" applyFill="1" applyBorder="1" applyAlignment="1">
      <alignment horizontal="center"/>
    </xf>
    <xf numFmtId="0" fontId="83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1" fontId="86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83" fillId="4" borderId="12" xfId="0" applyNumberFormat="1" applyFont="1" applyFill="1" applyBorder="1" applyAlignment="1">
      <alignment horizontal="center"/>
    </xf>
    <xf numFmtId="0" fontId="82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49" fillId="2" borderId="7" xfId="0" applyFont="1" applyFill="1" applyBorder="1" applyAlignment="1">
      <alignment vertical="center"/>
    </xf>
    <xf numFmtId="0" fontId="48" fillId="2" borderId="28" xfId="0" applyFont="1" applyFill="1" applyBorder="1" applyAlignment="1">
      <alignment horizontal="center" vertical="center"/>
    </xf>
    <xf numFmtId="0" fontId="48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47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82" fillId="2" borderId="13" xfId="0" applyNumberFormat="1" applyFont="1" applyFill="1" applyBorder="1" applyAlignment="1">
      <alignment vertical="center"/>
    </xf>
    <xf numFmtId="14" fontId="82" fillId="2" borderId="14" xfId="0" applyNumberFormat="1" applyFont="1" applyFill="1" applyBorder="1" applyAlignment="1">
      <alignment vertical="center"/>
    </xf>
    <xf numFmtId="1" fontId="98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left" vertical="center"/>
    </xf>
    <xf numFmtId="14" fontId="43" fillId="2" borderId="20" xfId="0" applyNumberFormat="1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vertical="center"/>
    </xf>
    <xf numFmtId="0" fontId="42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98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82" fillId="2" borderId="12" xfId="0" applyNumberFormat="1" applyFont="1" applyFill="1" applyBorder="1" applyAlignment="1">
      <alignment horizontal="center" vertical="center"/>
    </xf>
    <xf numFmtId="1" fontId="82" fillId="2" borderId="12" xfId="0" applyNumberFormat="1" applyFont="1" applyFill="1" applyBorder="1" applyAlignment="1">
      <alignment horizontal="center" vertical="center"/>
    </xf>
    <xf numFmtId="14" fontId="82" fillId="23" borderId="12" xfId="0" applyNumberFormat="1" applyFont="1" applyFill="1" applyBorder="1" applyAlignment="1">
      <alignment horizontal="center" vertical="center"/>
    </xf>
    <xf numFmtId="20" fontId="82" fillId="23" borderId="12" xfId="0" applyNumberFormat="1" applyFont="1" applyFill="1" applyBorder="1" applyAlignment="1">
      <alignment horizontal="center" vertical="center"/>
    </xf>
    <xf numFmtId="1" fontId="82" fillId="23" borderId="12" xfId="0" applyNumberFormat="1" applyFont="1" applyFill="1" applyBorder="1" applyAlignment="1">
      <alignment horizontal="center" vertical="center"/>
    </xf>
    <xf numFmtId="14" fontId="82" fillId="22" borderId="12" xfId="0" applyNumberFormat="1" applyFont="1" applyFill="1" applyBorder="1" applyAlignment="1">
      <alignment horizontal="center" vertical="center"/>
    </xf>
    <xf numFmtId="20" fontId="82" fillId="22" borderId="12" xfId="0" applyNumberFormat="1" applyFont="1" applyFill="1" applyBorder="1" applyAlignment="1">
      <alignment horizontal="center" vertical="center"/>
    </xf>
    <xf numFmtId="1" fontId="82" fillId="22" borderId="12" xfId="0" applyNumberFormat="1" applyFont="1" applyFill="1" applyBorder="1" applyAlignment="1">
      <alignment horizontal="center" vertical="center"/>
    </xf>
    <xf numFmtId="0" fontId="43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99" fillId="2" borderId="0" xfId="0" applyFont="1" applyFill="1" applyAlignment="1">
      <alignment horizontal="center"/>
    </xf>
    <xf numFmtId="14" fontId="53" fillId="22" borderId="10" xfId="0" applyNumberFormat="1" applyFont="1" applyFill="1" applyBorder="1" applyAlignment="1">
      <alignment horizontal="center" vertical="center"/>
    </xf>
    <xf numFmtId="14" fontId="53" fillId="22" borderId="17" xfId="0" applyNumberFormat="1" applyFont="1" applyFill="1" applyBorder="1" applyAlignment="1">
      <alignment horizontal="center" vertical="center"/>
    </xf>
    <xf numFmtId="14" fontId="51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53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53" fillId="23" borderId="17" xfId="0" applyNumberFormat="1" applyFont="1" applyFill="1" applyBorder="1" applyAlignment="1">
      <alignment horizontal="center" vertical="center"/>
    </xf>
    <xf numFmtId="14" fontId="82" fillId="23" borderId="17" xfId="0" applyNumberFormat="1" applyFont="1" applyFill="1" applyBorder="1" applyAlignment="1">
      <alignment horizontal="center" vertical="center"/>
    </xf>
    <xf numFmtId="14" fontId="54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54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52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52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82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75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47" fillId="22" borderId="12" xfId="0" applyNumberFormat="1" applyFont="1" applyFill="1" applyBorder="1" applyAlignment="1">
      <alignment horizontal="center" vertical="center" wrapText="1"/>
    </xf>
    <xf numFmtId="14" fontId="47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46" fillId="22" borderId="28" xfId="0" applyNumberFormat="1" applyFont="1" applyFill="1" applyBorder="1" applyAlignment="1">
      <alignment horizontal="center" vertical="center"/>
    </xf>
    <xf numFmtId="14" fontId="47" fillId="23" borderId="12" xfId="0" applyNumberFormat="1" applyFont="1" applyFill="1" applyBorder="1" applyAlignment="1">
      <alignment horizontal="center" vertical="center"/>
    </xf>
    <xf numFmtId="14" fontId="46" fillId="23" borderId="12" xfId="0" applyNumberFormat="1" applyFont="1" applyFill="1" applyBorder="1" applyAlignment="1">
      <alignment horizontal="center" vertical="center"/>
    </xf>
    <xf numFmtId="14" fontId="44" fillId="23" borderId="20" xfId="0" applyNumberFormat="1" applyFont="1" applyFill="1" applyBorder="1" applyAlignment="1">
      <alignment horizontal="center" vertical="center"/>
    </xf>
    <xf numFmtId="14" fontId="43" fillId="23" borderId="20" xfId="0" applyNumberFormat="1" applyFont="1" applyFill="1" applyBorder="1" applyAlignment="1">
      <alignment horizontal="center" vertical="center"/>
    </xf>
    <xf numFmtId="14" fontId="43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83" fillId="2" borderId="0" xfId="0" applyFont="1" applyFill="1"/>
    <xf numFmtId="0" fontId="83" fillId="22" borderId="10" xfId="0" applyFont="1" applyFill="1" applyBorder="1" applyAlignment="1">
      <alignment horizontal="center"/>
    </xf>
    <xf numFmtId="0" fontId="83" fillId="22" borderId="17" xfId="0" applyFont="1" applyFill="1" applyBorder="1" applyAlignment="1">
      <alignment horizontal="center"/>
    </xf>
    <xf numFmtId="0" fontId="83" fillId="23" borderId="10" xfId="0" applyFont="1" applyFill="1" applyBorder="1" applyAlignment="1">
      <alignment horizontal="center"/>
    </xf>
    <xf numFmtId="0" fontId="83" fillId="23" borderId="17" xfId="0" applyFont="1" applyFill="1" applyBorder="1" applyAlignment="1">
      <alignment horizontal="center"/>
    </xf>
    <xf numFmtId="0" fontId="83" fillId="23" borderId="28" xfId="0" applyFont="1" applyFill="1" applyBorder="1" applyAlignment="1">
      <alignment horizontal="center"/>
    </xf>
    <xf numFmtId="0" fontId="83" fillId="23" borderId="20" xfId="0" applyFont="1" applyFill="1" applyBorder="1" applyAlignment="1">
      <alignment horizontal="center"/>
    </xf>
    <xf numFmtId="0" fontId="83" fillId="22" borderId="12" xfId="0" applyFont="1" applyFill="1" applyBorder="1" applyAlignment="1">
      <alignment horizontal="center"/>
    </xf>
    <xf numFmtId="0" fontId="83" fillId="22" borderId="28" xfId="0" applyFont="1" applyFill="1" applyBorder="1" applyAlignment="1">
      <alignment horizontal="center"/>
    </xf>
    <xf numFmtId="0" fontId="83" fillId="23" borderId="12" xfId="0" applyFont="1" applyFill="1" applyBorder="1" applyAlignment="1">
      <alignment horizontal="center"/>
    </xf>
    <xf numFmtId="0" fontId="83" fillId="2" borderId="20" xfId="0" applyFont="1" applyFill="1" applyBorder="1" applyAlignment="1">
      <alignment horizontal="center"/>
    </xf>
    <xf numFmtId="0" fontId="83" fillId="2" borderId="10" xfId="0" applyFont="1" applyFill="1" applyBorder="1" applyAlignment="1">
      <alignment horizontal="center"/>
    </xf>
    <xf numFmtId="14" fontId="50" fillId="22" borderId="12" xfId="0" applyNumberFormat="1" applyFont="1" applyFill="1" applyBorder="1" applyAlignment="1">
      <alignment horizontal="center" vertical="center" wrapText="1"/>
    </xf>
    <xf numFmtId="14" fontId="45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43" fillId="22" borderId="12" xfId="0" applyNumberFormat="1" applyFont="1" applyFill="1" applyBorder="1" applyAlignment="1">
      <alignment horizontal="center" vertical="center"/>
    </xf>
    <xf numFmtId="14" fontId="44" fillId="22" borderId="12" xfId="0" applyNumberFormat="1" applyFont="1" applyFill="1" applyBorder="1" applyAlignment="1">
      <alignment horizontal="center" vertical="center"/>
    </xf>
    <xf numFmtId="14" fontId="41" fillId="22" borderId="12" xfId="0" applyNumberFormat="1" applyFont="1" applyFill="1" applyBorder="1" applyAlignment="1">
      <alignment horizontal="center" vertical="center"/>
    </xf>
    <xf numFmtId="14" fontId="73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83" fillId="2" borderId="0" xfId="0" applyFont="1" applyFill="1" applyAlignment="1">
      <alignment horizontal="center" vertical="center"/>
    </xf>
    <xf numFmtId="0" fontId="83" fillId="3" borderId="0" xfId="0" applyFont="1" applyFill="1" applyAlignment="1">
      <alignment horizontal="center" vertical="center"/>
    </xf>
    <xf numFmtId="20" fontId="79" fillId="22" borderId="12" xfId="0" applyNumberFormat="1" applyFont="1" applyFill="1" applyBorder="1" applyAlignment="1">
      <alignment horizontal="center" vertical="center"/>
    </xf>
    <xf numFmtId="0" fontId="53" fillId="22" borderId="12" xfId="0" applyFont="1" applyFill="1" applyBorder="1" applyAlignment="1">
      <alignment horizontal="left" vertical="top" wrapText="1"/>
    </xf>
    <xf numFmtId="0" fontId="52" fillId="22" borderId="12" xfId="0" applyFont="1" applyFill="1" applyBorder="1" applyAlignment="1">
      <alignment horizontal="left" vertical="center" wrapText="1"/>
    </xf>
    <xf numFmtId="0" fontId="52" fillId="23" borderId="12" xfId="0" applyFont="1" applyFill="1" applyBorder="1" applyAlignment="1">
      <alignment horizontal="left" vertical="center" wrapText="1"/>
    </xf>
    <xf numFmtId="20" fontId="76" fillId="23" borderId="12" xfId="0" applyNumberFormat="1" applyFont="1" applyFill="1" applyBorder="1" applyAlignment="1">
      <alignment horizontal="center" vertical="center"/>
    </xf>
    <xf numFmtId="0" fontId="52" fillId="23" borderId="12" xfId="0" applyFont="1" applyFill="1" applyBorder="1" applyAlignment="1">
      <alignment horizontal="left" vertical="center"/>
    </xf>
    <xf numFmtId="0" fontId="79" fillId="22" borderId="12" xfId="0" applyFont="1" applyFill="1" applyBorder="1" applyAlignment="1">
      <alignment horizontal="center" vertical="center"/>
    </xf>
    <xf numFmtId="0" fontId="78" fillId="22" borderId="12" xfId="0" applyFont="1" applyFill="1" applyBorder="1" applyAlignment="1">
      <alignment horizontal="center" vertical="center"/>
    </xf>
    <xf numFmtId="0" fontId="78" fillId="23" borderId="12" xfId="0" applyFont="1" applyFill="1" applyBorder="1" applyAlignment="1">
      <alignment horizontal="center" vertical="center"/>
    </xf>
    <xf numFmtId="0" fontId="77" fillId="23" borderId="12" xfId="0" applyFont="1" applyFill="1" applyBorder="1" applyAlignment="1">
      <alignment horizontal="center" vertical="center"/>
    </xf>
    <xf numFmtId="0" fontId="76" fillId="23" borderId="12" xfId="0" applyFont="1" applyFill="1" applyBorder="1" applyAlignment="1">
      <alignment horizontal="center" vertical="center"/>
    </xf>
    <xf numFmtId="0" fontId="72" fillId="2" borderId="12" xfId="0" applyFont="1" applyFill="1" applyBorder="1" applyAlignment="1">
      <alignment horizontal="center" vertical="center"/>
    </xf>
    <xf numFmtId="0" fontId="72" fillId="23" borderId="12" xfId="0" applyFont="1" applyFill="1" applyBorder="1" applyAlignment="1">
      <alignment horizontal="center" vertical="center"/>
    </xf>
    <xf numFmtId="14" fontId="47" fillId="22" borderId="12" xfId="0" applyNumberFormat="1" applyFont="1" applyFill="1" applyBorder="1" applyAlignment="1">
      <alignment horizontal="center" vertical="center"/>
    </xf>
    <xf numFmtId="14" fontId="74" fillId="22" borderId="12" xfId="0" applyNumberFormat="1" applyFont="1" applyFill="1" applyBorder="1" applyAlignment="1">
      <alignment horizontal="center" vertical="center"/>
    </xf>
    <xf numFmtId="0" fontId="75" fillId="22" borderId="12" xfId="0" applyFont="1" applyFill="1" applyBorder="1" applyAlignment="1">
      <alignment horizontal="center" vertical="center"/>
    </xf>
    <xf numFmtId="0" fontId="50" fillId="22" borderId="12" xfId="0" applyFont="1" applyFill="1" applyBorder="1" applyAlignment="1">
      <alignment horizontal="left" vertical="center" wrapText="1"/>
    </xf>
    <xf numFmtId="0" fontId="47" fillId="22" borderId="12" xfId="0" applyFont="1" applyFill="1" applyBorder="1" applyAlignment="1">
      <alignment horizontal="center" vertical="center"/>
    </xf>
    <xf numFmtId="0" fontId="47" fillId="22" borderId="12" xfId="0" applyFont="1" applyFill="1" applyBorder="1" applyAlignment="1">
      <alignment horizontal="left" vertical="center" wrapText="1"/>
    </xf>
    <xf numFmtId="0" fontId="73" fillId="22" borderId="12" xfId="0" applyFont="1" applyFill="1" applyBorder="1" applyAlignment="1">
      <alignment horizontal="center" vertical="center"/>
    </xf>
    <xf numFmtId="0" fontId="43" fillId="22" borderId="12" xfId="0" applyFont="1" applyFill="1" applyBorder="1" applyAlignment="1">
      <alignment horizontal="left" vertical="center" wrapText="1"/>
    </xf>
    <xf numFmtId="0" fontId="73" fillId="23" borderId="12" xfId="0" applyFont="1" applyFill="1" applyBorder="1" applyAlignment="1">
      <alignment horizontal="center" vertical="center"/>
    </xf>
    <xf numFmtId="0" fontId="46" fillId="23" borderId="12" xfId="0" applyFont="1" applyFill="1" applyBorder="1" applyAlignment="1">
      <alignment horizontal="left" vertical="center" wrapText="1"/>
    </xf>
    <xf numFmtId="0" fontId="43" fillId="23" borderId="12" xfId="0" applyFont="1" applyFill="1" applyBorder="1" applyAlignment="1">
      <alignment horizontal="center" vertical="center"/>
    </xf>
    <xf numFmtId="0" fontId="72" fillId="22" borderId="12" xfId="0" applyFont="1" applyFill="1" applyBorder="1" applyAlignment="1">
      <alignment horizontal="center" vertical="center"/>
    </xf>
    <xf numFmtId="0" fontId="41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70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14" fontId="40" fillId="2" borderId="20" xfId="0" applyNumberFormat="1" applyFont="1" applyFill="1" applyBorder="1" applyAlignment="1">
      <alignment horizontal="center" vertical="center"/>
    </xf>
    <xf numFmtId="14" fontId="40" fillId="23" borderId="12" xfId="0" applyNumberFormat="1" applyFont="1" applyFill="1" applyBorder="1" applyAlignment="1">
      <alignment horizontal="center" vertical="center"/>
    </xf>
    <xf numFmtId="1" fontId="82" fillId="23" borderId="28" xfId="0" applyNumberFormat="1" applyFont="1" applyFill="1" applyBorder="1" applyAlignment="1">
      <alignment horizontal="center" vertical="center"/>
    </xf>
    <xf numFmtId="0" fontId="69" fillId="23" borderId="20" xfId="0" applyFont="1" applyFill="1" applyBorder="1" applyAlignment="1">
      <alignment horizontal="center" vertical="center"/>
    </xf>
    <xf numFmtId="20" fontId="82" fillId="23" borderId="20" xfId="0" applyNumberFormat="1" applyFont="1" applyFill="1" applyBorder="1" applyAlignment="1">
      <alignment horizontal="center" vertical="center"/>
    </xf>
    <xf numFmtId="0" fontId="68" fillId="23" borderId="28" xfId="0" applyFont="1" applyFill="1" applyBorder="1" applyAlignment="1">
      <alignment horizontal="center" vertical="center"/>
    </xf>
    <xf numFmtId="20" fontId="82" fillId="23" borderId="28" xfId="0" applyNumberFormat="1" applyFont="1" applyFill="1" applyBorder="1" applyAlignment="1">
      <alignment horizontal="center" vertical="center"/>
    </xf>
    <xf numFmtId="0" fontId="68" fillId="23" borderId="70" xfId="0" applyFont="1" applyFill="1" applyBorder="1" applyAlignment="1">
      <alignment horizontal="center" vertical="center"/>
    </xf>
    <xf numFmtId="20" fontId="82" fillId="23" borderId="70" xfId="0" applyNumberFormat="1" applyFont="1" applyFill="1" applyBorder="1" applyAlignment="1">
      <alignment horizontal="center" vertical="center"/>
    </xf>
    <xf numFmtId="1" fontId="82" fillId="23" borderId="70" xfId="0" applyNumberFormat="1" applyFont="1" applyFill="1" applyBorder="1" applyAlignment="1">
      <alignment horizontal="center" vertical="center"/>
    </xf>
    <xf numFmtId="0" fontId="40" fillId="23" borderId="70" xfId="0" applyFont="1" applyFill="1" applyBorder="1" applyAlignment="1">
      <alignment horizontal="left" vertical="center" wrapText="1"/>
    </xf>
    <xf numFmtId="1" fontId="82" fillId="22" borderId="7" xfId="0" applyNumberFormat="1" applyFont="1" applyFill="1" applyBorder="1" applyAlignment="1">
      <alignment horizontal="center" vertical="center"/>
    </xf>
    <xf numFmtId="0" fontId="83" fillId="22" borderId="20" xfId="0" applyFont="1" applyFill="1" applyBorder="1" applyAlignment="1">
      <alignment horizontal="left"/>
    </xf>
    <xf numFmtId="0" fontId="40" fillId="22" borderId="68" xfId="0" applyFont="1" applyFill="1" applyBorder="1" applyAlignment="1">
      <alignment horizontal="left" vertical="center" wrapText="1"/>
    </xf>
    <xf numFmtId="1" fontId="82" fillId="23" borderId="30" xfId="0" applyNumberFormat="1" applyFont="1" applyFill="1" applyBorder="1" applyAlignment="1">
      <alignment horizontal="center" vertical="center"/>
    </xf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39" fillId="22" borderId="12" xfId="0" applyNumberFormat="1" applyFont="1" applyFill="1" applyBorder="1" applyAlignment="1">
      <alignment horizontal="left" vertical="center" wrapText="1"/>
    </xf>
    <xf numFmtId="0" fontId="38" fillId="23" borderId="68" xfId="0" applyFont="1" applyFill="1" applyBorder="1" applyAlignment="1">
      <alignment horizontal="left" vertical="center" wrapText="1"/>
    </xf>
    <xf numFmtId="0" fontId="38" fillId="23" borderId="28" xfId="0" applyFont="1" applyFill="1" applyBorder="1" applyAlignment="1">
      <alignment horizontal="left" vertical="center" wrapText="1"/>
    </xf>
    <xf numFmtId="0" fontId="88" fillId="24" borderId="47" xfId="0" applyFont="1" applyFill="1" applyBorder="1"/>
    <xf numFmtId="173" fontId="88" fillId="24" borderId="48" xfId="0" applyNumberFormat="1" applyFont="1" applyFill="1" applyBorder="1" applyAlignment="1">
      <alignment horizontal="center"/>
    </xf>
    <xf numFmtId="1" fontId="88" fillId="24" borderId="48" xfId="0" applyNumberFormat="1" applyFont="1" applyFill="1" applyBorder="1" applyAlignment="1">
      <alignment horizontal="center"/>
    </xf>
    <xf numFmtId="174" fontId="88" fillId="24" borderId="48" xfId="0" applyNumberFormat="1" applyFont="1" applyFill="1" applyBorder="1" applyAlignment="1">
      <alignment horizontal="center"/>
    </xf>
    <xf numFmtId="176" fontId="88" fillId="24" borderId="48" xfId="0" applyNumberFormat="1" applyFont="1" applyFill="1" applyBorder="1" applyAlignment="1">
      <alignment horizontal="center"/>
    </xf>
    <xf numFmtId="9" fontId="88" fillId="24" borderId="48" xfId="0" applyNumberFormat="1" applyFont="1" applyFill="1" applyBorder="1" applyAlignment="1">
      <alignment horizontal="center"/>
    </xf>
    <xf numFmtId="9" fontId="88" fillId="24" borderId="49" xfId="0" applyNumberFormat="1" applyFont="1" applyFill="1" applyBorder="1" applyAlignment="1">
      <alignment horizontal="center"/>
    </xf>
    <xf numFmtId="9" fontId="88" fillId="24" borderId="12" xfId="0" applyNumberFormat="1" applyFont="1" applyFill="1" applyBorder="1" applyAlignment="1">
      <alignment horizontal="center"/>
    </xf>
    <xf numFmtId="0" fontId="88" fillId="24" borderId="12" xfId="0" applyFont="1" applyFill="1" applyBorder="1"/>
    <xf numFmtId="0" fontId="88" fillId="24" borderId="48" xfId="0" applyFont="1" applyFill="1" applyBorder="1"/>
    <xf numFmtId="0" fontId="88" fillId="24" borderId="48" xfId="0" applyFont="1" applyFill="1" applyBorder="1" applyAlignment="1">
      <alignment horizontal="center"/>
    </xf>
    <xf numFmtId="0" fontId="88" fillId="24" borderId="0" xfId="0" applyFont="1" applyFill="1"/>
    <xf numFmtId="0" fontId="0" fillId="24" borderId="0" xfId="0" applyFill="1"/>
    <xf numFmtId="0" fontId="88" fillId="24" borderId="47" xfId="0" applyFont="1" applyFill="1" applyBorder="1" applyAlignment="1">
      <alignment horizontal="center"/>
    </xf>
    <xf numFmtId="0" fontId="88" fillId="24" borderId="50" xfId="0" applyFont="1" applyFill="1" applyBorder="1" applyAlignment="1">
      <alignment horizontal="center"/>
    </xf>
    <xf numFmtId="1" fontId="88" fillId="24" borderId="50" xfId="0" applyNumberFormat="1" applyFont="1" applyFill="1" applyBorder="1" applyAlignment="1">
      <alignment horizontal="center"/>
    </xf>
    <xf numFmtId="176" fontId="88" fillId="24" borderId="50" xfId="0" applyNumberFormat="1" applyFont="1" applyFill="1" applyBorder="1" applyAlignment="1">
      <alignment horizontal="center"/>
    </xf>
    <xf numFmtId="0" fontId="0" fillId="24" borderId="12" xfId="0" applyFill="1" applyBorder="1"/>
    <xf numFmtId="0" fontId="88" fillId="24" borderId="49" xfId="0" applyFont="1" applyFill="1" applyBorder="1"/>
    <xf numFmtId="0" fontId="88" fillId="24" borderId="49" xfId="0" applyFont="1" applyFill="1" applyBorder="1" applyAlignment="1">
      <alignment horizontal="center"/>
    </xf>
    <xf numFmtId="9" fontId="88" fillId="24" borderId="47" xfId="0" applyNumberFormat="1" applyFont="1" applyFill="1" applyBorder="1" applyAlignment="1">
      <alignment horizontal="center"/>
    </xf>
    <xf numFmtId="2" fontId="88" fillId="24" borderId="48" xfId="0" applyNumberFormat="1" applyFont="1" applyFill="1" applyBorder="1" applyAlignment="1">
      <alignment horizontal="center"/>
    </xf>
    <xf numFmtId="1" fontId="88" fillId="24" borderId="47" xfId="0" applyNumberFormat="1" applyFont="1" applyFill="1" applyBorder="1" applyAlignment="1">
      <alignment horizontal="center"/>
    </xf>
    <xf numFmtId="1" fontId="88" fillId="24" borderId="12" xfId="0" applyNumberFormat="1" applyFont="1" applyFill="1" applyBorder="1" applyAlignment="1">
      <alignment horizontal="center"/>
    </xf>
    <xf numFmtId="0" fontId="88" fillId="24" borderId="12" xfId="0" applyFont="1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1" fontId="0" fillId="19" borderId="12" xfId="0" applyNumberFormat="1" applyFill="1" applyBorder="1" applyAlignment="1">
      <alignment horizontal="center"/>
    </xf>
    <xf numFmtId="0" fontId="0" fillId="19" borderId="0" xfId="0" applyFill="1"/>
    <xf numFmtId="0" fontId="83" fillId="17" borderId="21" xfId="0" applyFont="1" applyFill="1" applyBorder="1" applyAlignment="1">
      <alignment horizontal="center"/>
    </xf>
    <xf numFmtId="9" fontId="0" fillId="17" borderId="28" xfId="0" applyNumberFormat="1" applyFill="1" applyBorder="1" applyAlignment="1">
      <alignment horizontal="center"/>
    </xf>
    <xf numFmtId="1" fontId="0" fillId="17" borderId="28" xfId="0" applyNumberFormat="1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36" fillId="2" borderId="17" xfId="0" applyNumberFormat="1" applyFont="1" applyFill="1" applyBorder="1" applyAlignment="1">
      <alignment horizontal="center" vertical="center"/>
    </xf>
    <xf numFmtId="0" fontId="83" fillId="17" borderId="0" xfId="0" applyFont="1" applyFill="1" applyAlignment="1">
      <alignment horizontal="center" vertical="center"/>
    </xf>
    <xf numFmtId="14" fontId="41" fillId="22" borderId="20" xfId="0" applyNumberFormat="1" applyFont="1" applyFill="1" applyBorder="1" applyAlignment="1">
      <alignment horizontal="center" vertical="center"/>
    </xf>
    <xf numFmtId="14" fontId="37" fillId="17" borderId="12" xfId="0" applyNumberFormat="1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vertical="center"/>
    </xf>
    <xf numFmtId="177" fontId="0" fillId="0" borderId="12" xfId="0" applyNumberFormat="1" applyBorder="1" applyAlignment="1">
      <alignment horizontal="center"/>
    </xf>
    <xf numFmtId="177" fontId="83" fillId="4" borderId="12" xfId="0" applyNumberFormat="1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9" fontId="0" fillId="19" borderId="13" xfId="2" applyFont="1" applyFill="1" applyBorder="1" applyAlignment="1">
      <alignment horizontal="center"/>
    </xf>
    <xf numFmtId="9" fontId="0" fillId="19" borderId="51" xfId="2" applyFont="1" applyFill="1" applyBorder="1" applyAlignment="1">
      <alignment horizontal="center"/>
    </xf>
    <xf numFmtId="9" fontId="0" fillId="19" borderId="26" xfId="2" applyFont="1" applyFill="1" applyBorder="1" applyAlignment="1">
      <alignment horizontal="center"/>
    </xf>
    <xf numFmtId="0" fontId="83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/>
    </xf>
    <xf numFmtId="14" fontId="40" fillId="23" borderId="28" xfId="0" applyNumberFormat="1" applyFont="1" applyFill="1" applyBorder="1" applyAlignment="1">
      <alignment horizontal="left" vertical="center" wrapText="1"/>
    </xf>
    <xf numFmtId="0" fontId="83" fillId="23" borderId="21" xfId="0" applyFont="1" applyFill="1" applyBorder="1" applyAlignment="1">
      <alignment horizontal="center"/>
    </xf>
    <xf numFmtId="14" fontId="40" fillId="23" borderId="10" xfId="0" applyNumberFormat="1" applyFont="1" applyFill="1" applyBorder="1" applyAlignment="1">
      <alignment horizontal="center" vertical="center"/>
    </xf>
    <xf numFmtId="14" fontId="40" fillId="23" borderId="17" xfId="0" applyNumberFormat="1" applyFont="1" applyFill="1" applyBorder="1" applyAlignment="1">
      <alignment horizontal="left" vertical="center" wrapText="1"/>
    </xf>
    <xf numFmtId="14" fontId="36" fillId="23" borderId="10" xfId="0" applyNumberFormat="1" applyFont="1" applyFill="1" applyBorder="1" applyAlignment="1">
      <alignment horizontal="center" vertical="center"/>
    </xf>
    <xf numFmtId="176" fontId="0" fillId="23" borderId="32" xfId="0" applyNumberFormat="1" applyFill="1" applyBorder="1" applyAlignment="1">
      <alignment horizontal="center" vertical="center"/>
    </xf>
    <xf numFmtId="14" fontId="34" fillId="17" borderId="28" xfId="0" applyNumberFormat="1" applyFont="1" applyFill="1" applyBorder="1" applyAlignment="1">
      <alignment horizontal="left" vertical="center" wrapText="1"/>
    </xf>
    <xf numFmtId="14" fontId="36" fillId="22" borderId="28" xfId="0" applyNumberFormat="1" applyFont="1" applyFill="1" applyBorder="1" applyAlignment="1">
      <alignment horizontal="center" vertical="center"/>
    </xf>
    <xf numFmtId="0" fontId="83" fillId="22" borderId="20" xfId="0" applyFont="1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1" fontId="0" fillId="22" borderId="27" xfId="0" applyNumberFormat="1" applyFill="1" applyBorder="1" applyAlignment="1">
      <alignment horizontal="center" vertical="center"/>
    </xf>
    <xf numFmtId="0" fontId="86" fillId="5" borderId="18" xfId="0" applyFont="1" applyFill="1" applyBorder="1"/>
    <xf numFmtId="0" fontId="86" fillId="5" borderId="67" xfId="0" applyFont="1" applyFill="1" applyBorder="1"/>
    <xf numFmtId="170" fontId="86" fillId="5" borderId="0" xfId="3" applyNumberFormat="1" applyFont="1" applyFill="1" applyBorder="1"/>
    <xf numFmtId="0" fontId="86" fillId="5" borderId="13" xfId="0" applyFont="1" applyFill="1" applyBorder="1"/>
    <xf numFmtId="0" fontId="86" fillId="5" borderId="51" xfId="0" applyFont="1" applyFill="1" applyBorder="1"/>
    <xf numFmtId="0" fontId="86" fillId="5" borderId="26" xfId="0" applyFont="1" applyFill="1" applyBorder="1"/>
    <xf numFmtId="181" fontId="0" fillId="2" borderId="0" xfId="0" applyNumberFormat="1" applyFill="1"/>
    <xf numFmtId="0" fontId="87" fillId="5" borderId="0" xfId="0" applyFont="1" applyFill="1"/>
    <xf numFmtId="169" fontId="86" fillId="5" borderId="0" xfId="3" applyNumberFormat="1" applyFont="1" applyFill="1" applyBorder="1"/>
    <xf numFmtId="10" fontId="87" fillId="0" borderId="71" xfId="2" applyNumberFormat="1" applyFont="1" applyFill="1" applyBorder="1"/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6" borderId="3" xfId="0" applyFill="1" applyBorder="1"/>
    <xf numFmtId="0" fontId="0" fillId="26" borderId="18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67" xfId="0" applyFill="1" applyBorder="1"/>
    <xf numFmtId="0" fontId="0" fillId="26" borderId="13" xfId="0" applyFill="1" applyBorder="1" applyAlignment="1">
      <alignment horizontal="center"/>
    </xf>
    <xf numFmtId="2" fontId="0" fillId="26" borderId="51" xfId="0" applyNumberFormat="1" applyFill="1" applyBorder="1" applyAlignment="1">
      <alignment horizontal="center"/>
    </xf>
    <xf numFmtId="0" fontId="0" fillId="26" borderId="26" xfId="0" applyFill="1" applyBorder="1"/>
    <xf numFmtId="0" fontId="0" fillId="0" borderId="71" xfId="0" applyBorder="1" applyAlignment="1">
      <alignment horizontal="center"/>
    </xf>
    <xf numFmtId="0" fontId="85" fillId="2" borderId="0" xfId="0" applyFont="1" applyFill="1"/>
    <xf numFmtId="180" fontId="86" fillId="0" borderId="72" xfId="3" applyNumberFormat="1" applyFont="1" applyFill="1" applyBorder="1"/>
    <xf numFmtId="0" fontId="83" fillId="3" borderId="71" xfId="0" applyFont="1" applyFill="1" applyBorder="1"/>
    <xf numFmtId="178" fontId="0" fillId="2" borderId="72" xfId="0" applyNumberFormat="1" applyFill="1" applyBorder="1"/>
    <xf numFmtId="0" fontId="86" fillId="23" borderId="18" xfId="0" applyFont="1" applyFill="1" applyBorder="1"/>
    <xf numFmtId="0" fontId="86" fillId="23" borderId="0" xfId="0" applyFont="1" applyFill="1"/>
    <xf numFmtId="171" fontId="86" fillId="23" borderId="0" xfId="0" applyNumberFormat="1" applyFont="1" applyFill="1"/>
    <xf numFmtId="0" fontId="86" fillId="23" borderId="67" xfId="0" applyFont="1" applyFill="1" applyBorder="1"/>
    <xf numFmtId="172" fontId="86" fillId="23" borderId="0" xfId="0" applyNumberFormat="1" applyFont="1" applyFill="1"/>
    <xf numFmtId="1" fontId="82" fillId="23" borderId="20" xfId="0" applyNumberFormat="1" applyFont="1" applyFill="1" applyBorder="1" applyAlignment="1">
      <alignment horizontal="center" vertical="center"/>
    </xf>
    <xf numFmtId="0" fontId="38" fillId="23" borderId="20" xfId="0" applyFont="1" applyFill="1" applyBorder="1" applyAlignment="1">
      <alignment horizontal="left" vertical="center"/>
    </xf>
    <xf numFmtId="14" fontId="82" fillId="23" borderId="74" xfId="0" applyNumberFormat="1" applyFont="1" applyFill="1" applyBorder="1" applyAlignment="1">
      <alignment horizontal="center" vertical="center"/>
    </xf>
    <xf numFmtId="20" fontId="82" fillId="23" borderId="74" xfId="0" applyNumberFormat="1" applyFont="1" applyFill="1" applyBorder="1" applyAlignment="1">
      <alignment horizontal="center" vertical="center"/>
    </xf>
    <xf numFmtId="1" fontId="82" fillId="23" borderId="74" xfId="0" applyNumberFormat="1" applyFont="1" applyFill="1" applyBorder="1" applyAlignment="1">
      <alignment horizontal="center" vertical="center"/>
    </xf>
    <xf numFmtId="0" fontId="41" fillId="23" borderId="74" xfId="0" applyFont="1" applyFill="1" applyBorder="1" applyAlignment="1">
      <alignment horizontal="left" vertical="center" wrapText="1"/>
    </xf>
    <xf numFmtId="0" fontId="67" fillId="23" borderId="76" xfId="0" applyFont="1" applyFill="1" applyBorder="1" applyAlignment="1">
      <alignment horizontal="center" vertical="center"/>
    </xf>
    <xf numFmtId="20" fontId="82" fillId="23" borderId="76" xfId="0" applyNumberFormat="1" applyFont="1" applyFill="1" applyBorder="1" applyAlignment="1">
      <alignment horizontal="center" vertical="center"/>
    </xf>
    <xf numFmtId="1" fontId="82" fillId="23" borderId="76" xfId="0" applyNumberFormat="1" applyFont="1" applyFill="1" applyBorder="1" applyAlignment="1">
      <alignment horizontal="center" vertical="center"/>
    </xf>
    <xf numFmtId="0" fontId="67" fillId="23" borderId="76" xfId="0" applyFont="1" applyFill="1" applyBorder="1" applyAlignment="1">
      <alignment horizontal="left" vertical="center"/>
    </xf>
    <xf numFmtId="20" fontId="82" fillId="22" borderId="28" xfId="0" applyNumberFormat="1" applyFont="1" applyFill="1" applyBorder="1" applyAlignment="1">
      <alignment horizontal="center" vertical="center"/>
    </xf>
    <xf numFmtId="1" fontId="82" fillId="22" borderId="28" xfId="0" applyNumberFormat="1" applyFont="1" applyFill="1" applyBorder="1" applyAlignment="1">
      <alignment horizontal="center" vertical="center"/>
    </xf>
    <xf numFmtId="0" fontId="34" fillId="22" borderId="28" xfId="0" applyFont="1" applyFill="1" applyBorder="1" applyAlignment="1">
      <alignment horizontal="center" vertical="center"/>
    </xf>
    <xf numFmtId="14" fontId="54" fillId="22" borderId="12" xfId="0" applyNumberFormat="1" applyFont="1" applyFill="1" applyBorder="1" applyAlignment="1">
      <alignment horizontal="center" vertical="center"/>
    </xf>
    <xf numFmtId="14" fontId="53" fillId="22" borderId="12" xfId="0" applyNumberFormat="1" applyFont="1" applyFill="1" applyBorder="1" applyAlignment="1">
      <alignment horizontal="center" vertical="center"/>
    </xf>
    <xf numFmtId="14" fontId="53" fillId="23" borderId="12" xfId="0" applyNumberFormat="1" applyFont="1" applyFill="1" applyBorder="1" applyAlignment="1">
      <alignment horizontal="center" vertical="center"/>
    </xf>
    <xf numFmtId="14" fontId="52" fillId="23" borderId="12" xfId="0" applyNumberFormat="1" applyFont="1" applyFill="1" applyBorder="1" applyAlignment="1">
      <alignment horizontal="center" vertical="center"/>
    </xf>
    <xf numFmtId="0" fontId="83" fillId="2" borderId="12" xfId="0" applyFont="1" applyFill="1" applyBorder="1" applyAlignment="1">
      <alignment horizontal="center" vertical="center"/>
    </xf>
    <xf numFmtId="14" fontId="46" fillId="22" borderId="12" xfId="0" applyNumberFormat="1" applyFont="1" applyFill="1" applyBorder="1" applyAlignment="1">
      <alignment horizontal="center" vertical="center"/>
    </xf>
    <xf numFmtId="14" fontId="44" fillId="23" borderId="12" xfId="0" applyNumberFormat="1" applyFont="1" applyFill="1" applyBorder="1" applyAlignment="1">
      <alignment horizontal="center" vertical="center"/>
    </xf>
    <xf numFmtId="14" fontId="43" fillId="23" borderId="12" xfId="0" applyNumberFormat="1" applyFont="1" applyFill="1" applyBorder="1" applyAlignment="1">
      <alignment horizontal="center" vertical="center"/>
    </xf>
    <xf numFmtId="14" fontId="45" fillId="23" borderId="12" xfId="0" applyNumberFormat="1" applyFont="1" applyFill="1" applyBorder="1" applyAlignment="1">
      <alignment horizontal="center" vertical="center" wrapText="1"/>
    </xf>
    <xf numFmtId="14" fontId="43" fillId="2" borderId="12" xfId="0" applyNumberFormat="1" applyFont="1" applyFill="1" applyBorder="1" applyAlignment="1">
      <alignment horizontal="center" vertical="center"/>
    </xf>
    <xf numFmtId="14" fontId="40" fillId="2" borderId="12" xfId="0" applyNumberFormat="1" applyFont="1" applyFill="1" applyBorder="1" applyAlignment="1">
      <alignment horizontal="center" vertical="center"/>
    </xf>
    <xf numFmtId="14" fontId="40" fillId="23" borderId="12" xfId="0" applyNumberFormat="1" applyFont="1" applyFill="1" applyBorder="1" applyAlignment="1">
      <alignment horizontal="left" vertical="center" wrapText="1"/>
    </xf>
    <xf numFmtId="14" fontId="36" fillId="23" borderId="12" xfId="0" applyNumberFormat="1" applyFont="1" applyFill="1" applyBorder="1" applyAlignment="1">
      <alignment horizontal="center" vertical="center"/>
    </xf>
    <xf numFmtId="14" fontId="36" fillId="2" borderId="12" xfId="0" applyNumberFormat="1" applyFont="1" applyFill="1" applyBorder="1" applyAlignment="1">
      <alignment horizontal="center" vertical="center"/>
    </xf>
    <xf numFmtId="14" fontId="36" fillId="22" borderId="12" xfId="0" applyNumberFormat="1" applyFont="1" applyFill="1" applyBorder="1" applyAlignment="1">
      <alignment horizontal="center" vertical="center"/>
    </xf>
    <xf numFmtId="14" fontId="34" fillId="22" borderId="12" xfId="0" applyNumberFormat="1" applyFont="1" applyFill="1" applyBorder="1" applyAlignment="1">
      <alignment horizontal="center" vertical="center"/>
    </xf>
    <xf numFmtId="0" fontId="33" fillId="23" borderId="20" xfId="0" applyFont="1" applyFill="1" applyBorder="1" applyAlignment="1">
      <alignment horizontal="center" vertical="center"/>
    </xf>
    <xf numFmtId="0" fontId="33" fillId="23" borderId="74" xfId="0" applyFont="1" applyFill="1" applyBorder="1" applyAlignment="1">
      <alignment horizontal="center" vertical="center"/>
    </xf>
    <xf numFmtId="0" fontId="33" fillId="22" borderId="28" xfId="0" applyFont="1" applyFill="1" applyBorder="1" applyAlignment="1">
      <alignment horizontal="left" vertical="center"/>
    </xf>
    <xf numFmtId="1" fontId="0" fillId="22" borderId="32" xfId="0" applyNumberFormat="1" applyFill="1" applyBorder="1" applyAlignment="1">
      <alignment horizontal="center"/>
    </xf>
    <xf numFmtId="1" fontId="0" fillId="22" borderId="20" xfId="0" applyNumberFormat="1" applyFill="1" applyBorder="1"/>
    <xf numFmtId="0" fontId="0" fillId="22" borderId="33" xfId="0" applyFill="1" applyBorder="1" applyAlignment="1">
      <alignment horizontal="center"/>
    </xf>
    <xf numFmtId="176" fontId="0" fillId="22" borderId="11" xfId="0" applyNumberFormat="1" applyFill="1" applyBorder="1" applyAlignment="1">
      <alignment horizontal="center" vertical="center"/>
    </xf>
    <xf numFmtId="0" fontId="0" fillId="22" borderId="0" xfId="0" applyFill="1"/>
    <xf numFmtId="0" fontId="0" fillId="22" borderId="8" xfId="0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1" fontId="0" fillId="22" borderId="0" xfId="0" applyNumberFormat="1" applyFill="1"/>
    <xf numFmtId="14" fontId="71" fillId="22" borderId="12" xfId="0" applyNumberFormat="1" applyFont="1" applyFill="1" applyBorder="1" applyAlignment="1">
      <alignment horizontal="center" vertical="center"/>
    </xf>
    <xf numFmtId="14" fontId="83" fillId="22" borderId="12" xfId="0" applyNumberFormat="1" applyFont="1" applyFill="1" applyBorder="1" applyAlignment="1">
      <alignment horizontal="center" vertical="center"/>
    </xf>
    <xf numFmtId="9" fontId="83" fillId="22" borderId="12" xfId="0" applyNumberFormat="1" applyFont="1" applyFill="1" applyBorder="1" applyAlignment="1">
      <alignment horizontal="center"/>
    </xf>
    <xf numFmtId="1" fontId="83" fillId="22" borderId="27" xfId="0" applyNumberFormat="1" applyFont="1" applyFill="1" applyBorder="1" applyAlignment="1">
      <alignment horizontal="center" vertical="center"/>
    </xf>
    <xf numFmtId="1" fontId="83" fillId="22" borderId="12" xfId="0" applyNumberFormat="1" applyFont="1" applyFill="1" applyBorder="1" applyAlignment="1">
      <alignment horizontal="center"/>
    </xf>
    <xf numFmtId="176" fontId="83" fillId="22" borderId="23" xfId="0" applyNumberFormat="1" applyFont="1" applyFill="1" applyBorder="1" applyAlignment="1">
      <alignment horizontal="center" vertical="center"/>
    </xf>
    <xf numFmtId="176" fontId="83" fillId="22" borderId="11" xfId="0" applyNumberFormat="1" applyFont="1" applyFill="1" applyBorder="1" applyAlignment="1">
      <alignment horizontal="center" vertical="center"/>
    </xf>
    <xf numFmtId="176" fontId="83" fillId="22" borderId="25" xfId="0" applyNumberFormat="1" applyFont="1" applyFill="1" applyBorder="1" applyAlignment="1">
      <alignment horizontal="center" vertical="center"/>
    </xf>
    <xf numFmtId="176" fontId="83" fillId="22" borderId="54" xfId="0" applyNumberFormat="1" applyFont="1" applyFill="1" applyBorder="1" applyAlignment="1">
      <alignment horizontal="center" vertical="center"/>
    </xf>
    <xf numFmtId="14" fontId="69" fillId="22" borderId="12" xfId="0" applyNumberFormat="1" applyFont="1" applyFill="1" applyBorder="1" applyAlignment="1">
      <alignment horizontal="center" vertical="center"/>
    </xf>
    <xf numFmtId="177" fontId="0" fillId="22" borderId="0" xfId="0" applyNumberFormat="1" applyFill="1"/>
    <xf numFmtId="14" fontId="33" fillId="23" borderId="10" xfId="0" applyNumberFormat="1" applyFont="1" applyFill="1" applyBorder="1" applyAlignment="1">
      <alignment horizontal="left" vertical="center" wrapText="1"/>
    </xf>
    <xf numFmtId="14" fontId="33" fillId="22" borderId="28" xfId="0" applyNumberFormat="1" applyFont="1" applyFill="1" applyBorder="1" applyAlignment="1">
      <alignment horizontal="center" vertical="center"/>
    </xf>
    <xf numFmtId="0" fontId="83" fillId="23" borderId="12" xfId="0" applyFont="1" applyFill="1" applyBorder="1" applyAlignment="1">
      <alignment horizontal="center" vertical="center"/>
    </xf>
    <xf numFmtId="0" fontId="83" fillId="2" borderId="7" xfId="0" applyFont="1" applyFill="1" applyBorder="1" applyAlignment="1">
      <alignment horizontal="center"/>
    </xf>
    <xf numFmtId="0" fontId="76" fillId="22" borderId="12" xfId="0" applyFont="1" applyFill="1" applyBorder="1" applyAlignment="1">
      <alignment horizontal="center" vertical="center"/>
    </xf>
    <xf numFmtId="20" fontId="76" fillId="22" borderId="12" xfId="0" applyNumberFormat="1" applyFont="1" applyFill="1" applyBorder="1" applyAlignment="1">
      <alignment horizontal="center" vertical="center"/>
    </xf>
    <xf numFmtId="0" fontId="32" fillId="22" borderId="12" xfId="0" applyFont="1" applyFill="1" applyBorder="1" applyAlignment="1">
      <alignment horizontal="left" vertical="center"/>
    </xf>
    <xf numFmtId="14" fontId="37" fillId="23" borderId="12" xfId="0" applyNumberFormat="1" applyFont="1" applyFill="1" applyBorder="1" applyAlignment="1">
      <alignment horizontal="center" vertical="center"/>
    </xf>
    <xf numFmtId="14" fontId="53" fillId="23" borderId="20" xfId="0" applyNumberFormat="1" applyFont="1" applyFill="1" applyBorder="1" applyAlignment="1">
      <alignment horizontal="center" vertical="center"/>
    </xf>
    <xf numFmtId="14" fontId="52" fillId="23" borderId="20" xfId="0" applyNumberFormat="1" applyFont="1" applyFill="1" applyBorder="1" applyAlignment="1">
      <alignment horizontal="center" vertical="center"/>
    </xf>
    <xf numFmtId="176" fontId="0" fillId="23" borderId="20" xfId="0" applyNumberFormat="1" applyFill="1" applyBorder="1" applyAlignment="1">
      <alignment vertical="center"/>
    </xf>
    <xf numFmtId="14" fontId="51" fillId="2" borderId="28" xfId="0" applyNumberFormat="1" applyFont="1" applyFill="1" applyBorder="1" applyAlignment="1">
      <alignment horizontal="center" vertical="center"/>
    </xf>
    <xf numFmtId="0" fontId="83" fillId="2" borderId="28" xfId="0" applyFon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3" borderId="74" xfId="0" applyNumberFormat="1" applyFill="1" applyBorder="1" applyAlignment="1">
      <alignment horizontal="center" vertical="center"/>
    </xf>
    <xf numFmtId="176" fontId="0" fillId="23" borderId="74" xfId="0" applyNumberFormat="1" applyFill="1" applyBorder="1" applyAlignment="1">
      <alignment horizontal="center" vertical="center"/>
    </xf>
    <xf numFmtId="174" fontId="0" fillId="23" borderId="74" xfId="0" applyNumberFormat="1" applyFill="1" applyBorder="1" applyAlignment="1">
      <alignment horizontal="center" vertical="center"/>
    </xf>
    <xf numFmtId="14" fontId="75" fillId="23" borderId="76" xfId="0" applyNumberFormat="1" applyFont="1" applyFill="1" applyBorder="1" applyAlignment="1">
      <alignment horizontal="center" vertical="center"/>
    </xf>
    <xf numFmtId="0" fontId="83" fillId="23" borderId="76" xfId="0" applyFont="1" applyFill="1" applyBorder="1" applyAlignment="1">
      <alignment horizontal="center"/>
    </xf>
    <xf numFmtId="1" fontId="0" fillId="23" borderId="76" xfId="0" applyNumberFormat="1" applyFill="1" applyBorder="1" applyAlignment="1">
      <alignment horizontal="center" vertical="center"/>
    </xf>
    <xf numFmtId="176" fontId="0" fillId="23" borderId="76" xfId="0" applyNumberFormat="1" applyFill="1" applyBorder="1" applyAlignment="1">
      <alignment horizontal="center" vertical="center"/>
    </xf>
    <xf numFmtId="174" fontId="0" fillId="23" borderId="76" xfId="0" applyNumberFormat="1" applyFill="1" applyBorder="1" applyAlignment="1">
      <alignment horizontal="center" vertical="center"/>
    </xf>
    <xf numFmtId="0" fontId="83" fillId="3" borderId="30" xfId="0" applyFont="1" applyFill="1" applyBorder="1" applyAlignment="1">
      <alignment horizontal="center" vertical="center"/>
    </xf>
    <xf numFmtId="0" fontId="83" fillId="3" borderId="31" xfId="0" applyFont="1" applyFill="1" applyBorder="1" applyAlignment="1">
      <alignment horizontal="center" vertical="center"/>
    </xf>
    <xf numFmtId="0" fontId="83" fillId="3" borderId="20" xfId="0" applyFont="1" applyFill="1" applyBorder="1" applyAlignment="1">
      <alignment horizontal="center" vertical="center"/>
    </xf>
    <xf numFmtId="0" fontId="83" fillId="3" borderId="20" xfId="0" applyFont="1" applyFill="1" applyBorder="1" applyAlignment="1">
      <alignment horizontal="center" vertical="center" wrapText="1"/>
    </xf>
    <xf numFmtId="1" fontId="83" fillId="23" borderId="74" xfId="0" applyNumberFormat="1" applyFont="1" applyFill="1" applyBorder="1" applyAlignment="1">
      <alignment horizontal="center"/>
    </xf>
    <xf numFmtId="1" fontId="83" fillId="2" borderId="12" xfId="0" applyNumberFormat="1" applyFont="1" applyFill="1" applyBorder="1" applyAlignment="1">
      <alignment horizontal="center" vertical="center"/>
    </xf>
    <xf numFmtId="1" fontId="0" fillId="22" borderId="7" xfId="0" applyNumberFormat="1" applyFill="1" applyBorder="1" applyAlignment="1">
      <alignment horizontal="center" vertical="center"/>
    </xf>
    <xf numFmtId="1" fontId="0" fillId="23" borderId="7" xfId="0" applyNumberForma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0" fontId="30" fillId="22" borderId="12" xfId="0" applyFont="1" applyFill="1" applyBorder="1" applyAlignment="1">
      <alignment horizontal="center" vertical="center"/>
    </xf>
    <xf numFmtId="0" fontId="30" fillId="22" borderId="12" xfId="0" applyFont="1" applyFill="1" applyBorder="1" applyAlignment="1">
      <alignment horizontal="left" vertical="center" wrapText="1"/>
    </xf>
    <xf numFmtId="14" fontId="31" fillId="22" borderId="12" xfId="0" applyNumberFormat="1" applyFont="1" applyFill="1" applyBorder="1" applyAlignment="1">
      <alignment horizontal="center" vertical="center"/>
    </xf>
    <xf numFmtId="20" fontId="0" fillId="23" borderId="12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9" fontId="0" fillId="23" borderId="12" xfId="0" applyNumberFormat="1" applyFill="1" applyBorder="1" applyAlignment="1">
      <alignment horizontal="center"/>
    </xf>
    <xf numFmtId="9" fontId="0" fillId="23" borderId="12" xfId="2" applyFont="1" applyFill="1" applyBorder="1" applyAlignment="1">
      <alignment horizontal="center"/>
    </xf>
    <xf numFmtId="165" fontId="0" fillId="23" borderId="12" xfId="1" applyNumberFormat="1" applyFont="1" applyFill="1" applyBorder="1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7" xfId="0" applyNumberFormat="1" applyFill="1" applyBorder="1" applyAlignment="1">
      <alignment horizontal="center"/>
    </xf>
    <xf numFmtId="1" fontId="0" fillId="23" borderId="0" xfId="0" applyNumberFormat="1" applyFill="1"/>
    <xf numFmtId="0" fontId="83" fillId="23" borderId="7" xfId="0" applyFont="1" applyFill="1" applyBorder="1" applyAlignment="1">
      <alignment horizontal="center"/>
    </xf>
    <xf numFmtId="14" fontId="83" fillId="23" borderId="12" xfId="0" applyNumberFormat="1" applyFont="1" applyFill="1" applyBorder="1" applyAlignment="1">
      <alignment horizontal="center" vertical="center"/>
    </xf>
    <xf numFmtId="176" fontId="83" fillId="23" borderId="25" xfId="0" applyNumberFormat="1" applyFont="1" applyFill="1" applyBorder="1" applyAlignment="1">
      <alignment horizontal="center" vertical="center"/>
    </xf>
    <xf numFmtId="0" fontId="29" fillId="22" borderId="12" xfId="0" applyFont="1" applyFill="1" applyBorder="1" applyAlignment="1">
      <alignment horizontal="center" vertical="center"/>
    </xf>
    <xf numFmtId="166" fontId="82" fillId="23" borderId="12" xfId="0" applyNumberFormat="1" applyFont="1" applyFill="1" applyBorder="1" applyAlignment="1">
      <alignment horizontal="center" vertical="center"/>
    </xf>
    <xf numFmtId="0" fontId="29" fillId="23" borderId="12" xfId="0" applyFont="1" applyFill="1" applyBorder="1" applyAlignment="1">
      <alignment horizontal="center" vertical="center"/>
    </xf>
    <xf numFmtId="0" fontId="29" fillId="23" borderId="12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vertical="center"/>
    </xf>
    <xf numFmtId="0" fontId="27" fillId="22" borderId="12" xfId="0" applyFont="1" applyFill="1" applyBorder="1" applyAlignment="1">
      <alignment horizontal="left" vertical="center" wrapText="1"/>
    </xf>
    <xf numFmtId="0" fontId="27" fillId="23" borderId="12" xfId="0" applyFont="1" applyFill="1" applyBorder="1" applyAlignment="1">
      <alignment horizontal="center" vertical="center"/>
    </xf>
    <xf numFmtId="0" fontId="27" fillId="23" borderId="12" xfId="0" applyFont="1" applyFill="1" applyBorder="1" applyAlignment="1">
      <alignment horizontal="left" vertical="center"/>
    </xf>
    <xf numFmtId="14" fontId="83" fillId="22" borderId="12" xfId="0" applyNumberFormat="1" applyFont="1" applyFill="1" applyBorder="1" applyAlignment="1">
      <alignment horizontal="center" vertical="center" wrapText="1"/>
    </xf>
    <xf numFmtId="14" fontId="40" fillId="23" borderId="12" xfId="0" applyNumberFormat="1" applyFont="1" applyFill="1" applyBorder="1" applyAlignment="1">
      <alignment horizontal="center" vertical="center" wrapText="1"/>
    </xf>
    <xf numFmtId="14" fontId="39" fillId="22" borderId="12" xfId="0" applyNumberFormat="1" applyFont="1" applyFill="1" applyBorder="1" applyAlignment="1">
      <alignment horizontal="center" vertical="center" wrapText="1"/>
    </xf>
    <xf numFmtId="0" fontId="26" fillId="23" borderId="12" xfId="0" applyFont="1" applyFill="1" applyBorder="1" applyAlignment="1">
      <alignment horizontal="center" vertical="center"/>
    </xf>
    <xf numFmtId="0" fontId="26" fillId="23" borderId="12" xfId="0" applyFont="1" applyFill="1" applyBorder="1" applyAlignment="1">
      <alignment horizontal="left" vertical="center" wrapText="1"/>
    </xf>
    <xf numFmtId="0" fontId="106" fillId="2" borderId="1" xfId="0" applyFont="1" applyFill="1" applyBorder="1"/>
    <xf numFmtId="0" fontId="106" fillId="2" borderId="2" xfId="0" applyFont="1" applyFill="1" applyBorder="1"/>
    <xf numFmtId="0" fontId="106" fillId="2" borderId="3" xfId="0" applyFont="1" applyFill="1" applyBorder="1"/>
    <xf numFmtId="0" fontId="106" fillId="2" borderId="0" xfId="0" applyFont="1" applyFill="1"/>
    <xf numFmtId="0" fontId="107" fillId="2" borderId="18" xfId="0" applyFont="1" applyFill="1" applyBorder="1" applyAlignment="1">
      <alignment horizontal="center"/>
    </xf>
    <xf numFmtId="0" fontId="108" fillId="2" borderId="18" xfId="0" applyFont="1" applyFill="1" applyBorder="1"/>
    <xf numFmtId="0" fontId="107" fillId="2" borderId="1" xfId="0" applyFont="1" applyFill="1" applyBorder="1"/>
    <xf numFmtId="0" fontId="107" fillId="2" borderId="2" xfId="0" applyFont="1" applyFill="1" applyBorder="1"/>
    <xf numFmtId="0" fontId="107" fillId="2" borderId="3" xfId="0" applyFont="1" applyFill="1" applyBorder="1"/>
    <xf numFmtId="0" fontId="107" fillId="2" borderId="0" xfId="0" applyFont="1" applyFill="1"/>
    <xf numFmtId="0" fontId="106" fillId="2" borderId="18" xfId="0" applyFont="1" applyFill="1" applyBorder="1"/>
    <xf numFmtId="0" fontId="106" fillId="2" borderId="67" xfId="0" applyFont="1" applyFill="1" applyBorder="1"/>
    <xf numFmtId="0" fontId="107" fillId="4" borderId="12" xfId="0" applyFont="1" applyFill="1" applyBorder="1" applyAlignment="1">
      <alignment horizontal="center"/>
    </xf>
    <xf numFmtId="0" fontId="106" fillId="2" borderId="18" xfId="0" applyFont="1" applyFill="1" applyBorder="1" applyAlignment="1">
      <alignment horizontal="center"/>
    </xf>
    <xf numFmtId="0" fontId="108" fillId="2" borderId="12" xfId="0" applyFont="1" applyFill="1" applyBorder="1" applyAlignment="1">
      <alignment horizontal="center"/>
    </xf>
    <xf numFmtId="0" fontId="106" fillId="2" borderId="12" xfId="0" applyFont="1" applyFill="1" applyBorder="1" applyAlignment="1">
      <alignment horizontal="center"/>
    </xf>
    <xf numFmtId="0" fontId="106" fillId="2" borderId="12" xfId="0" applyFont="1" applyFill="1" applyBorder="1"/>
    <xf numFmtId="0" fontId="106" fillId="2" borderId="13" xfId="0" applyFont="1" applyFill="1" applyBorder="1"/>
    <xf numFmtId="0" fontId="106" fillId="2" borderId="51" xfId="0" applyFont="1" applyFill="1" applyBorder="1"/>
    <xf numFmtId="0" fontId="106" fillId="2" borderId="26" xfId="0" applyFont="1" applyFill="1" applyBorder="1"/>
    <xf numFmtId="14" fontId="108" fillId="2" borderId="12" xfId="0" applyNumberFormat="1" applyFont="1" applyFill="1" applyBorder="1" applyAlignment="1">
      <alignment horizontal="center"/>
    </xf>
    <xf numFmtId="14" fontId="106" fillId="2" borderId="12" xfId="0" applyNumberFormat="1" applyFont="1" applyFill="1" applyBorder="1" applyAlignment="1">
      <alignment horizontal="center"/>
    </xf>
    <xf numFmtId="0" fontId="83" fillId="22" borderId="12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25" fillId="2" borderId="7" xfId="0" applyFont="1" applyFill="1" applyBorder="1" applyAlignment="1">
      <alignment vertical="center"/>
    </xf>
    <xf numFmtId="0" fontId="0" fillId="23" borderId="20" xfId="0" applyFill="1" applyBorder="1" applyAlignment="1">
      <alignment horizontal="center" vertical="center"/>
    </xf>
    <xf numFmtId="0" fontId="0" fillId="23" borderId="74" xfId="0" applyFill="1" applyBorder="1" applyAlignment="1">
      <alignment horizontal="center" vertical="center"/>
    </xf>
    <xf numFmtId="0" fontId="0" fillId="23" borderId="76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98" fillId="18" borderId="29" xfId="0" applyFont="1" applyFill="1" applyBorder="1" applyAlignment="1">
      <alignment vertical="center"/>
    </xf>
    <xf numFmtId="0" fontId="98" fillId="18" borderId="29" xfId="0" applyFont="1" applyFill="1" applyBorder="1" applyAlignment="1">
      <alignment horizontal="center" vertical="center"/>
    </xf>
    <xf numFmtId="180" fontId="0" fillId="22" borderId="12" xfId="0" applyNumberFormat="1" applyFill="1" applyBorder="1" applyAlignment="1">
      <alignment horizontal="center" vertical="center"/>
    </xf>
    <xf numFmtId="9" fontId="0" fillId="22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 vertical="center"/>
    </xf>
    <xf numFmtId="9" fontId="0" fillId="23" borderId="76" xfId="0" applyNumberForma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 vertical="center"/>
    </xf>
    <xf numFmtId="9" fontId="0" fillId="2" borderId="12" xfId="0" applyNumberFormat="1" applyFill="1" applyBorder="1" applyAlignment="1">
      <alignment horizontal="center" vertical="center"/>
    </xf>
    <xf numFmtId="9" fontId="98" fillId="18" borderId="29" xfId="2" applyFont="1" applyFill="1" applyBorder="1" applyAlignment="1">
      <alignment horizontal="center" vertical="center"/>
    </xf>
    <xf numFmtId="1" fontId="0" fillId="23" borderId="17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98" fillId="18" borderId="29" xfId="2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3" borderId="79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9" fontId="0" fillId="23" borderId="20" xfId="2" applyFont="1" applyFill="1" applyBorder="1" applyAlignment="1">
      <alignment horizontal="center" vertical="center"/>
    </xf>
    <xf numFmtId="9" fontId="0" fillId="23" borderId="74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83" fillId="22" borderId="12" xfId="0" applyNumberFormat="1" applyFont="1" applyFill="1" applyBorder="1" applyAlignment="1">
      <alignment horizontal="center" vertical="center"/>
    </xf>
    <xf numFmtId="9" fontId="83" fillId="23" borderId="12" xfId="0" applyNumberFormat="1" applyFont="1" applyFill="1" applyBorder="1" applyAlignment="1">
      <alignment horizontal="center" vertical="center"/>
    </xf>
    <xf numFmtId="14" fontId="0" fillId="23" borderId="12" xfId="0" applyNumberFormat="1" applyFill="1" applyBorder="1"/>
    <xf numFmtId="14" fontId="0" fillId="22" borderId="12" xfId="0" applyNumberFormat="1" applyFill="1" applyBorder="1"/>
    <xf numFmtId="0" fontId="83" fillId="3" borderId="12" xfId="0" applyFont="1" applyFill="1" applyBorder="1" applyAlignment="1">
      <alignment horizontal="center" vertical="center"/>
    </xf>
    <xf numFmtId="0" fontId="79" fillId="22" borderId="28" xfId="0" applyFont="1" applyFill="1" applyBorder="1" applyAlignment="1">
      <alignment horizontal="center" vertical="center"/>
    </xf>
    <xf numFmtId="20" fontId="79" fillId="22" borderId="28" xfId="0" applyNumberFormat="1" applyFont="1" applyFill="1" applyBorder="1" applyAlignment="1">
      <alignment horizontal="center" vertical="center"/>
    </xf>
    <xf numFmtId="0" fontId="53" fillId="22" borderId="28" xfId="0" applyFont="1" applyFill="1" applyBorder="1" applyAlignment="1">
      <alignment horizontal="left" vertical="top" wrapText="1"/>
    </xf>
    <xf numFmtId="1" fontId="0" fillId="22" borderId="32" xfId="0" applyNumberFormat="1" applyFill="1" applyBorder="1" applyAlignment="1">
      <alignment horizontal="center" vertical="center"/>
    </xf>
    <xf numFmtId="9" fontId="0" fillId="22" borderId="28" xfId="2" applyFont="1" applyFill="1" applyBorder="1" applyAlignment="1">
      <alignment horizontal="center" vertical="center"/>
    </xf>
    <xf numFmtId="0" fontId="83" fillId="3" borderId="12" xfId="0" applyFont="1" applyFill="1" applyBorder="1" applyAlignment="1">
      <alignment horizontal="center" vertical="center" wrapText="1"/>
    </xf>
    <xf numFmtId="14" fontId="83" fillId="22" borderId="28" xfId="0" applyNumberFormat="1" applyFont="1" applyFill="1" applyBorder="1" applyAlignment="1">
      <alignment horizontal="center" vertical="center"/>
    </xf>
    <xf numFmtId="14" fontId="83" fillId="2" borderId="12" xfId="0" applyNumberFormat="1" applyFont="1" applyFill="1" applyBorder="1" applyAlignment="1">
      <alignment horizontal="center" vertical="center"/>
    </xf>
    <xf numFmtId="0" fontId="83" fillId="2" borderId="20" xfId="0" applyFont="1" applyFill="1" applyBorder="1" applyAlignment="1">
      <alignment horizontal="center" vertical="center"/>
    </xf>
    <xf numFmtId="0" fontId="83" fillId="2" borderId="28" xfId="0" applyFont="1" applyFill="1" applyBorder="1" applyAlignment="1">
      <alignment horizontal="center" vertical="center"/>
    </xf>
    <xf numFmtId="14" fontId="82" fillId="17" borderId="12" xfId="0" applyNumberFormat="1" applyFont="1" applyFill="1" applyBorder="1" applyAlignment="1">
      <alignment horizontal="center" vertical="center"/>
    </xf>
    <xf numFmtId="0" fontId="83" fillId="23" borderId="20" xfId="0" applyFont="1" applyFill="1" applyBorder="1" applyAlignment="1">
      <alignment horizontal="center" vertical="center"/>
    </xf>
    <xf numFmtId="0" fontId="83" fillId="23" borderId="74" xfId="0" applyFont="1" applyFill="1" applyBorder="1" applyAlignment="1">
      <alignment horizontal="center" vertical="center"/>
    </xf>
    <xf numFmtId="0" fontId="83" fillId="23" borderId="76" xfId="0" applyFont="1" applyFill="1" applyBorder="1" applyAlignment="1">
      <alignment horizontal="center" vertical="center"/>
    </xf>
    <xf numFmtId="0" fontId="83" fillId="22" borderId="10" xfId="0" applyFont="1" applyFill="1" applyBorder="1" applyAlignment="1">
      <alignment horizontal="center" vertical="center"/>
    </xf>
    <xf numFmtId="0" fontId="83" fillId="22" borderId="20" xfId="0" applyFont="1" applyFill="1" applyBorder="1" applyAlignment="1">
      <alignment horizontal="center" vertical="center"/>
    </xf>
    <xf numFmtId="0" fontId="83" fillId="23" borderId="10" xfId="0" applyFont="1" applyFill="1" applyBorder="1" applyAlignment="1">
      <alignment horizontal="center" vertical="center"/>
    </xf>
    <xf numFmtId="0" fontId="83" fillId="2" borderId="10" xfId="0" applyFont="1" applyFill="1" applyBorder="1" applyAlignment="1">
      <alignment horizontal="center" vertical="center"/>
    </xf>
    <xf numFmtId="0" fontId="83" fillId="3" borderId="78" xfId="0" applyFont="1" applyFill="1" applyBorder="1" applyAlignment="1">
      <alignment horizontal="center" vertical="center" wrapText="1"/>
    </xf>
    <xf numFmtId="0" fontId="83" fillId="23" borderId="81" xfId="0" applyFont="1" applyFill="1" applyBorder="1" applyAlignment="1">
      <alignment horizontal="center" vertical="center"/>
    </xf>
    <xf numFmtId="0" fontId="83" fillId="23" borderId="83" xfId="0" applyFont="1" applyFill="1" applyBorder="1" applyAlignment="1">
      <alignment horizontal="center" vertical="center"/>
    </xf>
    <xf numFmtId="0" fontId="83" fillId="23" borderId="12" xfId="0" applyFont="1" applyFill="1" applyBorder="1" applyAlignment="1">
      <alignment horizontal="center" wrapText="1"/>
    </xf>
    <xf numFmtId="0" fontId="24" fillId="23" borderId="12" xfId="0" applyFont="1" applyFill="1" applyBorder="1" applyAlignment="1">
      <alignment horizontal="center" vertical="center"/>
    </xf>
    <xf numFmtId="0" fontId="24" fillId="23" borderId="1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83" fillId="3" borderId="36" xfId="0" applyFont="1" applyFill="1" applyBorder="1" applyAlignment="1">
      <alignment horizontal="right" vertical="center" wrapText="1"/>
    </xf>
    <xf numFmtId="183" fontId="0" fillId="22" borderId="32" xfId="0" applyNumberFormat="1" applyFill="1" applyBorder="1" applyAlignment="1">
      <alignment horizontal="right" vertical="center"/>
    </xf>
    <xf numFmtId="178" fontId="0" fillId="22" borderId="12" xfId="0" applyNumberFormat="1" applyFill="1" applyBorder="1" applyAlignment="1">
      <alignment horizontal="right" vertical="center"/>
    </xf>
    <xf numFmtId="178" fontId="0" fillId="23" borderId="12" xfId="0" applyNumberFormat="1" applyFill="1" applyBorder="1" applyAlignment="1">
      <alignment horizontal="right" vertical="center"/>
    </xf>
    <xf numFmtId="178" fontId="0" fillId="2" borderId="12" xfId="0" applyNumberFormat="1" applyFill="1" applyBorder="1" applyAlignment="1">
      <alignment horizontal="right" vertical="center"/>
    </xf>
    <xf numFmtId="1" fontId="0" fillId="2" borderId="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15" xfId="0" applyNumberFormat="1" applyFill="1" applyBorder="1" applyAlignment="1">
      <alignment vertical="center"/>
    </xf>
    <xf numFmtId="1" fontId="98" fillId="18" borderId="29" xfId="0" applyNumberFormat="1" applyFont="1" applyFill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76" fontId="88" fillId="24" borderId="47" xfId="0" applyNumberFormat="1" applyFont="1" applyFill="1" applyBorder="1" applyAlignment="1">
      <alignment horizontal="center"/>
    </xf>
    <xf numFmtId="2" fontId="0" fillId="2" borderId="12" xfId="0" applyNumberFormat="1" applyFill="1" applyBorder="1"/>
    <xf numFmtId="9" fontId="0" fillId="17" borderId="1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23" fillId="23" borderId="12" xfId="0" applyFont="1" applyFill="1" applyBorder="1" applyAlignment="1">
      <alignment horizontal="left" vertical="center" wrapText="1"/>
    </xf>
    <xf numFmtId="166" fontId="82" fillId="17" borderId="12" xfId="0" applyNumberFormat="1" applyFont="1" applyFill="1" applyBorder="1" applyAlignment="1">
      <alignment horizontal="center" vertical="center"/>
    </xf>
    <xf numFmtId="1" fontId="82" fillId="17" borderId="12" xfId="0" applyNumberFormat="1" applyFon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23" fillId="17" borderId="12" xfId="0" applyFont="1" applyFill="1" applyBorder="1" applyAlignment="1">
      <alignment horizontal="center" vertical="center"/>
    </xf>
    <xf numFmtId="0" fontId="23" fillId="17" borderId="12" xfId="0" applyFont="1" applyFill="1" applyBorder="1" applyAlignment="1">
      <alignment horizontal="left" vertical="center" wrapText="1"/>
    </xf>
    <xf numFmtId="14" fontId="23" fillId="17" borderId="12" xfId="0" applyNumberFormat="1" applyFont="1" applyFill="1" applyBorder="1" applyAlignment="1">
      <alignment horizontal="center" vertical="center"/>
    </xf>
    <xf numFmtId="0" fontId="83" fillId="17" borderId="20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1" fontId="0" fillId="2" borderId="0" xfId="2" applyNumberFormat="1" applyFont="1" applyFill="1" applyAlignment="1">
      <alignment horizontal="center"/>
    </xf>
    <xf numFmtId="0" fontId="99" fillId="2" borderId="72" xfId="0" applyFont="1" applyFill="1" applyBorder="1" applyAlignment="1">
      <alignment wrapText="1"/>
    </xf>
    <xf numFmtId="1" fontId="110" fillId="2" borderId="71" xfId="0" applyNumberFormat="1" applyFont="1" applyFill="1" applyBorder="1" applyAlignment="1">
      <alignment horizontal="center" vertical="center"/>
    </xf>
    <xf numFmtId="1" fontId="111" fillId="2" borderId="71" xfId="0" applyNumberFormat="1" applyFont="1" applyFill="1" applyBorder="1" applyAlignment="1">
      <alignment horizontal="center" vertical="center"/>
    </xf>
    <xf numFmtId="9" fontId="112" fillId="2" borderId="71" xfId="0" applyNumberFormat="1" applyFont="1" applyFill="1" applyBorder="1" applyAlignment="1">
      <alignment horizontal="center" vertical="center"/>
    </xf>
    <xf numFmtId="0" fontId="0" fillId="17" borderId="0" xfId="0" applyFill="1"/>
    <xf numFmtId="14" fontId="0" fillId="17" borderId="12" xfId="0" applyNumberFormat="1" applyFill="1" applyBorder="1"/>
    <xf numFmtId="0" fontId="83" fillId="18" borderId="60" xfId="0" applyFont="1" applyFill="1" applyBorder="1" applyAlignment="1">
      <alignment horizontal="center"/>
    </xf>
    <xf numFmtId="0" fontId="83" fillId="18" borderId="85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4" fontId="22" fillId="17" borderId="12" xfId="0" applyNumberFormat="1" applyFont="1" applyFill="1" applyBorder="1" applyAlignment="1">
      <alignment horizontal="left" vertical="center" wrapText="1"/>
    </xf>
    <xf numFmtId="1" fontId="0" fillId="17" borderId="20" xfId="0" applyNumberFormat="1" applyFill="1" applyBorder="1" applyAlignment="1">
      <alignment horizontal="center" vertical="center"/>
    </xf>
    <xf numFmtId="0" fontId="83" fillId="19" borderId="10" xfId="0" applyFont="1" applyFill="1" applyBorder="1" applyAlignment="1">
      <alignment horizontal="center" vertical="center"/>
    </xf>
    <xf numFmtId="9" fontId="0" fillId="19" borderId="1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1" fontId="0" fillId="19" borderId="17" xfId="0" applyNumberFormat="1" applyFill="1" applyBorder="1" applyAlignment="1">
      <alignment horizontal="center" vertical="center"/>
    </xf>
    <xf numFmtId="1" fontId="0" fillId="19" borderId="12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74" fontId="0" fillId="19" borderId="12" xfId="0" applyNumberFormat="1" applyFill="1" applyBorder="1" applyAlignment="1">
      <alignment horizontal="center" vertical="center"/>
    </xf>
    <xf numFmtId="0" fontId="83" fillId="19" borderId="12" xfId="0" applyFont="1" applyFill="1" applyBorder="1" applyAlignment="1">
      <alignment horizontal="center" vertical="center"/>
    </xf>
    <xf numFmtId="14" fontId="82" fillId="19" borderId="12" xfId="0" applyNumberFormat="1" applyFont="1" applyFill="1" applyBorder="1" applyAlignment="1">
      <alignment horizontal="center" vertical="center"/>
    </xf>
    <xf numFmtId="0" fontId="83" fillId="19" borderId="20" xfId="0" applyFont="1" applyFill="1" applyBorder="1" applyAlignment="1">
      <alignment horizontal="center" vertical="center"/>
    </xf>
    <xf numFmtId="176" fontId="0" fillId="19" borderId="23" xfId="0" applyNumberFormat="1" applyFill="1" applyBorder="1" applyAlignment="1">
      <alignment horizontal="center" vertical="center"/>
    </xf>
    <xf numFmtId="14" fontId="34" fillId="23" borderId="12" xfId="0" applyNumberFormat="1" applyFont="1" applyFill="1" applyBorder="1" applyAlignment="1">
      <alignment horizontal="center" vertical="center" wrapText="1"/>
    </xf>
    <xf numFmtId="18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78" fontId="83" fillId="4" borderId="12" xfId="0" applyNumberFormat="1" applyFont="1" applyFill="1" applyBorder="1" applyAlignment="1">
      <alignment horizontal="center"/>
    </xf>
    <xf numFmtId="14" fontId="22" fillId="19" borderId="12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4" fontId="0" fillId="17" borderId="12" xfId="0" applyNumberFormat="1" applyFill="1" applyBorder="1" applyAlignment="1">
      <alignment horizontal="center" vertical="center"/>
    </xf>
    <xf numFmtId="0" fontId="83" fillId="17" borderId="12" xfId="0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1" fontId="83" fillId="18" borderId="12" xfId="0" applyNumberFormat="1" applyFont="1" applyFill="1" applyBorder="1" applyAlignment="1">
      <alignment horizontal="center"/>
    </xf>
    <xf numFmtId="14" fontId="103" fillId="2" borderId="4" xfId="0" applyNumberFormat="1" applyFont="1" applyFill="1" applyBorder="1" applyAlignment="1">
      <alignment horizontal="center" vertical="center"/>
    </xf>
    <xf numFmtId="14" fontId="21" fillId="19" borderId="12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vertical="center"/>
    </xf>
    <xf numFmtId="176" fontId="0" fillId="2" borderId="25" xfId="0" applyNumberFormat="1" applyFill="1" applyBorder="1" applyAlignment="1">
      <alignment vertical="center"/>
    </xf>
    <xf numFmtId="2" fontId="0" fillId="2" borderId="11" xfId="0" applyNumberFormat="1" applyFill="1" applyBorder="1" applyAlignment="1">
      <alignment vertical="center"/>
    </xf>
    <xf numFmtId="2" fontId="0" fillId="2" borderId="54" xfId="0" applyNumberFormat="1" applyFill="1" applyBorder="1" applyAlignment="1">
      <alignment vertical="center"/>
    </xf>
    <xf numFmtId="174" fontId="0" fillId="2" borderId="11" xfId="0" applyNumberFormat="1" applyFill="1" applyBorder="1" applyAlignment="1">
      <alignment vertical="center"/>
    </xf>
    <xf numFmtId="174" fontId="0" fillId="2" borderId="54" xfId="0" applyNumberFormat="1" applyFill="1" applyBorder="1" applyAlignment="1">
      <alignment vertical="center"/>
    </xf>
    <xf numFmtId="0" fontId="22" fillId="19" borderId="12" xfId="0" applyFont="1" applyFill="1" applyBorder="1" applyAlignment="1">
      <alignment horizontal="center" vertical="center"/>
    </xf>
    <xf numFmtId="166" fontId="82" fillId="19" borderId="12" xfId="0" applyNumberFormat="1" applyFont="1" applyFill="1" applyBorder="1" applyAlignment="1">
      <alignment horizontal="center" vertical="center"/>
    </xf>
    <xf numFmtId="1" fontId="82" fillId="19" borderId="12" xfId="0" applyNumberFormat="1" applyFont="1" applyFill="1" applyBorder="1" applyAlignment="1">
      <alignment horizontal="center" vertical="center"/>
    </xf>
    <xf numFmtId="0" fontId="21" fillId="19" borderId="12" xfId="0" applyFont="1" applyFill="1" applyBorder="1" applyAlignment="1">
      <alignment horizontal="left" vertical="center" wrapText="1"/>
    </xf>
    <xf numFmtId="1" fontId="0" fillId="19" borderId="7" xfId="0" applyNumberForma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21" fillId="19" borderId="12" xfId="0" applyFont="1" applyFill="1" applyBorder="1" applyAlignment="1">
      <alignment horizontal="center" vertical="center"/>
    </xf>
    <xf numFmtId="0" fontId="21" fillId="19" borderId="12" xfId="0" applyFont="1" applyFill="1" applyBorder="1" applyAlignment="1">
      <alignment horizontal="left" vertical="center"/>
    </xf>
    <xf numFmtId="176" fontId="0" fillId="19" borderId="25" xfId="0" applyNumberFormat="1" applyFill="1" applyBorder="1" applyAlignment="1">
      <alignment horizontal="center" vertical="center"/>
    </xf>
    <xf numFmtId="176" fontId="88" fillId="24" borderId="12" xfId="0" applyNumberFormat="1" applyFont="1" applyFill="1" applyBorder="1" applyAlignment="1">
      <alignment horizontal="center"/>
    </xf>
    <xf numFmtId="1" fontId="103" fillId="2" borderId="15" xfId="0" applyNumberFormat="1" applyFont="1" applyFill="1" applyBorder="1" applyAlignment="1">
      <alignment horizontal="center" vertical="center"/>
    </xf>
    <xf numFmtId="1" fontId="103" fillId="2" borderId="25" xfId="0" applyNumberFormat="1" applyFont="1" applyFill="1" applyBorder="1" applyAlignment="1">
      <alignment horizontal="center" vertical="center"/>
    </xf>
    <xf numFmtId="0" fontId="103" fillId="2" borderId="5" xfId="0" applyFont="1" applyFill="1" applyBorder="1" applyAlignment="1">
      <alignment vertical="center"/>
    </xf>
    <xf numFmtId="165" fontId="103" fillId="2" borderId="5" xfId="1" applyNumberFormat="1" applyFont="1" applyFill="1" applyBorder="1" applyAlignment="1">
      <alignment horizontal="center" vertical="center"/>
    </xf>
    <xf numFmtId="166" fontId="103" fillId="2" borderId="5" xfId="0" applyNumberFormat="1" applyFont="1" applyFill="1" applyBorder="1" applyAlignment="1">
      <alignment horizontal="center" vertical="center"/>
    </xf>
    <xf numFmtId="9" fontId="103" fillId="2" borderId="5" xfId="2" applyFont="1" applyFill="1" applyBorder="1" applyAlignment="1">
      <alignment horizontal="center" vertical="center"/>
    </xf>
    <xf numFmtId="167" fontId="103" fillId="2" borderId="6" xfId="1" applyNumberFormat="1" applyFont="1" applyFill="1" applyBorder="1" applyAlignment="1">
      <alignment horizontal="center" vertical="center"/>
    </xf>
    <xf numFmtId="0" fontId="103" fillId="2" borderId="6" xfId="0" applyFont="1" applyFill="1" applyBorder="1" applyAlignment="1">
      <alignment horizontal="center" vertical="center"/>
    </xf>
    <xf numFmtId="1" fontId="103" fillId="2" borderId="6" xfId="0" applyNumberFormat="1" applyFont="1" applyFill="1" applyBorder="1" applyAlignment="1">
      <alignment horizontal="center" vertical="center"/>
    </xf>
    <xf numFmtId="1" fontId="103" fillId="2" borderId="5" xfId="0" applyNumberFormat="1" applyFont="1" applyFill="1" applyBorder="1" applyAlignment="1">
      <alignment horizontal="center" vertical="center"/>
    </xf>
    <xf numFmtId="1" fontId="103" fillId="2" borderId="59" xfId="0" applyNumberFormat="1" applyFont="1" applyFill="1" applyBorder="1" applyAlignment="1">
      <alignment horizontal="center" vertical="center"/>
    </xf>
    <xf numFmtId="167" fontId="103" fillId="2" borderId="32" xfId="1" applyNumberFormat="1" applyFont="1" applyFill="1" applyBorder="1" applyAlignment="1">
      <alignment horizontal="center" vertical="center"/>
    </xf>
    <xf numFmtId="0" fontId="103" fillId="2" borderId="32" xfId="0" applyFont="1" applyFill="1" applyBorder="1" applyAlignment="1">
      <alignment horizontal="center" vertical="center"/>
    </xf>
    <xf numFmtId="14" fontId="103" fillId="2" borderId="12" xfId="0" applyNumberFormat="1" applyFont="1" applyFill="1" applyBorder="1" applyAlignment="1">
      <alignment horizontal="center" vertical="center"/>
    </xf>
    <xf numFmtId="0" fontId="103" fillId="2" borderId="12" xfId="0" applyFont="1" applyFill="1" applyBorder="1" applyAlignment="1">
      <alignment vertical="center"/>
    </xf>
    <xf numFmtId="165" fontId="103" fillId="2" borderId="12" xfId="1" applyNumberFormat="1" applyFont="1" applyFill="1" applyBorder="1" applyAlignment="1">
      <alignment horizontal="center" vertical="center"/>
    </xf>
    <xf numFmtId="166" fontId="103" fillId="2" borderId="12" xfId="0" applyNumberFormat="1" applyFont="1" applyFill="1" applyBorder="1" applyAlignment="1">
      <alignment horizontal="center" vertical="center"/>
    </xf>
    <xf numFmtId="9" fontId="103" fillId="2" borderId="12" xfId="2" applyFont="1" applyFill="1" applyBorder="1" applyAlignment="1">
      <alignment horizontal="center" vertical="center"/>
    </xf>
    <xf numFmtId="167" fontId="103" fillId="2" borderId="12" xfId="1" applyNumberFormat="1" applyFont="1" applyFill="1" applyBorder="1" applyAlignment="1">
      <alignment horizontal="center" vertical="center"/>
    </xf>
    <xf numFmtId="0" fontId="103" fillId="2" borderId="12" xfId="0" applyFont="1" applyFill="1" applyBorder="1" applyAlignment="1">
      <alignment horizontal="center" vertical="center"/>
    </xf>
    <xf numFmtId="1" fontId="103" fillId="2" borderId="12" xfId="0" applyNumberFormat="1" applyFont="1" applyFill="1" applyBorder="1" applyAlignment="1">
      <alignment horizontal="center" vertical="center"/>
    </xf>
    <xf numFmtId="0" fontId="20" fillId="19" borderId="12" xfId="0" applyFont="1" applyFill="1" applyBorder="1" applyAlignment="1">
      <alignment horizontal="left" vertical="center" wrapText="1"/>
    </xf>
    <xf numFmtId="0" fontId="20" fillId="19" borderId="12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/>
    </xf>
    <xf numFmtId="165" fontId="0" fillId="17" borderId="12" xfId="1" applyNumberFormat="1" applyFont="1" applyFill="1" applyBorder="1" applyAlignment="1">
      <alignment horizontal="center"/>
    </xf>
    <xf numFmtId="0" fontId="0" fillId="17" borderId="7" xfId="0" applyFill="1" applyBorder="1"/>
    <xf numFmtId="43" fontId="0" fillId="17" borderId="12" xfId="1" applyFont="1" applyFill="1" applyBorder="1"/>
    <xf numFmtId="1" fontId="0" fillId="2" borderId="25" xfId="0" applyNumberFormat="1" applyFill="1" applyBorder="1" applyAlignment="1">
      <alignment horizontal="center"/>
    </xf>
    <xf numFmtId="0" fontId="19" fillId="17" borderId="12" xfId="0" applyFont="1" applyFill="1" applyBorder="1" applyAlignment="1">
      <alignment horizontal="center" vertical="center"/>
    </xf>
    <xf numFmtId="0" fontId="19" fillId="17" borderId="12" xfId="0" applyFont="1" applyFill="1" applyBorder="1" applyAlignment="1">
      <alignment horizontal="left" vertical="center" wrapText="1"/>
    </xf>
    <xf numFmtId="0" fontId="83" fillId="17" borderId="10" xfId="0" applyFont="1" applyFill="1" applyBorder="1" applyAlignment="1">
      <alignment horizontal="center" vertical="center"/>
    </xf>
    <xf numFmtId="1" fontId="0" fillId="17" borderId="17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vertical="center"/>
    </xf>
    <xf numFmtId="1" fontId="0" fillId="17" borderId="54" xfId="0" applyNumberFormat="1" applyFill="1" applyBorder="1" applyAlignment="1">
      <alignment vertical="center"/>
    </xf>
    <xf numFmtId="14" fontId="19" fillId="19" borderId="12" xfId="0" applyNumberFormat="1" applyFont="1" applyFill="1" applyBorder="1" applyAlignment="1">
      <alignment horizontal="center" vertical="center" wrapText="1"/>
    </xf>
    <xf numFmtId="173" fontId="88" fillId="0" borderId="0" xfId="0" applyNumberFormat="1" applyFont="1" applyAlignment="1">
      <alignment horizontal="center"/>
    </xf>
    <xf numFmtId="173" fontId="88" fillId="0" borderId="49" xfId="0" applyNumberFormat="1" applyFont="1" applyBorder="1" applyAlignment="1">
      <alignment horizontal="center"/>
    </xf>
    <xf numFmtId="174" fontId="88" fillId="0" borderId="47" xfId="0" applyNumberFormat="1" applyFont="1" applyBorder="1" applyAlignment="1">
      <alignment horizontal="center"/>
    </xf>
    <xf numFmtId="176" fontId="88" fillId="0" borderId="47" xfId="0" applyNumberFormat="1" applyFont="1" applyBorder="1" applyAlignment="1">
      <alignment horizontal="center"/>
    </xf>
    <xf numFmtId="1" fontId="88" fillId="21" borderId="28" xfId="0" applyNumberFormat="1" applyFont="1" applyFill="1" applyBorder="1" applyAlignment="1">
      <alignment horizontal="center"/>
    </xf>
    <xf numFmtId="2" fontId="88" fillId="21" borderId="28" xfId="0" applyNumberFormat="1" applyFont="1" applyFill="1" applyBorder="1" applyAlignment="1">
      <alignment horizontal="center"/>
    </xf>
    <xf numFmtId="176" fontId="88" fillId="21" borderId="28" xfId="0" applyNumberFormat="1" applyFont="1" applyFill="1" applyBorder="1" applyAlignment="1">
      <alignment horizontal="center"/>
    </xf>
    <xf numFmtId="9" fontId="88" fillId="21" borderId="28" xfId="0" applyNumberFormat="1" applyFont="1" applyFill="1" applyBorder="1" applyAlignment="1">
      <alignment horizontal="center"/>
    </xf>
    <xf numFmtId="0" fontId="88" fillId="21" borderId="28" xfId="0" applyFont="1" applyFill="1" applyBorder="1" applyAlignment="1">
      <alignment horizontal="center"/>
    </xf>
    <xf numFmtId="176" fontId="88" fillId="0" borderId="12" xfId="0" applyNumberFormat="1" applyFont="1" applyBorder="1" applyAlignment="1">
      <alignment horizontal="center"/>
    </xf>
    <xf numFmtId="9" fontId="88" fillId="22" borderId="48" xfId="2" applyFont="1" applyFill="1" applyBorder="1" applyAlignment="1">
      <alignment horizontal="center" vertical="center"/>
    </xf>
    <xf numFmtId="0" fontId="88" fillId="0" borderId="49" xfId="0" applyFont="1" applyBorder="1"/>
    <xf numFmtId="0" fontId="88" fillId="24" borderId="7" xfId="0" applyFont="1" applyFill="1" applyBorder="1"/>
    <xf numFmtId="0" fontId="88" fillId="0" borderId="7" xfId="0" applyFont="1" applyBorder="1"/>
    <xf numFmtId="0" fontId="88" fillId="0" borderId="30" xfId="0" applyFont="1" applyBorder="1"/>
    <xf numFmtId="0" fontId="88" fillId="24" borderId="8" xfId="0" applyFont="1" applyFill="1" applyBorder="1" applyAlignment="1">
      <alignment horizontal="center"/>
    </xf>
    <xf numFmtId="0" fontId="88" fillId="0" borderId="8" xfId="0" applyFont="1" applyBorder="1" applyAlignment="1">
      <alignment horizontal="center"/>
    </xf>
    <xf numFmtId="0" fontId="88" fillId="0" borderId="31" xfId="0" applyFont="1" applyBorder="1" applyAlignment="1">
      <alignment horizontal="center"/>
    </xf>
    <xf numFmtId="14" fontId="18" fillId="17" borderId="12" xfId="0" applyNumberFormat="1" applyFont="1" applyFill="1" applyBorder="1" applyAlignment="1">
      <alignment horizontal="center" vertical="center"/>
    </xf>
    <xf numFmtId="0" fontId="18" fillId="17" borderId="12" xfId="0" applyFont="1" applyFill="1" applyBorder="1" applyAlignment="1">
      <alignment horizontal="center" vertical="center"/>
    </xf>
    <xf numFmtId="0" fontId="18" fillId="17" borderId="12" xfId="0" applyFont="1" applyFill="1" applyBorder="1" applyAlignment="1">
      <alignment horizontal="left" vertical="center"/>
    </xf>
    <xf numFmtId="0" fontId="0" fillId="2" borderId="0" xfId="0" quotePrefix="1" applyFill="1"/>
    <xf numFmtId="2" fontId="0" fillId="2" borderId="12" xfId="0" applyNumberFormat="1" applyFill="1" applyBorder="1" applyAlignment="1">
      <alignment horizontal="center" vertical="center" wrapText="1"/>
    </xf>
    <xf numFmtId="165" fontId="98" fillId="4" borderId="28" xfId="0" applyNumberFormat="1" applyFont="1" applyFill="1" applyBorder="1" applyAlignment="1">
      <alignment horizontal="center" vertical="center"/>
    </xf>
    <xf numFmtId="0" fontId="103" fillId="2" borderId="22" xfId="0" applyFont="1" applyFill="1" applyBorder="1" applyAlignment="1">
      <alignment horizontal="center" vertical="center"/>
    </xf>
    <xf numFmtId="1" fontId="103" fillId="2" borderId="21" xfId="0" applyNumberFormat="1" applyFont="1" applyFill="1" applyBorder="1" applyAlignment="1">
      <alignment horizontal="center" vertical="center"/>
    </xf>
    <xf numFmtId="1" fontId="103" fillId="2" borderId="61" xfId="0" applyNumberFormat="1" applyFont="1" applyFill="1" applyBorder="1" applyAlignment="1">
      <alignment horizontal="center" vertical="center"/>
    </xf>
    <xf numFmtId="1" fontId="103" fillId="2" borderId="32" xfId="0" applyNumberFormat="1" applyFont="1" applyFill="1" applyBorder="1" applyAlignment="1">
      <alignment horizontal="center" vertical="center"/>
    </xf>
    <xf numFmtId="165" fontId="103" fillId="2" borderId="28" xfId="0" applyNumberFormat="1" applyFont="1" applyFill="1" applyBorder="1" applyAlignment="1">
      <alignment horizontal="center" vertical="center"/>
    </xf>
    <xf numFmtId="165" fontId="103" fillId="2" borderId="66" xfId="0" applyNumberFormat="1" applyFont="1" applyFill="1" applyBorder="1" applyAlignment="1">
      <alignment horizontal="center" vertical="center"/>
    </xf>
    <xf numFmtId="165" fontId="103" fillId="2" borderId="12" xfId="0" applyNumberFormat="1" applyFont="1" applyFill="1" applyBorder="1" applyAlignment="1">
      <alignment horizontal="center" vertical="center"/>
    </xf>
    <xf numFmtId="14" fontId="103" fillId="2" borderId="33" xfId="0" applyNumberFormat="1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center" vertical="center"/>
    </xf>
    <xf numFmtId="14" fontId="57" fillId="18" borderId="12" xfId="0" applyNumberFormat="1" applyFont="1" applyFill="1" applyBorder="1"/>
    <xf numFmtId="0" fontId="16" fillId="17" borderId="12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vertical="center"/>
    </xf>
    <xf numFmtId="14" fontId="15" fillId="17" borderId="12" xfId="0" applyNumberFormat="1" applyFont="1" applyFill="1" applyBorder="1" applyAlignment="1">
      <alignment horizontal="center" vertical="center"/>
    </xf>
    <xf numFmtId="176" fontId="0" fillId="22" borderId="12" xfId="0" applyNumberFormat="1" applyFill="1" applyBorder="1"/>
    <xf numFmtId="0" fontId="15" fillId="17" borderId="12" xfId="0" applyFont="1" applyFill="1" applyBorder="1" applyAlignment="1">
      <alignment horizontal="center" vertical="center"/>
    </xf>
    <xf numFmtId="166" fontId="15" fillId="17" borderId="12" xfId="0" applyNumberFormat="1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left" vertical="center"/>
    </xf>
    <xf numFmtId="176" fontId="0" fillId="17" borderId="25" xfId="0" applyNumberFormat="1" applyFill="1" applyBorder="1" applyAlignment="1">
      <alignment horizontal="center" vertical="center"/>
    </xf>
    <xf numFmtId="14" fontId="14" fillId="17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horizontal="left" vertical="center" wrapText="1"/>
    </xf>
    <xf numFmtId="0" fontId="14" fillId="17" borderId="12" xfId="0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left" vertical="center"/>
    </xf>
    <xf numFmtId="1" fontId="0" fillId="17" borderId="12" xfId="0" applyNumberFormat="1" applyFill="1" applyBorder="1" applyAlignment="1">
      <alignment horizontal="left" vertical="center" wrapText="1"/>
    </xf>
    <xf numFmtId="0" fontId="13" fillId="17" borderId="12" xfId="0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left" vertical="center" wrapText="1"/>
    </xf>
    <xf numFmtId="14" fontId="13" fillId="17" borderId="12" xfId="0" applyNumberFormat="1" applyFont="1" applyFill="1" applyBorder="1" applyAlignment="1">
      <alignment horizontal="center" vertical="center"/>
    </xf>
    <xf numFmtId="174" fontId="106" fillId="2" borderId="12" xfId="0" applyNumberFormat="1" applyFont="1" applyFill="1" applyBorder="1" applyAlignment="1">
      <alignment horizontal="center"/>
    </xf>
    <xf numFmtId="0" fontId="13" fillId="2" borderId="7" xfId="0" applyFont="1" applyFill="1" applyBorder="1" applyAlignment="1">
      <alignment vertical="center"/>
    </xf>
    <xf numFmtId="174" fontId="0" fillId="17" borderId="20" xfId="0" applyNumberFormat="1" applyFill="1" applyBorder="1" applyAlignment="1">
      <alignment horizontal="center" vertical="center"/>
    </xf>
    <xf numFmtId="174" fontId="0" fillId="17" borderId="28" xfId="0" applyNumberFormat="1" applyFill="1" applyBorder="1" applyAlignment="1">
      <alignment horizontal="center" vertical="center"/>
    </xf>
    <xf numFmtId="0" fontId="83" fillId="17" borderId="28" xfId="0" applyFont="1" applyFill="1" applyBorder="1" applyAlignment="1">
      <alignment horizontal="center" vertical="center"/>
    </xf>
    <xf numFmtId="43" fontId="0" fillId="23" borderId="12" xfId="0" applyNumberFormat="1" applyFill="1" applyBorder="1" applyAlignment="1">
      <alignment horizontal="center" vertical="center"/>
    </xf>
    <xf numFmtId="43" fontId="0" fillId="2" borderId="12" xfId="0" applyNumberFormat="1" applyFill="1" applyBorder="1" applyAlignment="1">
      <alignment horizontal="center" vertical="center"/>
    </xf>
    <xf numFmtId="1" fontId="98" fillId="18" borderId="29" xfId="0" applyNumberFormat="1" applyFont="1" applyFill="1" applyBorder="1" applyAlignment="1">
      <alignment horizontal="center"/>
    </xf>
    <xf numFmtId="1" fontId="0" fillId="22" borderId="12" xfId="1" applyNumberFormat="1" applyFont="1" applyFill="1" applyBorder="1" applyAlignment="1">
      <alignment horizontal="center" vertical="center"/>
    </xf>
    <xf numFmtId="177" fontId="0" fillId="2" borderId="0" xfId="2" applyNumberFormat="1" applyFont="1" applyFill="1"/>
    <xf numFmtId="180" fontId="0" fillId="23" borderId="12" xfId="0" applyNumberFormat="1" applyFill="1" applyBorder="1" applyAlignment="1">
      <alignment horizontal="center" vertical="center"/>
    </xf>
    <xf numFmtId="14" fontId="12" fillId="17" borderId="12" xfId="0" applyNumberFormat="1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166" fontId="11" fillId="17" borderId="12" xfId="0" applyNumberFormat="1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left" vertical="center"/>
    </xf>
    <xf numFmtId="14" fontId="11" fillId="17" borderId="12" xfId="0" applyNumberFormat="1" applyFont="1" applyFill="1" applyBorder="1" applyAlignment="1">
      <alignment horizontal="center" vertical="center"/>
    </xf>
    <xf numFmtId="176" fontId="0" fillId="17" borderId="5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0" fillId="19" borderId="12" xfId="0" applyFill="1" applyBorder="1"/>
    <xf numFmtId="0" fontId="0" fillId="2" borderId="0" xfId="2" applyNumberFormat="1" applyFont="1" applyFill="1" applyAlignment="1">
      <alignment horizontal="center"/>
    </xf>
    <xf numFmtId="185" fontId="0" fillId="2" borderId="0" xfId="0" applyNumberFormat="1" applyFill="1"/>
    <xf numFmtId="0" fontId="10" fillId="19" borderId="12" xfId="0" applyFont="1" applyFill="1" applyBorder="1" applyAlignment="1">
      <alignment horizontal="center" vertical="center"/>
    </xf>
    <xf numFmtId="166" fontId="10" fillId="19" borderId="12" xfId="0" applyNumberFormat="1" applyFont="1" applyFill="1" applyBorder="1" applyAlignment="1">
      <alignment horizontal="center" vertical="center"/>
    </xf>
    <xf numFmtId="0" fontId="10" fillId="19" borderId="12" xfId="0" applyFont="1" applyFill="1" applyBorder="1" applyAlignment="1">
      <alignment horizontal="left" vertical="center"/>
    </xf>
    <xf numFmtId="179" fontId="0" fillId="2" borderId="0" xfId="0" applyNumberFormat="1" applyFill="1"/>
    <xf numFmtId="14" fontId="9" fillId="19" borderId="12" xfId="0" applyNumberFormat="1" applyFon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 vertical="center"/>
    </xf>
    <xf numFmtId="176" fontId="0" fillId="17" borderId="62" xfId="0" applyNumberFormat="1" applyFill="1" applyBorder="1" applyAlignment="1">
      <alignment horizontal="center" vertical="center"/>
    </xf>
    <xf numFmtId="0" fontId="93" fillId="4" borderId="12" xfId="0" applyFont="1" applyFill="1" applyBorder="1" applyAlignment="1">
      <alignment horizontal="center" vertical="center"/>
    </xf>
    <xf numFmtId="0" fontId="93" fillId="4" borderId="12" xfId="0" applyFont="1" applyFill="1" applyBorder="1" applyAlignment="1">
      <alignment horizontal="center" vertical="center" wrapText="1"/>
    </xf>
    <xf numFmtId="176" fontId="0" fillId="19" borderId="12" xfId="0" applyNumberForma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left" vertical="center"/>
    </xf>
    <xf numFmtId="176" fontId="0" fillId="2" borderId="0" xfId="0" applyNumberFormat="1" applyFill="1" applyAlignment="1">
      <alignment wrapText="1"/>
    </xf>
    <xf numFmtId="0" fontId="9" fillId="19" borderId="12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left" vertical="center" wrapText="1"/>
    </xf>
    <xf numFmtId="0" fontId="0" fillId="17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7" borderId="12" xfId="0" applyFill="1" applyBorder="1"/>
    <xf numFmtId="0" fontId="0" fillId="4" borderId="12" xfId="0" applyFill="1" applyBorder="1"/>
    <xf numFmtId="0" fontId="0" fillId="27" borderId="12" xfId="0" applyFill="1" applyBorder="1" applyAlignment="1">
      <alignment horizontal="center"/>
    </xf>
    <xf numFmtId="1" fontId="0" fillId="27" borderId="12" xfId="0" applyNumberFormat="1" applyFill="1" applyBorder="1" applyAlignment="1">
      <alignment horizontal="center"/>
    </xf>
    <xf numFmtId="0" fontId="8" fillId="19" borderId="12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vertical="center"/>
    </xf>
    <xf numFmtId="176" fontId="0" fillId="0" borderId="0" xfId="0" applyNumberFormat="1"/>
    <xf numFmtId="14" fontId="7" fillId="19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vertical="center"/>
    </xf>
    <xf numFmtId="1" fontId="0" fillId="17" borderId="23" xfId="0" applyNumberFormat="1" applyFill="1" applyBorder="1" applyAlignment="1">
      <alignment vertical="center"/>
    </xf>
    <xf numFmtId="1" fontId="0" fillId="17" borderId="11" xfId="0" applyNumberFormat="1" applyFill="1" applyBorder="1" applyAlignment="1">
      <alignment vertical="center"/>
    </xf>
    <xf numFmtId="14" fontId="0" fillId="17" borderId="12" xfId="0" applyNumberFormat="1" applyFill="1" applyBorder="1" applyAlignment="1">
      <alignment horizontal="center"/>
    </xf>
    <xf numFmtId="20" fontId="0" fillId="17" borderId="12" xfId="0" applyNumberFormat="1" applyFill="1" applyBorder="1" applyAlignment="1">
      <alignment horizontal="center"/>
    </xf>
    <xf numFmtId="2" fontId="0" fillId="17" borderId="12" xfId="0" applyNumberFormat="1" applyFill="1" applyBorder="1" applyAlignment="1">
      <alignment horizontal="center"/>
    </xf>
    <xf numFmtId="9" fontId="0" fillId="17" borderId="12" xfId="0" applyNumberFormat="1" applyFill="1" applyBorder="1" applyAlignment="1">
      <alignment horizontal="center"/>
    </xf>
    <xf numFmtId="0" fontId="83" fillId="19" borderId="21" xfId="0" applyFont="1" applyFill="1" applyBorder="1" applyAlignment="1">
      <alignment horizontal="center" vertical="center"/>
    </xf>
    <xf numFmtId="1" fontId="0" fillId="19" borderId="21" xfId="0" applyNumberFormat="1" applyFill="1" applyBorder="1" applyAlignment="1">
      <alignment horizontal="center" vertical="center"/>
    </xf>
    <xf numFmtId="176" fontId="0" fillId="19" borderId="61" xfId="0" applyNumberForma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/>
    </xf>
    <xf numFmtId="1" fontId="0" fillId="2" borderId="0" xfId="2" applyNumberFormat="1" applyFont="1" applyFill="1"/>
    <xf numFmtId="176" fontId="0" fillId="4" borderId="12" xfId="0" applyNumberFormat="1" applyFill="1" applyBorder="1" applyAlignment="1">
      <alignment horizontal="center"/>
    </xf>
    <xf numFmtId="176" fontId="0" fillId="2" borderId="12" xfId="1" applyNumberFormat="1" applyFont="1" applyFill="1" applyBorder="1" applyAlignment="1">
      <alignment horizontal="center"/>
    </xf>
    <xf numFmtId="43" fontId="83" fillId="18" borderId="20" xfId="1" applyFont="1" applyFill="1" applyBorder="1" applyAlignment="1">
      <alignment horizontal="center"/>
    </xf>
    <xf numFmtId="43" fontId="83" fillId="18" borderId="28" xfId="1" applyFont="1" applyFill="1" applyBorder="1" applyAlignment="1">
      <alignment horizontal="center"/>
    </xf>
    <xf numFmtId="176" fontId="0" fillId="18" borderId="12" xfId="1" applyNumberFormat="1" applyFont="1" applyFill="1" applyBorder="1" applyAlignment="1">
      <alignment horizontal="center"/>
    </xf>
    <xf numFmtId="0" fontId="83" fillId="19" borderId="12" xfId="0" applyFont="1" applyFill="1" applyBorder="1"/>
    <xf numFmtId="1" fontId="83" fillId="19" borderId="12" xfId="0" applyNumberFormat="1" applyFont="1" applyFill="1" applyBorder="1" applyAlignment="1">
      <alignment horizontal="center"/>
    </xf>
    <xf numFmtId="165" fontId="0" fillId="23" borderId="12" xfId="0" applyNumberFormat="1" applyFill="1" applyBorder="1" applyAlignment="1">
      <alignment horizontal="center" vertical="center"/>
    </xf>
    <xf numFmtId="167" fontId="0" fillId="23" borderId="12" xfId="0" applyNumberFormat="1" applyFill="1" applyBorder="1" applyAlignment="1">
      <alignment horizontal="center" vertical="center"/>
    </xf>
    <xf numFmtId="167" fontId="0" fillId="2" borderId="12" xfId="0" applyNumberFormat="1" applyFill="1" applyBorder="1" applyAlignment="1">
      <alignment horizontal="center"/>
    </xf>
    <xf numFmtId="0" fontId="6" fillId="2" borderId="7" xfId="0" applyFont="1" applyFill="1" applyBorder="1" applyAlignment="1">
      <alignment vertical="center"/>
    </xf>
    <xf numFmtId="0" fontId="6" fillId="19" borderId="12" xfId="0" applyFont="1" applyFill="1" applyBorder="1" applyAlignment="1">
      <alignment horizontal="center" vertical="center"/>
    </xf>
    <xf numFmtId="0" fontId="6" fillId="19" borderId="12" xfId="0" applyFont="1" applyFill="1" applyBorder="1" applyAlignment="1">
      <alignment horizontal="left" vertical="center"/>
    </xf>
    <xf numFmtId="0" fontId="6" fillId="19" borderId="12" xfId="0" applyFont="1" applyFill="1" applyBorder="1" applyAlignment="1">
      <alignment horizontal="left" vertical="center" wrapText="1"/>
    </xf>
    <xf numFmtId="0" fontId="6" fillId="17" borderId="12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left" vertical="center" wrapText="1"/>
    </xf>
    <xf numFmtId="0" fontId="6" fillId="17" borderId="12" xfId="0" applyFont="1" applyFill="1" applyBorder="1" applyAlignment="1">
      <alignment horizontal="left" vertical="center"/>
    </xf>
    <xf numFmtId="14" fontId="6" fillId="17" borderId="12" xfId="0" applyNumberFormat="1" applyFont="1" applyFill="1" applyBorder="1" applyAlignment="1">
      <alignment horizontal="center" vertical="center"/>
    </xf>
    <xf numFmtId="14" fontId="5" fillId="17" borderId="12" xfId="0" applyNumberFormat="1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left" vertical="center"/>
    </xf>
    <xf numFmtId="0" fontId="5" fillId="17" borderId="12" xfId="0" applyFont="1" applyFill="1" applyBorder="1" applyAlignment="1">
      <alignment horizontal="left" vertical="center" wrapText="1"/>
    </xf>
    <xf numFmtId="0" fontId="4" fillId="17" borderId="12" xfId="0" applyFont="1" applyFill="1" applyBorder="1" applyAlignment="1">
      <alignment horizontal="center" vertical="center"/>
    </xf>
    <xf numFmtId="0" fontId="4" fillId="17" borderId="12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1" fontId="0" fillId="17" borderId="12" xfId="0" applyNumberFormat="1" applyFill="1" applyBorder="1"/>
    <xf numFmtId="0" fontId="0" fillId="23" borderId="12" xfId="2" applyNumberFormat="1" applyFont="1" applyFill="1" applyBorder="1" applyAlignment="1">
      <alignment horizontal="center" vertical="center"/>
    </xf>
    <xf numFmtId="176" fontId="0" fillId="23" borderId="0" xfId="0" applyNumberFormat="1" applyFill="1"/>
    <xf numFmtId="176" fontId="0" fillId="17" borderId="0" xfId="0" applyNumberFormat="1" applyFill="1"/>
    <xf numFmtId="186" fontId="0" fillId="2" borderId="12" xfId="0" applyNumberFormat="1" applyFill="1" applyBorder="1" applyAlignment="1">
      <alignment horizontal="center" vertical="center"/>
    </xf>
    <xf numFmtId="9" fontId="0" fillId="23" borderId="0" xfId="2" applyFont="1" applyFill="1"/>
    <xf numFmtId="176" fontId="0" fillId="23" borderId="0" xfId="0" applyNumberFormat="1" applyFill="1" applyAlignment="1">
      <alignment horizontal="center"/>
    </xf>
    <xf numFmtId="176" fontId="0" fillId="19" borderId="23" xfId="0" applyNumberFormat="1" applyFill="1" applyBorder="1" applyAlignment="1">
      <alignment vertical="center"/>
    </xf>
    <xf numFmtId="174" fontId="0" fillId="19" borderId="11" xfId="0" applyNumberFormat="1" applyFill="1" applyBorder="1" applyAlignment="1">
      <alignment vertical="center"/>
    </xf>
    <xf numFmtId="14" fontId="3" fillId="19" borderId="12" xfId="0" applyNumberFormat="1" applyFont="1" applyFill="1" applyBorder="1" applyAlignment="1">
      <alignment horizontal="center" vertical="center"/>
    </xf>
    <xf numFmtId="0" fontId="82" fillId="2" borderId="0" xfId="0" applyFont="1" applyFill="1" applyAlignment="1">
      <alignment vertical="center"/>
    </xf>
    <xf numFmtId="0" fontId="98" fillId="4" borderId="12" xfId="0" applyFont="1" applyFill="1" applyBorder="1"/>
    <xf numFmtId="165" fontId="103" fillId="2" borderId="52" xfId="0" applyNumberFormat="1" applyFont="1" applyFill="1" applyBorder="1" applyAlignment="1">
      <alignment horizontal="center" vertical="center"/>
    </xf>
    <xf numFmtId="0" fontId="83" fillId="19" borderId="7" xfId="0" applyFont="1" applyFill="1" applyBorder="1" applyAlignment="1">
      <alignment horizontal="center"/>
    </xf>
    <xf numFmtId="0" fontId="82" fillId="19" borderId="12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left" vertical="center"/>
    </xf>
    <xf numFmtId="0" fontId="82" fillId="19" borderId="12" xfId="0" applyFont="1" applyFill="1" applyBorder="1" applyAlignment="1">
      <alignment horizontal="left" vertical="center"/>
    </xf>
    <xf numFmtId="1" fontId="0" fillId="19" borderId="15" xfId="0" applyNumberFormat="1" applyFill="1" applyBorder="1" applyAlignment="1">
      <alignment vertical="center"/>
    </xf>
    <xf numFmtId="1" fontId="0" fillId="19" borderId="15" xfId="0" applyNumberFormat="1" applyFill="1" applyBorder="1" applyAlignment="1">
      <alignment horizontal="center" vertical="center"/>
    </xf>
    <xf numFmtId="176" fontId="0" fillId="19" borderId="25" xfId="0" applyNumberFormat="1" applyFill="1" applyBorder="1" applyAlignment="1">
      <alignment vertical="center"/>
    </xf>
    <xf numFmtId="2" fontId="0" fillId="19" borderId="54" xfId="0" applyNumberFormat="1" applyFill="1" applyBorder="1" applyAlignment="1">
      <alignment vertical="center"/>
    </xf>
    <xf numFmtId="1" fontId="0" fillId="19" borderId="23" xfId="0" applyNumberFormat="1" applyFill="1" applyBorder="1" applyAlignment="1">
      <alignment vertical="center"/>
    </xf>
    <xf numFmtId="1" fontId="0" fillId="19" borderId="11" xfId="0" applyNumberFormat="1" applyFill="1" applyBorder="1" applyAlignment="1">
      <alignment vertical="center"/>
    </xf>
    <xf numFmtId="0" fontId="103" fillId="2" borderId="28" xfId="0" applyFont="1" applyFill="1" applyBorder="1"/>
    <xf numFmtId="165" fontId="98" fillId="4" borderId="22" xfId="0" applyNumberFormat="1" applyFont="1" applyFill="1" applyBorder="1" applyAlignment="1">
      <alignment horizontal="center" vertical="center"/>
    </xf>
    <xf numFmtId="0" fontId="0" fillId="0" borderId="7" xfId="0" applyBorder="1"/>
    <xf numFmtId="2" fontId="0" fillId="0" borderId="12" xfId="0" applyNumberFormat="1" applyBorder="1"/>
    <xf numFmtId="0" fontId="1" fillId="19" borderId="12" xfId="0" applyFont="1" applyFill="1" applyBorder="1" applyAlignment="1">
      <alignment horizontal="left" vertical="center"/>
    </xf>
    <xf numFmtId="0" fontId="105" fillId="22" borderId="30" xfId="0" applyFont="1" applyFill="1" applyBorder="1" applyAlignment="1">
      <alignment horizontal="center" vertical="center"/>
    </xf>
    <xf numFmtId="0" fontId="105" fillId="22" borderId="22" xfId="0" applyFont="1" applyFill="1" applyBorder="1" applyAlignment="1">
      <alignment horizontal="center" vertical="center"/>
    </xf>
    <xf numFmtId="0" fontId="105" fillId="22" borderId="53" xfId="0" applyFon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98" fillId="19" borderId="20" xfId="0" applyFont="1" applyFill="1" applyBorder="1" applyAlignment="1">
      <alignment horizontal="center" vertical="center"/>
    </xf>
    <xf numFmtId="0" fontId="98" fillId="19" borderId="21" xfId="0" applyFont="1" applyFill="1" applyBorder="1" applyAlignment="1">
      <alignment horizontal="center" vertical="center"/>
    </xf>
    <xf numFmtId="0" fontId="98" fillId="19" borderId="28" xfId="0" applyFont="1" applyFill="1" applyBorder="1" applyAlignment="1">
      <alignment horizontal="center" vertical="center"/>
    </xf>
    <xf numFmtId="0" fontId="105" fillId="19" borderId="20" xfId="0" applyFont="1" applyFill="1" applyBorder="1" applyAlignment="1">
      <alignment horizontal="center" vertical="center"/>
    </xf>
    <xf numFmtId="0" fontId="105" fillId="19" borderId="21" xfId="0" applyFont="1" applyFill="1" applyBorder="1" applyAlignment="1">
      <alignment horizontal="center" vertical="center"/>
    </xf>
    <xf numFmtId="0" fontId="105" fillId="19" borderId="28" xfId="0" applyFont="1" applyFill="1" applyBorder="1" applyAlignment="1">
      <alignment horizontal="center" vertical="center"/>
    </xf>
    <xf numFmtId="0" fontId="105" fillId="23" borderId="20" xfId="0" applyFont="1" applyFill="1" applyBorder="1" applyAlignment="1">
      <alignment horizontal="center" vertical="center" wrapText="1"/>
    </xf>
    <xf numFmtId="0" fontId="105" fillId="23" borderId="21" xfId="0" applyFont="1" applyFill="1" applyBorder="1" applyAlignment="1">
      <alignment horizontal="center" vertical="center" wrapText="1"/>
    </xf>
    <xf numFmtId="0" fontId="105" fillId="23" borderId="28" xfId="0" applyFont="1" applyFill="1" applyBorder="1" applyAlignment="1">
      <alignment horizontal="center" vertical="center" wrapText="1"/>
    </xf>
    <xf numFmtId="9" fontId="0" fillId="23" borderId="12" xfId="2" applyFont="1" applyFill="1" applyBorder="1" applyAlignment="1">
      <alignment horizontal="center" vertical="center"/>
    </xf>
    <xf numFmtId="9" fontId="83" fillId="19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83" fillId="3" borderId="22" xfId="0" applyFont="1" applyFill="1" applyBorder="1" applyAlignment="1">
      <alignment horizontal="center"/>
    </xf>
    <xf numFmtId="0" fontId="83" fillId="3" borderId="0" xfId="0" applyFont="1" applyFill="1" applyAlignment="1">
      <alignment horizontal="center"/>
    </xf>
    <xf numFmtId="14" fontId="65" fillId="22" borderId="28" xfId="0" applyNumberFormat="1" applyFont="1" applyFill="1" applyBorder="1" applyAlignment="1">
      <alignment horizontal="center" vertical="center"/>
    </xf>
    <xf numFmtId="14" fontId="82" fillId="22" borderId="28" xfId="0" applyNumberFormat="1" applyFont="1" applyFill="1" applyBorder="1" applyAlignment="1">
      <alignment horizontal="center" vertical="center"/>
    </xf>
    <xf numFmtId="14" fontId="65" fillId="22" borderId="12" xfId="0" applyNumberFormat="1" applyFont="1" applyFill="1" applyBorder="1" applyAlignment="1">
      <alignment horizontal="center" vertical="center"/>
    </xf>
    <xf numFmtId="14" fontId="82" fillId="22" borderId="12" xfId="0" applyNumberFormat="1" applyFont="1" applyFill="1" applyBorder="1" applyAlignment="1">
      <alignment horizontal="center" vertical="center"/>
    </xf>
    <xf numFmtId="14" fontId="65" fillId="23" borderId="12" xfId="0" applyNumberFormat="1" applyFont="1" applyFill="1" applyBorder="1" applyAlignment="1">
      <alignment horizontal="center" vertical="center"/>
    </xf>
    <xf numFmtId="14" fontId="82" fillId="23" borderId="12" xfId="0" applyNumberFormat="1" applyFont="1" applyFill="1" applyBorder="1" applyAlignment="1">
      <alignment horizontal="center" vertical="center"/>
    </xf>
    <xf numFmtId="0" fontId="83" fillId="3" borderId="12" xfId="0" applyFont="1" applyFill="1" applyBorder="1" applyAlignment="1">
      <alignment horizontal="center" vertical="center"/>
    </xf>
    <xf numFmtId="0" fontId="105" fillId="23" borderId="20" xfId="0" applyFont="1" applyFill="1" applyBorder="1" applyAlignment="1">
      <alignment horizontal="center" vertical="center"/>
    </xf>
    <xf numFmtId="0" fontId="105" fillId="23" borderId="21" xfId="0" applyFont="1" applyFill="1" applyBorder="1" applyAlignment="1">
      <alignment horizontal="center" vertical="center"/>
    </xf>
    <xf numFmtId="0" fontId="105" fillId="23" borderId="28" xfId="0" applyFont="1" applyFill="1" applyBorder="1" applyAlignment="1">
      <alignment horizontal="center" vertical="center"/>
    </xf>
    <xf numFmtId="0" fontId="105" fillId="22" borderId="21" xfId="0" applyFont="1" applyFill="1" applyBorder="1" applyAlignment="1">
      <alignment horizontal="center" vertical="center"/>
    </xf>
    <xf numFmtId="0" fontId="105" fillId="22" borderId="28" xfId="0" applyFont="1" applyFill="1" applyBorder="1" applyAlignment="1">
      <alignment horizontal="center" vertical="center"/>
    </xf>
    <xf numFmtId="14" fontId="65" fillId="17" borderId="12" xfId="0" applyNumberFormat="1" applyFont="1" applyFill="1" applyBorder="1" applyAlignment="1">
      <alignment horizontal="center" vertical="center"/>
    </xf>
    <xf numFmtId="14" fontId="82" fillId="17" borderId="12" xfId="0" applyNumberFormat="1" applyFont="1" applyFill="1" applyBorder="1" applyAlignment="1">
      <alignment horizontal="center" vertical="center"/>
    </xf>
    <xf numFmtId="14" fontId="65" fillId="19" borderId="12" xfId="0" applyNumberFormat="1" applyFont="1" applyFill="1" applyBorder="1" applyAlignment="1">
      <alignment horizontal="center" vertical="center"/>
    </xf>
    <xf numFmtId="14" fontId="82" fillId="19" borderId="12" xfId="0" applyNumberFormat="1" applyFont="1" applyFill="1" applyBorder="1" applyAlignment="1">
      <alignment horizontal="center" vertical="center"/>
    </xf>
    <xf numFmtId="14" fontId="65" fillId="2" borderId="12" xfId="0" applyNumberFormat="1" applyFont="1" applyFill="1" applyBorder="1" applyAlignment="1">
      <alignment horizontal="center" vertical="center"/>
    </xf>
    <xf numFmtId="14" fontId="82" fillId="2" borderId="12" xfId="0" applyNumberFormat="1" applyFont="1" applyFill="1" applyBorder="1" applyAlignment="1">
      <alignment horizontal="center" vertical="center"/>
    </xf>
    <xf numFmtId="14" fontId="65" fillId="23" borderId="20" xfId="0" applyNumberFormat="1" applyFont="1" applyFill="1" applyBorder="1" applyAlignment="1">
      <alignment horizontal="center" vertical="center"/>
    </xf>
    <xf numFmtId="14" fontId="82" fillId="23" borderId="20" xfId="0" applyNumberFormat="1" applyFont="1" applyFill="1" applyBorder="1" applyAlignment="1">
      <alignment horizontal="center" vertical="center"/>
    </xf>
    <xf numFmtId="14" fontId="65" fillId="23" borderId="75" xfId="0" applyNumberFormat="1" applyFont="1" applyFill="1" applyBorder="1" applyAlignment="1">
      <alignment horizontal="center" vertical="center"/>
    </xf>
    <xf numFmtId="14" fontId="82" fillId="23" borderId="76" xfId="0" applyNumberFormat="1" applyFont="1" applyFill="1" applyBorder="1" applyAlignment="1">
      <alignment horizontal="center" vertical="center"/>
    </xf>
    <xf numFmtId="0" fontId="105" fillId="22" borderId="20" xfId="0" applyFont="1" applyFill="1" applyBorder="1" applyAlignment="1">
      <alignment horizontal="center" vertical="center"/>
    </xf>
    <xf numFmtId="0" fontId="105" fillId="23" borderId="34" xfId="0" applyFont="1" applyFill="1" applyBorder="1" applyAlignment="1">
      <alignment horizontal="center" vertical="center"/>
    </xf>
    <xf numFmtId="0" fontId="105" fillId="23" borderId="0" xfId="0" applyFont="1" applyFill="1" applyAlignment="1">
      <alignment horizontal="center" vertical="center"/>
    </xf>
    <xf numFmtId="0" fontId="105" fillId="23" borderId="77" xfId="0" applyFont="1" applyFill="1" applyBorder="1" applyAlignment="1">
      <alignment horizontal="center" vertical="center"/>
    </xf>
    <xf numFmtId="0" fontId="105" fillId="23" borderId="30" xfId="0" applyFont="1" applyFill="1" applyBorder="1" applyAlignment="1">
      <alignment horizontal="center" vertical="center"/>
    </xf>
    <xf numFmtId="0" fontId="105" fillId="23" borderId="22" xfId="0" applyFont="1" applyFill="1" applyBorder="1" applyAlignment="1">
      <alignment horizontal="center" vertical="center"/>
    </xf>
    <xf numFmtId="0" fontId="105" fillId="23" borderId="32" xfId="0" applyFont="1" applyFill="1" applyBorder="1" applyAlignment="1">
      <alignment horizontal="center" vertical="center"/>
    </xf>
    <xf numFmtId="14" fontId="65" fillId="23" borderId="69" xfId="0" applyNumberFormat="1" applyFont="1" applyFill="1" applyBorder="1" applyAlignment="1">
      <alignment horizontal="center" vertical="center"/>
    </xf>
    <xf numFmtId="14" fontId="82" fillId="23" borderId="70" xfId="0" applyNumberFormat="1" applyFont="1" applyFill="1" applyBorder="1" applyAlignment="1">
      <alignment horizontal="center" vertical="center"/>
    </xf>
    <xf numFmtId="14" fontId="65" fillId="23" borderId="28" xfId="0" applyNumberFormat="1" applyFont="1" applyFill="1" applyBorder="1" applyAlignment="1">
      <alignment horizontal="center" vertical="center"/>
    </xf>
    <xf numFmtId="14" fontId="82" fillId="23" borderId="28" xfId="0" applyNumberFormat="1" applyFont="1" applyFill="1" applyBorder="1" applyAlignment="1">
      <alignment horizontal="center" vertical="center"/>
    </xf>
    <xf numFmtId="9" fontId="83" fillId="17" borderId="12" xfId="2" applyFont="1" applyFill="1" applyBorder="1" applyAlignment="1">
      <alignment horizontal="center" vertical="center"/>
    </xf>
    <xf numFmtId="14" fontId="65" fillId="23" borderId="73" xfId="0" applyNumberFormat="1" applyFont="1" applyFill="1" applyBorder="1" applyAlignment="1">
      <alignment horizontal="center" vertical="center"/>
    </xf>
    <xf numFmtId="14" fontId="82" fillId="23" borderId="74" xfId="0" applyNumberFormat="1" applyFont="1" applyFill="1" applyBorder="1" applyAlignment="1">
      <alignment horizontal="center" vertical="center"/>
    </xf>
    <xf numFmtId="0" fontId="113" fillId="17" borderId="20" xfId="0" applyFont="1" applyFill="1" applyBorder="1" applyAlignment="1">
      <alignment horizontal="center" vertical="center"/>
    </xf>
    <xf numFmtId="0" fontId="113" fillId="17" borderId="21" xfId="0" applyFont="1" applyFill="1" applyBorder="1" applyAlignment="1">
      <alignment horizontal="center" vertical="center"/>
    </xf>
    <xf numFmtId="0" fontId="113" fillId="17" borderId="28" xfId="0" applyFont="1" applyFill="1" applyBorder="1" applyAlignment="1">
      <alignment horizontal="center" vertical="center"/>
    </xf>
    <xf numFmtId="0" fontId="105" fillId="22" borderId="80" xfId="0" applyFont="1" applyFill="1" applyBorder="1" applyAlignment="1">
      <alignment horizontal="center" vertical="center"/>
    </xf>
    <xf numFmtId="0" fontId="83" fillId="4" borderId="12" xfId="0" applyFont="1" applyFill="1" applyBorder="1" applyAlignment="1">
      <alignment horizontal="center"/>
    </xf>
    <xf numFmtId="0" fontId="90" fillId="3" borderId="40" xfId="0" applyFont="1" applyFill="1" applyBorder="1" applyAlignment="1">
      <alignment horizontal="center" vertical="center" wrapText="1"/>
    </xf>
    <xf numFmtId="0" fontId="89" fillId="3" borderId="44" xfId="0" applyFont="1" applyFill="1" applyBorder="1" applyAlignment="1">
      <alignment vertical="center"/>
    </xf>
    <xf numFmtId="1" fontId="90" fillId="3" borderId="41" xfId="0" applyNumberFormat="1" applyFont="1" applyFill="1" applyBorder="1" applyAlignment="1">
      <alignment horizontal="center" vertical="center" wrapText="1"/>
    </xf>
    <xf numFmtId="0" fontId="89" fillId="3" borderId="42" xfId="0" applyFont="1" applyFill="1" applyBorder="1" applyAlignment="1">
      <alignment vertical="center"/>
    </xf>
    <xf numFmtId="0" fontId="89" fillId="3" borderId="43" xfId="0" applyFont="1" applyFill="1" applyBorder="1" applyAlignment="1">
      <alignment vertical="center"/>
    </xf>
    <xf numFmtId="1" fontId="90" fillId="3" borderId="40" xfId="0" applyNumberFormat="1" applyFont="1" applyFill="1" applyBorder="1" applyAlignment="1">
      <alignment horizontal="center" vertical="center" wrapText="1"/>
    </xf>
    <xf numFmtId="0" fontId="90" fillId="3" borderId="41" xfId="0" applyFont="1" applyFill="1" applyBorder="1" applyAlignment="1">
      <alignment horizontal="center" vertical="center" wrapText="1"/>
    </xf>
    <xf numFmtId="0" fontId="89" fillId="3" borderId="46" xfId="0" applyFont="1" applyFill="1" applyBorder="1" applyAlignment="1">
      <alignment vertical="center"/>
    </xf>
    <xf numFmtId="1" fontId="90" fillId="3" borderId="44" xfId="0" applyNumberFormat="1" applyFont="1" applyFill="1" applyBorder="1" applyAlignment="1">
      <alignment horizontal="center" vertical="center" wrapText="1"/>
    </xf>
    <xf numFmtId="0" fontId="83" fillId="20" borderId="12" xfId="0" applyFont="1" applyFill="1" applyBorder="1" applyAlignment="1">
      <alignment horizontal="center"/>
    </xf>
    <xf numFmtId="0" fontId="95" fillId="15" borderId="51" xfId="0" applyFont="1" applyFill="1" applyBorder="1" applyAlignment="1">
      <alignment horizontal="center"/>
    </xf>
    <xf numFmtId="0" fontId="96" fillId="15" borderId="0" xfId="0" applyFont="1" applyFill="1" applyAlignment="1">
      <alignment horizontal="center"/>
    </xf>
    <xf numFmtId="0" fontId="100" fillId="3" borderId="42" xfId="0" applyFont="1" applyFill="1" applyBorder="1" applyAlignment="1">
      <alignment horizontal="center" vertical="center"/>
    </xf>
    <xf numFmtId="0" fontId="100" fillId="3" borderId="43" xfId="0" applyFont="1" applyFill="1" applyBorder="1" applyAlignment="1">
      <alignment horizontal="center" vertical="center"/>
    </xf>
    <xf numFmtId="0" fontId="90" fillId="3" borderId="42" xfId="0" applyFont="1" applyFill="1" applyBorder="1" applyAlignment="1">
      <alignment horizontal="center" vertical="center" wrapText="1"/>
    </xf>
    <xf numFmtId="0" fontId="90" fillId="3" borderId="43" xfId="0" applyFont="1" applyFill="1" applyBorder="1" applyAlignment="1">
      <alignment horizontal="center" vertical="center" wrapText="1"/>
    </xf>
    <xf numFmtId="177" fontId="83" fillId="4" borderId="12" xfId="0" applyNumberFormat="1" applyFont="1" applyFill="1" applyBorder="1" applyAlignment="1">
      <alignment horizontal="center"/>
    </xf>
    <xf numFmtId="0" fontId="83" fillId="19" borderId="57" xfId="0" applyFont="1" applyFill="1" applyBorder="1" applyAlignment="1">
      <alignment horizontal="center"/>
    </xf>
    <xf numFmtId="0" fontId="83" fillId="19" borderId="10" xfId="0" applyFont="1" applyFill="1" applyBorder="1" applyAlignment="1">
      <alignment horizontal="center"/>
    </xf>
    <xf numFmtId="177" fontId="83" fillId="19" borderId="10" xfId="0" applyNumberFormat="1" applyFont="1" applyFill="1" applyBorder="1" applyAlignment="1">
      <alignment horizontal="center"/>
    </xf>
    <xf numFmtId="0" fontId="83" fillId="19" borderId="23" xfId="0" applyFont="1" applyFill="1" applyBorder="1" applyAlignment="1">
      <alignment horizontal="center"/>
    </xf>
    <xf numFmtId="0" fontId="98" fillId="18" borderId="0" xfId="0" applyFont="1" applyFill="1" applyAlignment="1">
      <alignment horizontal="center"/>
    </xf>
    <xf numFmtId="0" fontId="83" fillId="3" borderId="7" xfId="0" applyFont="1" applyFill="1" applyBorder="1" applyAlignment="1">
      <alignment horizontal="center"/>
    </xf>
    <xf numFmtId="0" fontId="83" fillId="3" borderId="8" xfId="0" applyFont="1" applyFill="1" applyBorder="1" applyAlignment="1">
      <alignment horizontal="center"/>
    </xf>
    <xf numFmtId="0" fontId="83" fillId="3" borderId="29" xfId="0" applyFont="1" applyFill="1" applyBorder="1" applyAlignment="1">
      <alignment horizontal="center"/>
    </xf>
    <xf numFmtId="0" fontId="83" fillId="3" borderId="53" xfId="0" applyFont="1" applyFill="1" applyBorder="1" applyAlignment="1">
      <alignment horizontal="center"/>
    </xf>
    <xf numFmtId="0" fontId="83" fillId="3" borderId="33" xfId="0" applyFont="1" applyFill="1" applyBorder="1" applyAlignment="1">
      <alignment horizontal="center"/>
    </xf>
    <xf numFmtId="0" fontId="83" fillId="18" borderId="7" xfId="0" applyFont="1" applyFill="1" applyBorder="1" applyAlignment="1">
      <alignment horizontal="center"/>
    </xf>
    <xf numFmtId="0" fontId="83" fillId="18" borderId="29" xfId="0" applyFont="1" applyFill="1" applyBorder="1" applyAlignment="1">
      <alignment horizontal="center"/>
    </xf>
    <xf numFmtId="0" fontId="83" fillId="18" borderId="8" xfId="0" applyFont="1" applyFill="1" applyBorder="1" applyAlignment="1">
      <alignment horizontal="center"/>
    </xf>
    <xf numFmtId="165" fontId="103" fillId="2" borderId="5" xfId="0" applyNumberFormat="1" applyFont="1" applyFill="1" applyBorder="1" applyAlignment="1">
      <alignment horizontal="center" vertical="center"/>
    </xf>
    <xf numFmtId="165" fontId="103" fillId="2" borderId="15" xfId="0" applyNumberFormat="1" applyFont="1" applyFill="1" applyBorder="1" applyAlignment="1">
      <alignment horizontal="center" vertical="center"/>
    </xf>
    <xf numFmtId="14" fontId="103" fillId="2" borderId="1" xfId="0" applyNumberFormat="1" applyFont="1" applyFill="1" applyBorder="1" applyAlignment="1">
      <alignment horizontal="center" vertical="center"/>
    </xf>
    <xf numFmtId="14" fontId="103" fillId="2" borderId="4" xfId="0" applyNumberFormat="1" applyFont="1" applyFill="1" applyBorder="1" applyAlignment="1">
      <alignment horizontal="center" vertical="center"/>
    </xf>
    <xf numFmtId="14" fontId="103" fillId="2" borderId="13" xfId="0" applyNumberFormat="1" applyFont="1" applyFill="1" applyBorder="1" applyAlignment="1">
      <alignment horizontal="center" vertical="center"/>
    </xf>
    <xf numFmtId="14" fontId="103" fillId="2" borderId="14" xfId="0" applyNumberFormat="1" applyFont="1" applyFill="1" applyBorder="1" applyAlignment="1">
      <alignment horizontal="center" vertical="center"/>
    </xf>
    <xf numFmtId="14" fontId="98" fillId="4" borderId="18" xfId="0" applyNumberFormat="1" applyFont="1" applyFill="1" applyBorder="1" applyAlignment="1">
      <alignment horizontal="center" vertical="center"/>
    </xf>
    <xf numFmtId="14" fontId="98" fillId="4" borderId="19" xfId="0" applyNumberFormat="1" applyFont="1" applyFill="1" applyBorder="1" applyAlignment="1">
      <alignment horizontal="center" vertical="center"/>
    </xf>
    <xf numFmtId="0" fontId="98" fillId="4" borderId="24" xfId="0" applyFont="1" applyFill="1" applyBorder="1" applyAlignment="1">
      <alignment horizontal="center"/>
    </xf>
    <xf numFmtId="0" fontId="98" fillId="4" borderId="17" xfId="0" applyFont="1" applyFill="1" applyBorder="1" applyAlignment="1">
      <alignment horizontal="center"/>
    </xf>
    <xf numFmtId="165" fontId="103" fillId="2" borderId="0" xfId="0" applyNumberFormat="1" applyFont="1" applyFill="1" applyAlignment="1">
      <alignment horizontal="center" vertical="center"/>
    </xf>
    <xf numFmtId="0" fontId="103" fillId="2" borderId="53" xfId="0" applyFont="1" applyFill="1" applyBorder="1" applyAlignment="1">
      <alignment horizontal="center" vertical="center"/>
    </xf>
    <xf numFmtId="165" fontId="103" fillId="2" borderId="63" xfId="0" applyNumberFormat="1" applyFont="1" applyFill="1" applyBorder="1" applyAlignment="1">
      <alignment horizontal="center" vertical="center"/>
    </xf>
    <xf numFmtId="165" fontId="103" fillId="2" borderId="65" xfId="0" applyNumberFormat="1" applyFont="1" applyFill="1" applyBorder="1" applyAlignment="1">
      <alignment horizontal="center" vertical="center"/>
    </xf>
    <xf numFmtId="0" fontId="113" fillId="3" borderId="36" xfId="0" applyFont="1" applyFill="1" applyBorder="1" applyAlignment="1">
      <alignment horizontal="center"/>
    </xf>
    <xf numFmtId="0" fontId="113" fillId="3" borderId="55" xfId="0" applyFont="1" applyFill="1" applyBorder="1" applyAlignment="1">
      <alignment horizontal="center"/>
    </xf>
    <xf numFmtId="0" fontId="113" fillId="3" borderId="56" xfId="0" applyFont="1" applyFill="1" applyBorder="1" applyAlignment="1">
      <alignment horizontal="center"/>
    </xf>
    <xf numFmtId="165" fontId="103" fillId="2" borderId="21" xfId="0" applyNumberFormat="1" applyFont="1" applyFill="1" applyBorder="1" applyAlignment="1">
      <alignment horizontal="center" vertical="center"/>
    </xf>
    <xf numFmtId="14" fontId="103" fillId="17" borderId="1" xfId="0" applyNumberFormat="1" applyFont="1" applyFill="1" applyBorder="1" applyAlignment="1">
      <alignment horizontal="center" vertical="center"/>
    </xf>
    <xf numFmtId="14" fontId="103" fillId="17" borderId="4" xfId="0" applyNumberFormat="1" applyFont="1" applyFill="1" applyBorder="1" applyAlignment="1">
      <alignment horizontal="center" vertical="center"/>
    </xf>
    <xf numFmtId="14" fontId="103" fillId="17" borderId="13" xfId="0" applyNumberFormat="1" applyFont="1" applyFill="1" applyBorder="1" applyAlignment="1">
      <alignment horizontal="center" vertical="center"/>
    </xf>
    <xf numFmtId="14" fontId="103" fillId="17" borderId="14" xfId="0" applyNumberFormat="1" applyFont="1" applyFill="1" applyBorder="1" applyAlignment="1">
      <alignment horizontal="center" vertical="center"/>
    </xf>
    <xf numFmtId="165" fontId="103" fillId="17" borderId="5" xfId="0" applyNumberFormat="1" applyFont="1" applyFill="1" applyBorder="1" applyAlignment="1">
      <alignment horizontal="center" vertical="center"/>
    </xf>
    <xf numFmtId="165" fontId="103" fillId="17" borderId="15" xfId="0" applyNumberFormat="1" applyFont="1" applyFill="1" applyBorder="1" applyAlignment="1">
      <alignment horizontal="center" vertical="center"/>
    </xf>
    <xf numFmtId="14" fontId="103" fillId="2" borderId="18" xfId="0" applyNumberFormat="1" applyFont="1" applyFill="1" applyBorder="1" applyAlignment="1">
      <alignment horizontal="center" vertical="center"/>
    </xf>
    <xf numFmtId="14" fontId="103" fillId="2" borderId="19" xfId="0" applyNumberFormat="1" applyFont="1" applyFill="1" applyBorder="1" applyAlignment="1">
      <alignment horizontal="center" vertical="center"/>
    </xf>
    <xf numFmtId="0" fontId="98" fillId="3" borderId="18" xfId="0" applyFont="1" applyFill="1" applyBorder="1" applyAlignment="1">
      <alignment horizontal="center" vertical="center"/>
    </xf>
    <xf numFmtId="0" fontId="98" fillId="3" borderId="19" xfId="0" applyFont="1" applyFill="1" applyBorder="1" applyAlignment="1">
      <alignment horizontal="center" vertical="center"/>
    </xf>
    <xf numFmtId="165" fontId="103" fillId="2" borderId="6" xfId="0" applyNumberFormat="1" applyFont="1" applyFill="1" applyBorder="1" applyAlignment="1">
      <alignment horizontal="center" vertical="center"/>
    </xf>
    <xf numFmtId="0" fontId="103" fillId="2" borderId="16" xfId="0" applyFont="1" applyFill="1" applyBorder="1" applyAlignment="1">
      <alignment horizontal="center" vertical="center"/>
    </xf>
    <xf numFmtId="0" fontId="103" fillId="2" borderId="20" xfId="0" applyFont="1" applyFill="1" applyBorder="1" applyAlignment="1">
      <alignment horizontal="left" wrapText="1"/>
    </xf>
    <xf numFmtId="0" fontId="103" fillId="2" borderId="28" xfId="0" applyFont="1" applyFill="1" applyBorder="1" applyAlignment="1">
      <alignment horizontal="left" wrapText="1"/>
    </xf>
    <xf numFmtId="14" fontId="103" fillId="2" borderId="12" xfId="0" applyNumberFormat="1" applyFont="1" applyFill="1" applyBorder="1" applyAlignment="1">
      <alignment horizontal="center" vertical="center"/>
    </xf>
    <xf numFmtId="165" fontId="103" fillId="2" borderId="20" xfId="0" applyNumberFormat="1" applyFont="1" applyFill="1" applyBorder="1" applyAlignment="1">
      <alignment horizontal="center" vertical="center"/>
    </xf>
    <xf numFmtId="165" fontId="103" fillId="2" borderId="28" xfId="0" applyNumberFormat="1" applyFont="1" applyFill="1" applyBorder="1" applyAlignment="1">
      <alignment horizontal="center" vertical="center"/>
    </xf>
    <xf numFmtId="165" fontId="103" fillId="2" borderId="12" xfId="0" applyNumberFormat="1" applyFont="1" applyFill="1" applyBorder="1" applyAlignment="1">
      <alignment horizontal="center" vertical="center"/>
    </xf>
    <xf numFmtId="165" fontId="103" fillId="2" borderId="64" xfId="0" applyNumberFormat="1" applyFont="1" applyFill="1" applyBorder="1" applyAlignment="1">
      <alignment horizontal="center" vertical="center"/>
    </xf>
    <xf numFmtId="165" fontId="103" fillId="2" borderId="86" xfId="0" applyNumberFormat="1" applyFont="1" applyFill="1" applyBorder="1" applyAlignment="1">
      <alignment horizontal="center" vertical="center"/>
    </xf>
    <xf numFmtId="14" fontId="80" fillId="2" borderId="32" xfId="0" applyNumberFormat="1" applyFont="1" applyFill="1" applyBorder="1" applyAlignment="1">
      <alignment horizontal="center" vertical="center"/>
    </xf>
    <xf numFmtId="14" fontId="82" fillId="2" borderId="33" xfId="0" applyNumberFormat="1" applyFont="1" applyFill="1" applyBorder="1" applyAlignment="1">
      <alignment horizontal="center" vertical="center"/>
    </xf>
    <xf numFmtId="0" fontId="93" fillId="20" borderId="7" xfId="0" applyFont="1" applyFill="1" applyBorder="1" applyAlignment="1">
      <alignment horizontal="center"/>
    </xf>
    <xf numFmtId="0" fontId="93" fillId="20" borderId="8" xfId="0" applyFont="1" applyFill="1" applyBorder="1" applyAlignment="1">
      <alignment horizontal="center"/>
    </xf>
    <xf numFmtId="0" fontId="83" fillId="2" borderId="0" xfId="0" applyFont="1" applyFill="1" applyAlignment="1">
      <alignment horizontal="center"/>
    </xf>
    <xf numFmtId="0" fontId="83" fillId="3" borderId="30" xfId="0" applyFont="1" applyFill="1" applyBorder="1" applyAlignment="1">
      <alignment horizontal="center"/>
    </xf>
    <xf numFmtId="0" fontId="83" fillId="3" borderId="34" xfId="0" applyFont="1" applyFill="1" applyBorder="1" applyAlignment="1">
      <alignment horizontal="center"/>
    </xf>
    <xf numFmtId="0" fontId="83" fillId="3" borderId="31" xfId="0" applyFont="1" applyFill="1" applyBorder="1" applyAlignment="1">
      <alignment horizontal="center"/>
    </xf>
    <xf numFmtId="0" fontId="82" fillId="3" borderId="36" xfId="0" applyFont="1" applyFill="1" applyBorder="1" applyAlignment="1">
      <alignment horizontal="center"/>
    </xf>
    <xf numFmtId="0" fontId="82" fillId="3" borderId="37" xfId="0" applyFont="1" applyFill="1" applyBorder="1" applyAlignment="1">
      <alignment horizontal="center"/>
    </xf>
    <xf numFmtId="0" fontId="98" fillId="2" borderId="0" xfId="0" applyFont="1" applyFill="1" applyAlignment="1">
      <alignment horizontal="center"/>
    </xf>
    <xf numFmtId="0" fontId="107" fillId="2" borderId="18" xfId="0" applyFont="1" applyFill="1" applyBorder="1" applyAlignment="1">
      <alignment horizontal="center"/>
    </xf>
    <xf numFmtId="0" fontId="107" fillId="2" borderId="0" xfId="0" applyFont="1" applyFill="1" applyAlignment="1">
      <alignment horizontal="center"/>
    </xf>
    <xf numFmtId="0" fontId="107" fillId="2" borderId="67" xfId="0" applyFont="1" applyFill="1" applyBorder="1" applyAlignment="1">
      <alignment horizontal="center"/>
    </xf>
    <xf numFmtId="0" fontId="107" fillId="2" borderId="13" xfId="0" applyFont="1" applyFill="1" applyBorder="1" applyAlignment="1">
      <alignment horizontal="center"/>
    </xf>
    <xf numFmtId="0" fontId="107" fillId="2" borderId="51" xfId="0" applyFont="1" applyFill="1" applyBorder="1" applyAlignment="1">
      <alignment horizontal="center"/>
    </xf>
    <xf numFmtId="0" fontId="107" fillId="2" borderId="26" xfId="0" applyFont="1" applyFill="1" applyBorder="1" applyAlignment="1">
      <alignment horizontal="center"/>
    </xf>
    <xf numFmtId="0" fontId="109" fillId="2" borderId="18" xfId="0" applyFont="1" applyFill="1" applyBorder="1" applyAlignment="1">
      <alignment horizontal="center"/>
    </xf>
    <xf numFmtId="0" fontId="109" fillId="2" borderId="0" xfId="0" applyFont="1" applyFill="1" applyAlignment="1">
      <alignment horizontal="center"/>
    </xf>
    <xf numFmtId="0" fontId="109" fillId="2" borderId="67" xfId="0" applyFont="1" applyFill="1" applyBorder="1" applyAlignment="1">
      <alignment horizontal="center"/>
    </xf>
    <xf numFmtId="0" fontId="109" fillId="2" borderId="13" xfId="0" applyFont="1" applyFill="1" applyBorder="1" applyAlignment="1">
      <alignment horizontal="center"/>
    </xf>
    <xf numFmtId="0" fontId="109" fillId="2" borderId="51" xfId="0" applyFont="1" applyFill="1" applyBorder="1" applyAlignment="1">
      <alignment horizontal="center"/>
    </xf>
    <xf numFmtId="0" fontId="109" fillId="2" borderId="26" xfId="0" applyFont="1" applyFill="1" applyBorder="1" applyAlignment="1">
      <alignment horizontal="center"/>
    </xf>
    <xf numFmtId="0" fontId="106" fillId="2" borderId="0" xfId="0" applyFont="1" applyFill="1" applyAlignment="1">
      <alignment horizontal="center"/>
    </xf>
    <xf numFmtId="0" fontId="113" fillId="22" borderId="20" xfId="0" applyFont="1" applyFill="1" applyBorder="1" applyAlignment="1">
      <alignment horizontal="center" vertical="center"/>
    </xf>
    <xf numFmtId="0" fontId="113" fillId="22" borderId="21" xfId="0" applyFont="1" applyFill="1" applyBorder="1" applyAlignment="1">
      <alignment horizontal="center" vertical="center"/>
    </xf>
    <xf numFmtId="0" fontId="113" fillId="22" borderId="28" xfId="0" applyFont="1" applyFill="1" applyBorder="1" applyAlignment="1">
      <alignment horizontal="center" vertical="center"/>
    </xf>
    <xf numFmtId="0" fontId="83" fillId="18" borderId="0" xfId="0" applyFont="1" applyFill="1" applyAlignment="1">
      <alignment horizontal="center"/>
    </xf>
    <xf numFmtId="0" fontId="98" fillId="17" borderId="20" xfId="0" applyFont="1" applyFill="1" applyBorder="1" applyAlignment="1">
      <alignment horizontal="center" vertical="center"/>
    </xf>
    <xf numFmtId="0" fontId="98" fillId="17" borderId="21" xfId="0" applyFont="1" applyFill="1" applyBorder="1" applyAlignment="1">
      <alignment horizontal="center" vertical="center"/>
    </xf>
    <xf numFmtId="0" fontId="98" fillId="17" borderId="28" xfId="0" applyFont="1" applyFill="1" applyBorder="1" applyAlignment="1">
      <alignment horizontal="center" vertical="center"/>
    </xf>
    <xf numFmtId="0" fontId="102" fillId="17" borderId="20" xfId="0" applyFont="1" applyFill="1" applyBorder="1" applyAlignment="1">
      <alignment horizontal="center" vertical="center"/>
    </xf>
    <xf numFmtId="0" fontId="102" fillId="17" borderId="21" xfId="0" applyFont="1" applyFill="1" applyBorder="1" applyAlignment="1">
      <alignment horizontal="center" vertical="center"/>
    </xf>
    <xf numFmtId="0" fontId="102" fillId="17" borderId="28" xfId="0" applyFont="1" applyFill="1" applyBorder="1" applyAlignment="1">
      <alignment horizontal="center" vertical="center"/>
    </xf>
    <xf numFmtId="0" fontId="87" fillId="17" borderId="20" xfId="0" applyFont="1" applyFill="1" applyBorder="1" applyAlignment="1">
      <alignment horizontal="center" vertical="center"/>
    </xf>
    <xf numFmtId="0" fontId="87" fillId="17" borderId="21" xfId="0" applyFont="1" applyFill="1" applyBorder="1" applyAlignment="1">
      <alignment horizontal="center" vertical="center"/>
    </xf>
    <xf numFmtId="0" fontId="87" fillId="17" borderId="28" xfId="0" applyFont="1" applyFill="1" applyBorder="1" applyAlignment="1">
      <alignment horizontal="center" vertical="center"/>
    </xf>
    <xf numFmtId="0" fontId="98" fillId="22" borderId="20" xfId="0" applyFont="1" applyFill="1" applyBorder="1" applyAlignment="1">
      <alignment horizontal="center" vertical="center"/>
    </xf>
    <xf numFmtId="0" fontId="98" fillId="22" borderId="21" xfId="0" applyFont="1" applyFill="1" applyBorder="1" applyAlignment="1">
      <alignment horizontal="center" vertical="center"/>
    </xf>
    <xf numFmtId="0" fontId="98" fillId="22" borderId="28" xfId="0" applyFont="1" applyFill="1" applyBorder="1" applyAlignment="1">
      <alignment horizontal="center" vertical="center"/>
    </xf>
    <xf numFmtId="0" fontId="98" fillId="23" borderId="20" xfId="0" applyFont="1" applyFill="1" applyBorder="1" applyAlignment="1">
      <alignment horizontal="center" vertical="center"/>
    </xf>
    <xf numFmtId="0" fontId="98" fillId="23" borderId="21" xfId="0" applyFont="1" applyFill="1" applyBorder="1" applyAlignment="1">
      <alignment horizontal="center" vertical="center"/>
    </xf>
    <xf numFmtId="0" fontId="98" fillId="23" borderId="28" xfId="0" applyFont="1" applyFill="1" applyBorder="1" applyAlignment="1">
      <alignment horizontal="center" vertical="center"/>
    </xf>
    <xf numFmtId="0" fontId="83" fillId="18" borderId="12" xfId="0" applyFont="1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0" fontId="83" fillId="18" borderId="20" xfId="0" applyFont="1" applyFill="1" applyBorder="1" applyAlignment="1">
      <alignment horizontal="center" vertical="center"/>
    </xf>
    <xf numFmtId="0" fontId="83" fillId="18" borderId="21" xfId="0" applyFont="1" applyFill="1" applyBorder="1" applyAlignment="1">
      <alignment horizontal="center" vertical="center"/>
    </xf>
    <xf numFmtId="0" fontId="83" fillId="18" borderId="28" xfId="0" applyFont="1" applyFill="1" applyBorder="1" applyAlignment="1">
      <alignment horizontal="center" vertical="center"/>
    </xf>
    <xf numFmtId="0" fontId="83" fillId="18" borderId="57" xfId="0" applyFont="1" applyFill="1" applyBorder="1" applyAlignment="1">
      <alignment horizontal="center"/>
    </xf>
    <xf numFmtId="0" fontId="83" fillId="18" borderId="10" xfId="0" applyFont="1" applyFill="1" applyBorder="1" applyAlignment="1">
      <alignment horizontal="center"/>
    </xf>
    <xf numFmtId="0" fontId="83" fillId="18" borderId="23" xfId="0" applyFont="1" applyFill="1" applyBorder="1" applyAlignment="1">
      <alignment horizontal="center"/>
    </xf>
    <xf numFmtId="1" fontId="0" fillId="2" borderId="24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98" fillId="2" borderId="19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1" fontId="0" fillId="17" borderId="21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14" fontId="82" fillId="19" borderId="1" xfId="0" applyNumberFormat="1" applyFont="1" applyFill="1" applyBorder="1" applyAlignment="1">
      <alignment horizontal="center" vertical="center"/>
    </xf>
    <xf numFmtId="14" fontId="82" fillId="19" borderId="4" xfId="0" applyNumberFormat="1" applyFont="1" applyFill="1" applyBorder="1" applyAlignment="1">
      <alignment horizontal="center" vertical="center"/>
    </xf>
    <xf numFmtId="14" fontId="82" fillId="19" borderId="13" xfId="0" applyNumberFormat="1" applyFont="1" applyFill="1" applyBorder="1" applyAlignment="1">
      <alignment horizontal="center" vertical="center"/>
    </xf>
    <xf numFmtId="14" fontId="82" fillId="19" borderId="14" xfId="0" applyNumberFormat="1" applyFont="1" applyFill="1" applyBorder="1" applyAlignment="1">
      <alignment horizontal="center" vertical="center"/>
    </xf>
    <xf numFmtId="14" fontId="82" fillId="17" borderId="1" xfId="0" applyNumberFormat="1" applyFont="1" applyFill="1" applyBorder="1" applyAlignment="1">
      <alignment horizontal="center" vertical="center"/>
    </xf>
    <xf numFmtId="14" fontId="82" fillId="17" borderId="4" xfId="0" applyNumberFormat="1" applyFont="1" applyFill="1" applyBorder="1" applyAlignment="1">
      <alignment horizontal="center" vertical="center"/>
    </xf>
    <xf numFmtId="14" fontId="82" fillId="17" borderId="13" xfId="0" applyNumberFormat="1" applyFont="1" applyFill="1" applyBorder="1" applyAlignment="1">
      <alignment horizontal="center" vertical="center"/>
    </xf>
    <xf numFmtId="14" fontId="82" fillId="17" borderId="14" xfId="0" applyNumberFormat="1" applyFont="1" applyFill="1" applyBorder="1" applyAlignment="1">
      <alignment horizontal="center" vertical="center"/>
    </xf>
    <xf numFmtId="14" fontId="82" fillId="2" borderId="1" xfId="0" applyNumberFormat="1" applyFont="1" applyFill="1" applyBorder="1" applyAlignment="1">
      <alignment horizontal="center" vertical="center"/>
    </xf>
    <xf numFmtId="14" fontId="82" fillId="2" borderId="4" xfId="0" applyNumberFormat="1" applyFont="1" applyFill="1" applyBorder="1" applyAlignment="1">
      <alignment horizontal="center" vertical="center"/>
    </xf>
    <xf numFmtId="14" fontId="82" fillId="2" borderId="18" xfId="0" applyNumberFormat="1" applyFont="1" applyFill="1" applyBorder="1" applyAlignment="1">
      <alignment horizontal="center" vertical="center"/>
    </xf>
    <xf numFmtId="14" fontId="82" fillId="2" borderId="19" xfId="0" applyNumberFormat="1" applyFont="1" applyFill="1" applyBorder="1" applyAlignment="1">
      <alignment horizontal="center" vertical="center"/>
    </xf>
    <xf numFmtId="14" fontId="82" fillId="2" borderId="13" xfId="0" applyNumberFormat="1" applyFont="1" applyFill="1" applyBorder="1" applyAlignment="1">
      <alignment horizontal="center" vertical="center"/>
    </xf>
    <xf numFmtId="14" fontId="82" fillId="2" borderId="14" xfId="0" applyNumberFormat="1" applyFont="1" applyFill="1" applyBorder="1" applyAlignment="1">
      <alignment horizontal="center" vertical="center"/>
    </xf>
    <xf numFmtId="0" fontId="84" fillId="25" borderId="36" xfId="0" applyFont="1" applyFill="1" applyBorder="1" applyAlignment="1">
      <alignment horizontal="center" vertical="center" wrapText="1"/>
    </xf>
    <xf numFmtId="0" fontId="84" fillId="25" borderId="55" xfId="0" applyFont="1" applyFill="1" applyBorder="1" applyAlignment="1">
      <alignment horizontal="center" vertical="center" wrapText="1"/>
    </xf>
    <xf numFmtId="0" fontId="84" fillId="25" borderId="56" xfId="0" applyFont="1" applyFill="1" applyBorder="1" applyAlignment="1">
      <alignment horizontal="center" vertical="center" wrapText="1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" fontId="83" fillId="23" borderId="20" xfId="0" applyNumberFormat="1" applyFont="1" applyFill="1" applyBorder="1" applyAlignment="1">
      <alignment horizontal="center" vertical="center"/>
    </xf>
    <xf numFmtId="1" fontId="83" fillId="23" borderId="21" xfId="0" applyNumberFormat="1" applyFont="1" applyFill="1" applyBorder="1" applyAlignment="1">
      <alignment horizontal="center" vertical="center"/>
    </xf>
    <xf numFmtId="1" fontId="83" fillId="23" borderId="28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 vertical="center"/>
    </xf>
    <xf numFmtId="1" fontId="83" fillId="23" borderId="12" xfId="0" applyNumberFormat="1" applyFont="1" applyFill="1" applyBorder="1" applyAlignment="1">
      <alignment horizontal="center" vertical="center"/>
    </xf>
    <xf numFmtId="14" fontId="82" fillId="23" borderId="1" xfId="0" applyNumberFormat="1" applyFont="1" applyFill="1" applyBorder="1" applyAlignment="1">
      <alignment horizontal="center" vertical="center"/>
    </xf>
    <xf numFmtId="14" fontId="82" fillId="23" borderId="4" xfId="0" applyNumberFormat="1" applyFont="1" applyFill="1" applyBorder="1" applyAlignment="1">
      <alignment horizontal="center" vertical="center"/>
    </xf>
    <xf numFmtId="14" fontId="82" fillId="23" borderId="13" xfId="0" applyNumberFormat="1" applyFont="1" applyFill="1" applyBorder="1" applyAlignment="1">
      <alignment horizontal="center" vertical="center"/>
    </xf>
    <xf numFmtId="14" fontId="82" fillId="23" borderId="14" xfId="0" applyNumberFormat="1" applyFont="1" applyFill="1" applyBorder="1" applyAlignment="1">
      <alignment horizontal="center" vertical="center"/>
    </xf>
    <xf numFmtId="1" fontId="83" fillId="22" borderId="12" xfId="0" applyNumberFormat="1" applyFont="1" applyFill="1" applyBorder="1" applyAlignment="1">
      <alignment horizontal="center" vertical="center"/>
    </xf>
    <xf numFmtId="14" fontId="82" fillId="22" borderId="1" xfId="0" applyNumberFormat="1" applyFont="1" applyFill="1" applyBorder="1" applyAlignment="1">
      <alignment horizontal="center" vertical="center"/>
    </xf>
    <xf numFmtId="14" fontId="82" fillId="22" borderId="4" xfId="0" applyNumberFormat="1" applyFont="1" applyFill="1" applyBorder="1" applyAlignment="1">
      <alignment horizontal="center" vertical="center"/>
    </xf>
    <xf numFmtId="14" fontId="82" fillId="22" borderId="13" xfId="0" applyNumberFormat="1" applyFont="1" applyFill="1" applyBorder="1" applyAlignment="1">
      <alignment horizontal="center" vertical="center"/>
    </xf>
    <xf numFmtId="14" fontId="82" fillId="22" borderId="14" xfId="0" applyNumberFormat="1" applyFont="1" applyFill="1" applyBorder="1" applyAlignment="1">
      <alignment horizontal="center" vertical="center"/>
    </xf>
    <xf numFmtId="14" fontId="82" fillId="2" borderId="84" xfId="0" applyNumberFormat="1" applyFont="1" applyFill="1" applyBorder="1" applyAlignment="1">
      <alignment horizontal="center" vertical="center"/>
    </xf>
    <xf numFmtId="14" fontId="82" fillId="2" borderId="31" xfId="0" applyNumberFormat="1" applyFont="1" applyFill="1" applyBorder="1" applyAlignment="1">
      <alignment horizontal="center" vertical="center"/>
    </xf>
    <xf numFmtId="14" fontId="82" fillId="22" borderId="84" xfId="0" applyNumberFormat="1" applyFont="1" applyFill="1" applyBorder="1" applyAlignment="1">
      <alignment horizontal="center" vertical="center"/>
    </xf>
    <xf numFmtId="14" fontId="82" fillId="22" borderId="31" xfId="0" applyNumberFormat="1" applyFon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14" fontId="82" fillId="0" borderId="28" xfId="0" applyNumberFormat="1" applyFont="1" applyBorder="1" applyAlignment="1">
      <alignment horizontal="center" vertical="center"/>
    </xf>
    <xf numFmtId="0" fontId="83" fillId="22" borderId="12" xfId="0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83" fillId="23" borderId="12" xfId="0" applyFon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1" fontId="0" fillId="23" borderId="80" xfId="0" applyNumberFormat="1" applyFill="1" applyBorder="1" applyAlignment="1">
      <alignment horizontal="center" vertical="center"/>
    </xf>
    <xf numFmtId="1" fontId="0" fillId="23" borderId="82" xfId="0" applyNumberFormat="1" applyFill="1" applyBorder="1" applyAlignment="1">
      <alignment horizontal="center" vertical="center"/>
    </xf>
    <xf numFmtId="14" fontId="82" fillId="23" borderId="73" xfId="0" applyNumberFormat="1" applyFont="1" applyFill="1" applyBorder="1" applyAlignment="1">
      <alignment horizontal="center" vertical="center"/>
    </xf>
    <xf numFmtId="14" fontId="82" fillId="23" borderId="75" xfId="0" applyNumberFormat="1" applyFon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0" fontId="83" fillId="17" borderId="67" xfId="0" applyFont="1" applyFill="1" applyBorder="1" applyAlignment="1">
      <alignment horizontal="center" vertical="center"/>
    </xf>
    <xf numFmtId="0" fontId="98" fillId="19" borderId="6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center"/>
    </xf>
    <xf numFmtId="0" fontId="83" fillId="3" borderId="30" xfId="0" applyFont="1" applyFill="1" applyBorder="1" applyAlignment="1">
      <alignment horizontal="center" vertical="center"/>
    </xf>
    <xf numFmtId="0" fontId="83" fillId="3" borderId="31" xfId="0" applyFont="1" applyFill="1" applyBorder="1" applyAlignment="1">
      <alignment horizontal="center" vertical="center"/>
    </xf>
    <xf numFmtId="0" fontId="83" fillId="2" borderId="20" xfId="0" applyFont="1" applyFill="1" applyBorder="1" applyAlignment="1">
      <alignment horizontal="center" vertical="center"/>
    </xf>
    <xf numFmtId="0" fontId="83" fillId="2" borderId="28" xfId="0" applyFont="1" applyFill="1" applyBorder="1" applyAlignment="1">
      <alignment horizontal="center" vertical="center"/>
    </xf>
    <xf numFmtId="0" fontId="98" fillId="17" borderId="67" xfId="0" applyFont="1" applyFill="1" applyBorder="1" applyAlignment="1">
      <alignment horizontal="center" vertical="center"/>
    </xf>
    <xf numFmtId="0" fontId="83" fillId="19" borderId="67" xfId="0" applyFont="1" applyFill="1" applyBorder="1" applyAlignment="1">
      <alignment horizontal="center" vertical="center"/>
    </xf>
    <xf numFmtId="0" fontId="83" fillId="23" borderId="67" xfId="0" applyFont="1" applyFill="1" applyBorder="1" applyAlignment="1">
      <alignment horizontal="center" vertical="center"/>
    </xf>
    <xf numFmtId="0" fontId="83" fillId="22" borderId="67" xfId="0" applyFont="1" applyFill="1" applyBorder="1" applyAlignment="1">
      <alignment horizontal="center" vertical="center"/>
    </xf>
    <xf numFmtId="14" fontId="51" fillId="23" borderId="74" xfId="0" applyNumberFormat="1" applyFont="1" applyFill="1" applyBorder="1" applyAlignment="1">
      <alignment horizontal="center" vertical="center" wrapText="1"/>
    </xf>
    <xf numFmtId="14" fontId="82" fillId="23" borderId="76" xfId="0" applyNumberFormat="1" applyFont="1" applyFill="1" applyBorder="1" applyAlignment="1">
      <alignment horizontal="center" vertical="center" wrapText="1"/>
    </xf>
    <xf numFmtId="0" fontId="83" fillId="23" borderId="7" xfId="0" applyFont="1" applyFill="1" applyBorder="1" applyAlignment="1">
      <alignment horizontal="center" vertical="center"/>
    </xf>
    <xf numFmtId="0" fontId="93" fillId="16" borderId="36" xfId="0" applyFont="1" applyFill="1" applyBorder="1" applyAlignment="1">
      <alignment horizontal="center"/>
    </xf>
    <xf numFmtId="0" fontId="93" fillId="16" borderId="55" xfId="0" applyFont="1" applyFill="1" applyBorder="1" applyAlignment="1">
      <alignment horizontal="center"/>
    </xf>
    <xf numFmtId="0" fontId="93" fillId="16" borderId="56" xfId="0" applyFont="1" applyFill="1" applyBorder="1" applyAlignment="1">
      <alignment horizontal="center"/>
    </xf>
    <xf numFmtId="0" fontId="83" fillId="4" borderId="18" xfId="0" applyFont="1" applyFill="1" applyBorder="1" applyAlignment="1">
      <alignment horizontal="center"/>
    </xf>
    <xf numFmtId="0" fontId="83" fillId="4" borderId="67" xfId="0" applyFont="1" applyFill="1" applyBorder="1" applyAlignment="1">
      <alignment horizontal="center"/>
    </xf>
    <xf numFmtId="0" fontId="98" fillId="4" borderId="0" xfId="0" applyFont="1" applyFill="1" applyAlignment="1">
      <alignment horizontal="center"/>
    </xf>
    <xf numFmtId="14" fontId="82" fillId="2" borderId="32" xfId="0" applyNumberFormat="1" applyFont="1" applyFill="1" applyBorder="1" applyAlignment="1">
      <alignment horizontal="center" vertical="center"/>
    </xf>
    <xf numFmtId="0" fontId="83" fillId="18" borderId="12" xfId="0" applyFont="1" applyFill="1" applyBorder="1" applyAlignment="1">
      <alignment horizontal="center"/>
    </xf>
    <xf numFmtId="178" fontId="83" fillId="18" borderId="7" xfId="0" applyNumberFormat="1" applyFont="1" applyFill="1" applyBorder="1" applyAlignment="1">
      <alignment horizontal="center"/>
    </xf>
    <xf numFmtId="178" fontId="83" fillId="18" borderId="29" xfId="0" applyNumberFormat="1" applyFont="1" applyFill="1" applyBorder="1" applyAlignment="1">
      <alignment horizontal="center"/>
    </xf>
    <xf numFmtId="178" fontId="83" fillId="18" borderId="8" xfId="0" applyNumberFormat="1" applyFont="1" applyFill="1" applyBorder="1" applyAlignment="1">
      <alignment horizontal="center"/>
    </xf>
    <xf numFmtId="0" fontId="83" fillId="19" borderId="7" xfId="0" applyFont="1" applyFill="1" applyBorder="1" applyAlignment="1">
      <alignment horizontal="center"/>
    </xf>
    <xf numFmtId="0" fontId="83" fillId="19" borderId="29" xfId="0" applyFont="1" applyFill="1" applyBorder="1" applyAlignment="1">
      <alignment horizontal="center"/>
    </xf>
    <xf numFmtId="0" fontId="83" fillId="19" borderId="8" xfId="0" applyFont="1" applyFill="1" applyBorder="1" applyAlignment="1">
      <alignment horizontal="center"/>
    </xf>
    <xf numFmtId="0" fontId="83" fillId="18" borderId="30" xfId="0" applyFont="1" applyFill="1" applyBorder="1" applyAlignment="1">
      <alignment horizontal="center" vertical="center"/>
    </xf>
    <xf numFmtId="0" fontId="83" fillId="18" borderId="34" xfId="0" applyFont="1" applyFill="1" applyBorder="1" applyAlignment="1">
      <alignment horizontal="center" vertical="center"/>
    </xf>
    <xf numFmtId="0" fontId="83" fillId="18" borderId="31" xfId="0" applyFont="1" applyFill="1" applyBorder="1" applyAlignment="1">
      <alignment horizontal="center" vertical="center"/>
    </xf>
    <xf numFmtId="0" fontId="83" fillId="18" borderId="32" xfId="0" applyFont="1" applyFill="1" applyBorder="1" applyAlignment="1">
      <alignment horizontal="center" vertical="center"/>
    </xf>
    <xf numFmtId="0" fontId="83" fillId="18" borderId="53" xfId="0" applyFont="1" applyFill="1" applyBorder="1" applyAlignment="1">
      <alignment horizontal="center" vertical="center"/>
    </xf>
    <xf numFmtId="0" fontId="83" fillId="18" borderId="33" xfId="0" applyFont="1" applyFill="1" applyBorder="1" applyAlignment="1">
      <alignment horizontal="center" vertical="center"/>
    </xf>
    <xf numFmtId="43" fontId="83" fillId="18" borderId="20" xfId="1" applyFont="1" applyFill="1" applyBorder="1" applyAlignment="1">
      <alignment horizontal="center" vertical="center"/>
    </xf>
    <xf numFmtId="43" fontId="83" fillId="18" borderId="21" xfId="1" applyFont="1" applyFill="1" applyBorder="1" applyAlignment="1">
      <alignment horizontal="center" vertical="center"/>
    </xf>
    <xf numFmtId="43" fontId="83" fillId="18" borderId="28" xfId="1" applyFont="1" applyFill="1" applyBorder="1" applyAlignment="1">
      <alignment horizontal="center" vertical="center"/>
    </xf>
    <xf numFmtId="0" fontId="83" fillId="18" borderId="20" xfId="0" applyFont="1" applyFill="1" applyBorder="1" applyAlignment="1">
      <alignment horizontal="center" vertical="center" wrapText="1"/>
    </xf>
    <xf numFmtId="0" fontId="83" fillId="18" borderId="21" xfId="0" applyFont="1" applyFill="1" applyBorder="1" applyAlignment="1">
      <alignment horizontal="center" vertical="center" wrapText="1"/>
    </xf>
    <xf numFmtId="0" fontId="83" fillId="18" borderId="28" xfId="0" applyFont="1" applyFill="1" applyBorder="1" applyAlignment="1">
      <alignment horizontal="center" vertical="center" wrapText="1"/>
    </xf>
    <xf numFmtId="0" fontId="83" fillId="18" borderId="20" xfId="0" applyFont="1" applyFill="1" applyBorder="1" applyAlignment="1">
      <alignment horizontal="center" wrapText="1"/>
    </xf>
    <xf numFmtId="0" fontId="83" fillId="18" borderId="28" xfId="0" applyFont="1" applyFill="1" applyBorder="1" applyAlignment="1">
      <alignment horizontal="center" wrapText="1"/>
    </xf>
    <xf numFmtId="0" fontId="102" fillId="4" borderId="36" xfId="0" applyFont="1" applyFill="1" applyBorder="1" applyAlignment="1">
      <alignment horizontal="center"/>
    </xf>
    <xf numFmtId="0" fontId="102" fillId="4" borderId="55" xfId="0" applyFont="1" applyFill="1" applyBorder="1" applyAlignment="1">
      <alignment horizontal="center"/>
    </xf>
    <xf numFmtId="0" fontId="102" fillId="4" borderId="56" xfId="0" applyFont="1" applyFill="1" applyBorder="1" applyAlignment="1">
      <alignment horizontal="center"/>
    </xf>
    <xf numFmtId="0" fontId="83" fillId="18" borderId="12" xfId="0" applyFont="1" applyFill="1" applyBorder="1" applyAlignment="1">
      <alignment horizontal="center" vertical="center" wrapText="1"/>
    </xf>
    <xf numFmtId="17" fontId="102" fillId="4" borderId="36" xfId="0" applyNumberFormat="1" applyFont="1" applyFill="1" applyBorder="1" applyAlignment="1">
      <alignment horizontal="center"/>
    </xf>
    <xf numFmtId="17" fontId="102" fillId="4" borderId="55" xfId="0" applyNumberFormat="1" applyFont="1" applyFill="1" applyBorder="1" applyAlignment="1">
      <alignment horizontal="center"/>
    </xf>
    <xf numFmtId="17" fontId="102" fillId="4" borderId="56" xfId="0" applyNumberFormat="1" applyFont="1" applyFill="1" applyBorder="1" applyAlignment="1">
      <alignment horizontal="center"/>
    </xf>
    <xf numFmtId="0" fontId="97" fillId="4" borderId="1" xfId="0" applyFont="1" applyFill="1" applyBorder="1" applyAlignment="1">
      <alignment horizontal="center" vertical="center"/>
    </xf>
    <xf numFmtId="0" fontId="97" fillId="4" borderId="2" xfId="0" applyFont="1" applyFill="1" applyBorder="1" applyAlignment="1">
      <alignment horizontal="center" vertical="center"/>
    </xf>
    <xf numFmtId="0" fontId="97" fillId="4" borderId="3" xfId="0" applyFont="1" applyFill="1" applyBorder="1" applyAlignment="1">
      <alignment horizontal="center" vertical="center"/>
    </xf>
    <xf numFmtId="0" fontId="97" fillId="4" borderId="13" xfId="0" applyFont="1" applyFill="1" applyBorder="1" applyAlignment="1">
      <alignment horizontal="center" vertical="center"/>
    </xf>
    <xf numFmtId="0" fontId="97" fillId="4" borderId="51" xfId="0" applyFont="1" applyFill="1" applyBorder="1" applyAlignment="1">
      <alignment horizontal="center" vertical="center"/>
    </xf>
    <xf numFmtId="0" fontId="97" fillId="4" borderId="26" xfId="0" applyFont="1" applyFill="1" applyBorder="1" applyAlignment="1">
      <alignment horizontal="center" vertical="center"/>
    </xf>
    <xf numFmtId="20" fontId="90" fillId="11" borderId="7" xfId="0" applyNumberFormat="1" applyFont="1" applyFill="1" applyBorder="1" applyAlignment="1">
      <alignment horizontal="center" vertical="center"/>
    </xf>
    <xf numFmtId="20" fontId="90" fillId="11" borderId="29" xfId="0" applyNumberFormat="1" applyFont="1" applyFill="1" applyBorder="1" applyAlignment="1">
      <alignment horizontal="center" vertical="center"/>
    </xf>
    <xf numFmtId="20" fontId="90" fillId="11" borderId="8" xfId="0" applyNumberFormat="1" applyFont="1" applyFill="1" applyBorder="1" applyAlignment="1">
      <alignment horizontal="center" vertical="center"/>
    </xf>
    <xf numFmtId="20" fontId="92" fillId="10" borderId="7" xfId="0" applyNumberFormat="1" applyFont="1" applyFill="1" applyBorder="1" applyAlignment="1">
      <alignment horizontal="center"/>
    </xf>
    <xf numFmtId="20" fontId="92" fillId="10" borderId="29" xfId="0" applyNumberFormat="1" applyFont="1" applyFill="1" applyBorder="1" applyAlignment="1">
      <alignment horizontal="center"/>
    </xf>
    <xf numFmtId="20" fontId="92" fillId="10" borderId="8" xfId="0" applyNumberFormat="1" applyFont="1" applyFill="1" applyBorder="1" applyAlignment="1">
      <alignment horizontal="center"/>
    </xf>
    <xf numFmtId="0" fontId="90" fillId="11" borderId="29" xfId="0" applyFont="1" applyFill="1" applyBorder="1" applyAlignment="1">
      <alignment horizontal="center" vertical="center"/>
    </xf>
    <xf numFmtId="0" fontId="90" fillId="11" borderId="8" xfId="0" applyFont="1" applyFill="1" applyBorder="1" applyAlignment="1">
      <alignment horizontal="center" vertical="center"/>
    </xf>
    <xf numFmtId="0" fontId="90" fillId="11" borderId="7" xfId="0" applyFont="1" applyFill="1" applyBorder="1" applyAlignment="1">
      <alignment horizontal="center" vertical="center"/>
    </xf>
    <xf numFmtId="14" fontId="88" fillId="7" borderId="5" xfId="0" applyNumberFormat="1" applyFont="1" applyFill="1" applyBorder="1" applyAlignment="1">
      <alignment horizontal="center" vertical="center"/>
    </xf>
    <xf numFmtId="14" fontId="88" fillId="7" borderId="21" xfId="0" applyNumberFormat="1" applyFont="1" applyFill="1" applyBorder="1" applyAlignment="1">
      <alignment horizontal="center" vertical="center"/>
    </xf>
    <xf numFmtId="0" fontId="89" fillId="2" borderId="20" xfId="0" applyFont="1" applyFill="1" applyBorder="1" applyAlignment="1">
      <alignment horizontal="center"/>
    </xf>
    <xf numFmtId="0" fontId="89" fillId="2" borderId="21" xfId="0" applyFont="1" applyFill="1" applyBorder="1" applyAlignment="1">
      <alignment horizontal="center"/>
    </xf>
    <xf numFmtId="0" fontId="89" fillId="2" borderId="28" xfId="0" applyFont="1" applyFill="1" applyBorder="1" applyAlignment="1">
      <alignment horizontal="center"/>
    </xf>
    <xf numFmtId="0" fontId="89" fillId="2" borderId="20" xfId="0" applyFont="1" applyFill="1" applyBorder="1" applyAlignment="1">
      <alignment horizontal="center" vertical="center"/>
    </xf>
    <xf numFmtId="0" fontId="89" fillId="2" borderId="21" xfId="0" applyFont="1" applyFill="1" applyBorder="1" applyAlignment="1">
      <alignment horizontal="center" vertical="center"/>
    </xf>
    <xf numFmtId="0" fontId="89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83" fillId="10" borderId="12" xfId="0" applyFont="1" applyFill="1" applyBorder="1" applyAlignment="1">
      <alignment horizontal="center" vertical="center"/>
    </xf>
    <xf numFmtId="14" fontId="88" fillId="7" borderId="20" xfId="0" applyNumberFormat="1" applyFont="1" applyFill="1" applyBorder="1" applyAlignment="1">
      <alignment horizontal="center" vertical="center"/>
    </xf>
    <xf numFmtId="0" fontId="83" fillId="10" borderId="12" xfId="0" applyFont="1" applyFill="1" applyBorder="1" applyAlignment="1">
      <alignment horizontal="center"/>
    </xf>
    <xf numFmtId="14" fontId="88" fillId="7" borderId="57" xfId="0" applyNumberFormat="1" applyFont="1" applyFill="1" applyBorder="1" applyAlignment="1">
      <alignment horizontal="center" vertical="center"/>
    </xf>
    <xf numFmtId="14" fontId="88" fillId="7" borderId="60" xfId="0" applyNumberFormat="1" applyFont="1" applyFill="1" applyBorder="1" applyAlignment="1">
      <alignment horizontal="center" vertical="center"/>
    </xf>
    <xf numFmtId="14" fontId="88" fillId="7" borderId="24" xfId="0" applyNumberFormat="1" applyFont="1" applyFill="1" applyBorder="1" applyAlignment="1">
      <alignment horizontal="center" vertical="center"/>
    </xf>
    <xf numFmtId="14" fontId="88" fillId="7" borderId="12" xfId="0" applyNumberFormat="1" applyFont="1" applyFill="1" applyBorder="1" applyAlignment="1">
      <alignment horizontal="center" vertical="center"/>
    </xf>
    <xf numFmtId="14" fontId="88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89" fillId="2" borderId="12" xfId="0" applyFont="1" applyFill="1" applyBorder="1"/>
    <xf numFmtId="14" fontId="88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88" fillId="2" borderId="12" xfId="0" applyFont="1" applyFill="1" applyBorder="1" applyAlignment="1">
      <alignment horizontal="left" vertical="top" wrapText="1"/>
    </xf>
    <xf numFmtId="0" fontId="88" fillId="8" borderId="12" xfId="0" applyFont="1" applyFill="1" applyBorder="1" applyAlignment="1">
      <alignment horizontal="center" vertical="center"/>
    </xf>
    <xf numFmtId="0" fontId="88" fillId="8" borderId="20" xfId="0" applyFont="1" applyFill="1" applyBorder="1" applyAlignment="1">
      <alignment horizontal="center" vertical="center"/>
    </xf>
    <xf numFmtId="0" fontId="88" fillId="8" borderId="21" xfId="0" applyFont="1" applyFill="1" applyBorder="1" applyAlignment="1">
      <alignment horizontal="center" vertical="center"/>
    </xf>
    <xf numFmtId="0" fontId="88" fillId="8" borderId="28" xfId="0" applyFont="1" applyFill="1" applyBorder="1" applyAlignment="1">
      <alignment horizontal="center" vertical="center"/>
    </xf>
    <xf numFmtId="0" fontId="88" fillId="2" borderId="59" xfId="0" applyFont="1" applyFill="1" applyBorder="1" applyAlignment="1">
      <alignment horizontal="center" vertical="top" wrapText="1"/>
    </xf>
    <xf numFmtId="0" fontId="88" fillId="2" borderId="61" xfId="0" applyFont="1" applyFill="1" applyBorder="1" applyAlignment="1">
      <alignment horizontal="center" vertical="top" wrapText="1"/>
    </xf>
    <xf numFmtId="0" fontId="88" fillId="2" borderId="62" xfId="0" applyFont="1" applyFill="1" applyBorder="1" applyAlignment="1">
      <alignment horizontal="center" vertical="top" wrapText="1"/>
    </xf>
    <xf numFmtId="0" fontId="88" fillId="2" borderId="63" xfId="0" applyFont="1" applyFill="1" applyBorder="1" applyAlignment="1">
      <alignment horizontal="center" vertical="top" wrapText="1"/>
    </xf>
    <xf numFmtId="0" fontId="88" fillId="2" borderId="64" xfId="0" applyFont="1" applyFill="1" applyBorder="1" applyAlignment="1">
      <alignment horizontal="center" vertical="top" wrapText="1"/>
    </xf>
    <xf numFmtId="0" fontId="88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82" fillId="23" borderId="18" xfId="0" applyNumberFormat="1" applyFont="1" applyFill="1" applyBorder="1" applyAlignment="1">
      <alignment horizontal="center" vertical="center"/>
    </xf>
    <xf numFmtId="14" fontId="82" fillId="23" borderId="19" xfId="0" applyNumberFormat="1" applyFon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 vertical="center"/>
    </xf>
    <xf numFmtId="14" fontId="82" fillId="23" borderId="36" xfId="0" applyNumberFormat="1" applyFont="1" applyFill="1" applyBorder="1" applyAlignment="1">
      <alignment horizontal="center" vertical="center"/>
    </xf>
    <xf numFmtId="14" fontId="82" fillId="23" borderId="37" xfId="0" applyNumberFormat="1" applyFont="1" applyFill="1" applyBorder="1" applyAlignment="1">
      <alignment horizontal="center" vertical="center"/>
    </xf>
    <xf numFmtId="14" fontId="82" fillId="0" borderId="30" xfId="0" applyNumberFormat="1" applyFont="1" applyBorder="1" applyAlignment="1">
      <alignment horizontal="center" vertical="center"/>
    </xf>
    <xf numFmtId="14" fontId="82" fillId="0" borderId="31" xfId="0" applyNumberFormat="1" applyFont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51" fillId="23" borderId="5" xfId="0" applyNumberFormat="1" applyFont="1" applyFill="1" applyBorder="1" applyAlignment="1">
      <alignment horizontal="center" vertical="center" wrapText="1"/>
    </xf>
    <xf numFmtId="14" fontId="82" fillId="23" borderId="21" xfId="0" applyNumberFormat="1" applyFont="1" applyFill="1" applyBorder="1" applyAlignment="1">
      <alignment horizontal="center" vertical="center" wrapText="1"/>
    </xf>
    <xf numFmtId="1" fontId="0" fillId="22" borderId="12" xfId="0" applyNumberFormat="1" applyFill="1" applyBorder="1" applyAlignment="1">
      <alignment horizontal="center"/>
    </xf>
    <xf numFmtId="0" fontId="0" fillId="23" borderId="21" xfId="0" applyFill="1" applyBorder="1" applyAlignment="1">
      <alignment horizontal="center" vertical="center"/>
    </xf>
    <xf numFmtId="1" fontId="0" fillId="22" borderId="23" xfId="0" applyNumberFormat="1" applyFill="1" applyBorder="1" applyAlignment="1">
      <alignment horizontal="center" vertical="center"/>
    </xf>
    <xf numFmtId="1" fontId="0" fillId="22" borderId="25" xfId="0" applyNumberFormat="1" applyFill="1" applyBorder="1" applyAlignment="1">
      <alignment horizontal="center" vertical="center"/>
    </xf>
    <xf numFmtId="1" fontId="0" fillId="22" borderId="11" xfId="0" applyNumberFormat="1" applyFill="1" applyBorder="1" applyAlignment="1">
      <alignment horizontal="center" vertical="center"/>
    </xf>
    <xf numFmtId="1" fontId="0" fillId="2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/>
    </xf>
    <xf numFmtId="0" fontId="83" fillId="22" borderId="0" xfId="0" applyFont="1" applyFill="1" applyAlignment="1">
      <alignment horizontal="center" vertical="center"/>
    </xf>
    <xf numFmtId="1" fontId="0" fillId="19" borderId="25" xfId="0" applyNumberFormat="1" applyFill="1" applyBorder="1" applyAlignment="1">
      <alignment vertical="center"/>
    </xf>
    <xf numFmtId="1" fontId="0" fillId="19" borderId="54" xfId="0" applyNumberFormat="1" applyFill="1" applyBorder="1" applyAlignment="1">
      <alignment vertical="center"/>
    </xf>
    <xf numFmtId="2" fontId="0" fillId="19" borderId="11" xfId="0" applyNumberFormat="1" applyFill="1" applyBorder="1" applyAlignment="1">
      <alignment vertical="center"/>
    </xf>
    <xf numFmtId="189" fontId="0" fillId="2" borderId="0" xfId="0" applyNumberFormat="1" applyFill="1"/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6050</c:v>
                </c:pt>
                <c:pt idx="1">
                  <c:v>4150</c:v>
                </c:pt>
                <c:pt idx="2">
                  <c:v>4000</c:v>
                </c:pt>
                <c:pt idx="3">
                  <c:v>325</c:v>
                </c:pt>
                <c:pt idx="4" formatCode="0">
                  <c:v>100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'Reagent Consumption'!$X$13:$AC$13</c:f>
              <c:numCache>
                <c:formatCode>General</c:formatCode>
                <c:ptCount val="6"/>
              </c:numCache>
            </c:num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1.5146570589961554</c:v>
                </c:pt>
                <c:pt idx="1">
                  <c:v>1.0389796355097596</c:v>
                </c:pt>
                <c:pt idx="2">
                  <c:v>1.001426154708202</c:v>
                </c:pt>
                <c:pt idx="3">
                  <c:v>8.1365875070041407E-2</c:v>
                </c:pt>
                <c:pt idx="4">
                  <c:v>2.5035653867705052E-2</c:v>
                </c:pt>
                <c:pt idx="5">
                  <c:v>5.2574873122180607E-2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Running Time Vs Downtime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'Milling Down Time Hours'!$Q$4</c:f>
              <c:strCache>
                <c:ptCount val="1"/>
                <c:pt idx="0">
                  <c:v>Running Time (Hr)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Hours'!$O$5:$O$32</c:f>
              <c:numCache>
                <c:formatCode>m/d/yyyy</c:formatCode>
                <c:ptCount val="2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</c:numCache>
            </c:numRef>
          </c:cat>
          <c:val>
            <c:numRef>
              <c:f>'Milling Down Time Hours'!$Q$5:$Q$32</c:f>
              <c:numCache>
                <c:formatCode>0</c:formatCode>
                <c:ptCount val="28"/>
                <c:pt idx="0">
                  <c:v>22.433333333333334</c:v>
                </c:pt>
                <c:pt idx="1">
                  <c:v>22.9</c:v>
                </c:pt>
                <c:pt idx="2">
                  <c:v>22</c:v>
                </c:pt>
                <c:pt idx="3">
                  <c:v>23</c:v>
                </c:pt>
                <c:pt idx="4">
                  <c:v>0</c:v>
                </c:pt>
                <c:pt idx="5">
                  <c:v>11</c:v>
                </c:pt>
                <c:pt idx="6">
                  <c:v>21.833333333333332</c:v>
                </c:pt>
                <c:pt idx="7">
                  <c:v>22.45</c:v>
                </c:pt>
                <c:pt idx="8">
                  <c:v>19.783333333333335</c:v>
                </c:pt>
                <c:pt idx="9">
                  <c:v>12.45</c:v>
                </c:pt>
                <c:pt idx="10">
                  <c:v>21.033333333333335</c:v>
                </c:pt>
                <c:pt idx="11">
                  <c:v>12.983333333333333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 formatCode="General">
                  <c:v>24</c:v>
                </c:pt>
                <c:pt idx="16">
                  <c:v>22.933333333333334</c:v>
                </c:pt>
                <c:pt idx="17">
                  <c:v>24</c:v>
                </c:pt>
                <c:pt idx="18">
                  <c:v>21.083333333333332</c:v>
                </c:pt>
                <c:pt idx="19">
                  <c:v>18</c:v>
                </c:pt>
                <c:pt idx="20">
                  <c:v>0</c:v>
                </c:pt>
                <c:pt idx="21">
                  <c:v>13.916666666666666</c:v>
                </c:pt>
                <c:pt idx="22">
                  <c:v>21.25</c:v>
                </c:pt>
                <c:pt idx="23">
                  <c:v>19.5</c:v>
                </c:pt>
                <c:pt idx="24">
                  <c:v>24</c:v>
                </c:pt>
                <c:pt idx="25">
                  <c:v>9.3166666666666664</c:v>
                </c:pt>
                <c:pt idx="26">
                  <c:v>0</c:v>
                </c:pt>
                <c:pt idx="2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19-82C2-EAF8D9D42658}"/>
            </c:ext>
          </c:extLst>
        </c:ser>
        <c:ser>
          <c:idx val="1"/>
          <c:order val="1"/>
          <c:tx>
            <c:strRef>
              <c:f>'Milling Down Time Hours'!$S$4</c:f>
              <c:strCache>
                <c:ptCount val="1"/>
                <c:pt idx="0">
                  <c:v>Downtime (hr)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Hours'!$O$5:$O$32</c:f>
              <c:numCache>
                <c:formatCode>m/d/yyyy</c:formatCode>
                <c:ptCount val="2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</c:numCache>
            </c:numRef>
          </c:cat>
          <c:val>
            <c:numRef>
              <c:f>'Milling Down Time Hours'!$S$5:$S$33</c:f>
              <c:numCache>
                <c:formatCode>0</c:formatCode>
                <c:ptCount val="29"/>
                <c:pt idx="0">
                  <c:v>1.5666666666666667</c:v>
                </c:pt>
                <c:pt idx="1">
                  <c:v>1.1000000000000001</c:v>
                </c:pt>
                <c:pt idx="2">
                  <c:v>2.0000000000000004</c:v>
                </c:pt>
                <c:pt idx="3">
                  <c:v>1.0000000000000002</c:v>
                </c:pt>
                <c:pt idx="4">
                  <c:v>24</c:v>
                </c:pt>
                <c:pt idx="5">
                  <c:v>13</c:v>
                </c:pt>
                <c:pt idx="6">
                  <c:v>2.1666666666666665</c:v>
                </c:pt>
                <c:pt idx="7">
                  <c:v>1.55</c:v>
                </c:pt>
                <c:pt idx="8">
                  <c:v>4.2166666666666668</c:v>
                </c:pt>
                <c:pt idx="9">
                  <c:v>11.55</c:v>
                </c:pt>
                <c:pt idx="10">
                  <c:v>2.9666666666666668</c:v>
                </c:pt>
                <c:pt idx="11">
                  <c:v>11.016666666666667</c:v>
                </c:pt>
                <c:pt idx="12">
                  <c:v>24</c:v>
                </c:pt>
                <c:pt idx="13">
                  <c:v>24</c:v>
                </c:pt>
                <c:pt idx="14">
                  <c:v>14</c:v>
                </c:pt>
                <c:pt idx="15">
                  <c:v>0</c:v>
                </c:pt>
                <c:pt idx="16">
                  <c:v>1.0666666666666667</c:v>
                </c:pt>
                <c:pt idx="17">
                  <c:v>0</c:v>
                </c:pt>
                <c:pt idx="18">
                  <c:v>2.9166666666666665</c:v>
                </c:pt>
                <c:pt idx="19">
                  <c:v>6</c:v>
                </c:pt>
                <c:pt idx="20">
                  <c:v>24</c:v>
                </c:pt>
                <c:pt idx="21">
                  <c:v>10.083333333333334</c:v>
                </c:pt>
                <c:pt idx="22">
                  <c:v>2.75</c:v>
                </c:pt>
                <c:pt idx="23">
                  <c:v>4.5</c:v>
                </c:pt>
                <c:pt idx="24">
                  <c:v>0</c:v>
                </c:pt>
                <c:pt idx="25">
                  <c:v>14.683333333333334</c:v>
                </c:pt>
                <c:pt idx="26">
                  <c:v>24</c:v>
                </c:pt>
                <c:pt idx="27">
                  <c:v>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3-4F19-82C2-EAF8D9D42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3543247"/>
        <c:axId val="438439407"/>
      </c:barChart>
      <c:dateAx>
        <c:axId val="443543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9407"/>
        <c:crosses val="autoZero"/>
        <c:auto val="1"/>
        <c:lblOffset val="100"/>
        <c:baseTimeUnit val="days"/>
      </c:dateAx>
      <c:valAx>
        <c:axId val="4384394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Inventory'!$Q$9:$Q$135</c:f>
              <c:numCache>
                <c:formatCode>General</c:formatCode>
                <c:ptCount val="1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17</c:v>
                </c:pt>
                <c:pt idx="15">
                  <c:v>21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77</c:v>
                </c:pt>
                <c:pt idx="65">
                  <c:v>78</c:v>
                </c:pt>
                <c:pt idx="66">
                  <c:v>79</c:v>
                </c:pt>
                <c:pt idx="67">
                  <c:v>80</c:v>
                </c:pt>
                <c:pt idx="68">
                  <c:v>81</c:v>
                </c:pt>
                <c:pt idx="69">
                  <c:v>82</c:v>
                </c:pt>
                <c:pt idx="70">
                  <c:v>83</c:v>
                </c:pt>
                <c:pt idx="71">
                  <c:v>84</c:v>
                </c:pt>
                <c:pt idx="72">
                  <c:v>85</c:v>
                </c:pt>
                <c:pt idx="73">
                  <c:v>86</c:v>
                </c:pt>
                <c:pt idx="74">
                  <c:v>87</c:v>
                </c:pt>
                <c:pt idx="75">
                  <c:v>88</c:v>
                </c:pt>
                <c:pt idx="76">
                  <c:v>89</c:v>
                </c:pt>
                <c:pt idx="77">
                  <c:v>90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>95</c:v>
                </c:pt>
                <c:pt idx="83">
                  <c:v>96</c:v>
                </c:pt>
                <c:pt idx="84">
                  <c:v>97</c:v>
                </c:pt>
                <c:pt idx="85">
                  <c:v>98</c:v>
                </c:pt>
                <c:pt idx="86">
                  <c:v>99</c:v>
                </c:pt>
                <c:pt idx="87">
                  <c:v>100</c:v>
                </c:pt>
                <c:pt idx="88">
                  <c:v>101</c:v>
                </c:pt>
                <c:pt idx="89">
                  <c:v>102</c:v>
                </c:pt>
                <c:pt idx="90">
                  <c:v>103</c:v>
                </c:pt>
                <c:pt idx="91">
                  <c:v>104</c:v>
                </c:pt>
                <c:pt idx="92">
                  <c:v>105</c:v>
                </c:pt>
                <c:pt idx="93">
                  <c:v>106</c:v>
                </c:pt>
                <c:pt idx="94">
                  <c:v>107</c:v>
                </c:pt>
                <c:pt idx="95">
                  <c:v>108</c:v>
                </c:pt>
                <c:pt idx="96">
                  <c:v>109</c:v>
                </c:pt>
                <c:pt idx="97">
                  <c:v>110</c:v>
                </c:pt>
                <c:pt idx="98">
                  <c:v>111</c:v>
                </c:pt>
                <c:pt idx="99">
                  <c:v>112</c:v>
                </c:pt>
                <c:pt idx="100">
                  <c:v>113</c:v>
                </c:pt>
                <c:pt idx="101">
                  <c:v>114</c:v>
                </c:pt>
                <c:pt idx="102">
                  <c:v>115</c:v>
                </c:pt>
                <c:pt idx="103">
                  <c:v>116</c:v>
                </c:pt>
                <c:pt idx="104">
                  <c:v>117</c:v>
                </c:pt>
                <c:pt idx="105">
                  <c:v>118</c:v>
                </c:pt>
                <c:pt idx="106">
                  <c:v>119</c:v>
                </c:pt>
                <c:pt idx="107">
                  <c:v>120</c:v>
                </c:pt>
                <c:pt idx="108">
                  <c:v>121</c:v>
                </c:pt>
                <c:pt idx="109">
                  <c:v>122</c:v>
                </c:pt>
                <c:pt idx="110">
                  <c:v>123</c:v>
                </c:pt>
                <c:pt idx="111">
                  <c:v>124</c:v>
                </c:pt>
                <c:pt idx="112">
                  <c:v>125</c:v>
                </c:pt>
                <c:pt idx="113">
                  <c:v>126</c:v>
                </c:pt>
                <c:pt idx="114">
                  <c:v>127</c:v>
                </c:pt>
                <c:pt idx="115">
                  <c:v>128</c:v>
                </c:pt>
                <c:pt idx="116">
                  <c:v>129</c:v>
                </c:pt>
                <c:pt idx="117">
                  <c:v>130</c:v>
                </c:pt>
                <c:pt idx="118">
                  <c:v>131</c:v>
                </c:pt>
                <c:pt idx="119">
                  <c:v>132</c:v>
                </c:pt>
                <c:pt idx="120">
                  <c:v>133</c:v>
                </c:pt>
                <c:pt idx="121">
                  <c:v>134</c:v>
                </c:pt>
                <c:pt idx="122">
                  <c:v>135</c:v>
                </c:pt>
                <c:pt idx="123">
                  <c:v>136</c:v>
                </c:pt>
                <c:pt idx="124">
                  <c:v>137</c:v>
                </c:pt>
                <c:pt idx="125">
                  <c:v>138</c:v>
                </c:pt>
                <c:pt idx="126">
                  <c:v>139</c:v>
                </c:pt>
              </c:numCache>
            </c:numRef>
          </c:xVal>
          <c:yVal>
            <c:numRef>
              <c:f>'Rom File Inventory'!$T$9:$T$135</c:f>
              <c:numCache>
                <c:formatCode>General</c:formatCode>
                <c:ptCount val="127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0.60399999999999998</c:v>
                </c:pt>
                <c:pt idx="15">
                  <c:v>1.2390000000000001</c:v>
                </c:pt>
                <c:pt idx="16">
                  <c:v>0.79700000000000004</c:v>
                </c:pt>
                <c:pt idx="17">
                  <c:v>1.3919999999999999</c:v>
                </c:pt>
                <c:pt idx="18">
                  <c:v>0.70699999999999996</c:v>
                </c:pt>
                <c:pt idx="19">
                  <c:v>1.2350000000000001</c:v>
                </c:pt>
                <c:pt idx="20">
                  <c:v>1.0349999999999999</c:v>
                </c:pt>
                <c:pt idx="21">
                  <c:v>0.52600000000000002</c:v>
                </c:pt>
                <c:pt idx="22">
                  <c:v>0.81599999999999995</c:v>
                </c:pt>
                <c:pt idx="23">
                  <c:v>0.34399999999999997</c:v>
                </c:pt>
                <c:pt idx="24">
                  <c:v>0.30399999999999999</c:v>
                </c:pt>
                <c:pt idx="25">
                  <c:v>0.74399999999999999</c:v>
                </c:pt>
                <c:pt idx="26">
                  <c:v>0.56299999999999994</c:v>
                </c:pt>
                <c:pt idx="27">
                  <c:v>0.438</c:v>
                </c:pt>
                <c:pt idx="28">
                  <c:v>0.45800000000000002</c:v>
                </c:pt>
                <c:pt idx="29">
                  <c:v>0.55800000000000005</c:v>
                </c:pt>
                <c:pt idx="30">
                  <c:v>0.501</c:v>
                </c:pt>
                <c:pt idx="31">
                  <c:v>1.25</c:v>
                </c:pt>
                <c:pt idx="32">
                  <c:v>0.35099999999999998</c:v>
                </c:pt>
                <c:pt idx="33">
                  <c:v>2.028</c:v>
                </c:pt>
                <c:pt idx="34">
                  <c:v>1.8380000000000001</c:v>
                </c:pt>
                <c:pt idx="35">
                  <c:v>1.3220000000000001</c:v>
                </c:pt>
                <c:pt idx="36">
                  <c:v>0.65100000000000002</c:v>
                </c:pt>
                <c:pt idx="37">
                  <c:v>0.50600000000000001</c:v>
                </c:pt>
                <c:pt idx="38">
                  <c:v>0.67300000000000004</c:v>
                </c:pt>
                <c:pt idx="39">
                  <c:v>0.66200000000000003</c:v>
                </c:pt>
                <c:pt idx="40">
                  <c:v>0.55500000000000005</c:v>
                </c:pt>
                <c:pt idx="41">
                  <c:v>0.81299999999999994</c:v>
                </c:pt>
                <c:pt idx="42">
                  <c:v>1.147</c:v>
                </c:pt>
                <c:pt idx="43">
                  <c:v>1.9410000000000001</c:v>
                </c:pt>
                <c:pt idx="44">
                  <c:v>0.48899999999999999</c:v>
                </c:pt>
                <c:pt idx="45">
                  <c:v>0.55600000000000005</c:v>
                </c:pt>
                <c:pt idx="46">
                  <c:v>3.032</c:v>
                </c:pt>
                <c:pt idx="47">
                  <c:v>0.63200000000000001</c:v>
                </c:pt>
                <c:pt idx="48">
                  <c:v>1.0429999999999999</c:v>
                </c:pt>
                <c:pt idx="49">
                  <c:v>1.59</c:v>
                </c:pt>
                <c:pt idx="50">
                  <c:v>0.33700000000000002</c:v>
                </c:pt>
                <c:pt idx="51">
                  <c:v>0.252</c:v>
                </c:pt>
                <c:pt idx="52">
                  <c:v>0.90500000000000003</c:v>
                </c:pt>
                <c:pt idx="53">
                  <c:v>0.91200000000000003</c:v>
                </c:pt>
                <c:pt idx="54">
                  <c:v>0.21199999999999999</c:v>
                </c:pt>
                <c:pt idx="55">
                  <c:v>0.32300000000000001</c:v>
                </c:pt>
                <c:pt idx="56">
                  <c:v>0.63500000000000001</c:v>
                </c:pt>
                <c:pt idx="57">
                  <c:v>0.45500000000000002</c:v>
                </c:pt>
                <c:pt idx="58">
                  <c:v>9.9000000000000005E-2</c:v>
                </c:pt>
                <c:pt idx="59">
                  <c:v>0.69599999999999995</c:v>
                </c:pt>
                <c:pt idx="60">
                  <c:v>0.34</c:v>
                </c:pt>
                <c:pt idx="61">
                  <c:v>0.98199999999999998</c:v>
                </c:pt>
                <c:pt idx="62">
                  <c:v>1.0880000000000001</c:v>
                </c:pt>
                <c:pt idx="63">
                  <c:v>0.57399999999999995</c:v>
                </c:pt>
                <c:pt idx="64">
                  <c:v>0.35399999999999998</c:v>
                </c:pt>
                <c:pt idx="65">
                  <c:v>0.80200000000000005</c:v>
                </c:pt>
                <c:pt idx="66">
                  <c:v>0.16</c:v>
                </c:pt>
                <c:pt idx="67">
                  <c:v>0.96199999999999997</c:v>
                </c:pt>
                <c:pt idx="68">
                  <c:v>0.42199999999999999</c:v>
                </c:pt>
                <c:pt idx="69">
                  <c:v>0.16700000000000001</c:v>
                </c:pt>
                <c:pt idx="70">
                  <c:v>0.31</c:v>
                </c:pt>
                <c:pt idx="71">
                  <c:v>0.23100000000000001</c:v>
                </c:pt>
                <c:pt idx="72">
                  <c:v>2.5209999999999999</c:v>
                </c:pt>
                <c:pt idx="73">
                  <c:v>0.308</c:v>
                </c:pt>
                <c:pt idx="74">
                  <c:v>0.35099999999999998</c:v>
                </c:pt>
                <c:pt idx="75">
                  <c:v>0.751</c:v>
                </c:pt>
                <c:pt idx="76">
                  <c:v>0.60399999999999998</c:v>
                </c:pt>
                <c:pt idx="77">
                  <c:v>4.7E-2</c:v>
                </c:pt>
                <c:pt idx="78">
                  <c:v>0.35699999999999998</c:v>
                </c:pt>
                <c:pt idx="79">
                  <c:v>0.40699999999999997</c:v>
                </c:pt>
                <c:pt idx="80">
                  <c:v>0.318</c:v>
                </c:pt>
                <c:pt idx="81">
                  <c:v>0.502</c:v>
                </c:pt>
                <c:pt idx="82">
                  <c:v>0.38800000000000001</c:v>
                </c:pt>
                <c:pt idx="83">
                  <c:v>1.0409999999999999</c:v>
                </c:pt>
                <c:pt idx="84">
                  <c:v>1.47</c:v>
                </c:pt>
                <c:pt idx="85">
                  <c:v>3.8769999999999998</c:v>
                </c:pt>
                <c:pt idx="86">
                  <c:v>0.35099999999999998</c:v>
                </c:pt>
                <c:pt idx="87">
                  <c:v>0.32600000000000001</c:v>
                </c:pt>
                <c:pt idx="88">
                  <c:v>0.24</c:v>
                </c:pt>
                <c:pt idx="89">
                  <c:v>1.077</c:v>
                </c:pt>
                <c:pt idx="90">
                  <c:v>0.253</c:v>
                </c:pt>
                <c:pt idx="91">
                  <c:v>0.73199999999999998</c:v>
                </c:pt>
                <c:pt idx="92">
                  <c:v>0.45400000000000001</c:v>
                </c:pt>
                <c:pt idx="93">
                  <c:v>0.61599999999999999</c:v>
                </c:pt>
                <c:pt idx="94">
                  <c:v>0.24199999999999999</c:v>
                </c:pt>
                <c:pt idx="95">
                  <c:v>2.0979999999999999</c:v>
                </c:pt>
                <c:pt idx="96">
                  <c:v>0.86299999999999999</c:v>
                </c:pt>
                <c:pt idx="97">
                  <c:v>0.17899999999999999</c:v>
                </c:pt>
                <c:pt idx="98">
                  <c:v>0.17799999999999999</c:v>
                </c:pt>
                <c:pt idx="99">
                  <c:v>1.1000000000000001</c:v>
                </c:pt>
                <c:pt idx="100">
                  <c:v>0.61299999999999999</c:v>
                </c:pt>
                <c:pt idx="101">
                  <c:v>0.33600000000000002</c:v>
                </c:pt>
                <c:pt idx="102">
                  <c:v>0.61299999999999999</c:v>
                </c:pt>
                <c:pt idx="103">
                  <c:v>1.125</c:v>
                </c:pt>
                <c:pt idx="104">
                  <c:v>1.2949999999999999</c:v>
                </c:pt>
                <c:pt idx="105">
                  <c:v>0.53800000000000003</c:v>
                </c:pt>
                <c:pt idx="106">
                  <c:v>1.3080000000000001</c:v>
                </c:pt>
                <c:pt idx="107">
                  <c:v>0.48799999999999999</c:v>
                </c:pt>
                <c:pt idx="108">
                  <c:v>1.7190000000000001</c:v>
                </c:pt>
                <c:pt idx="109">
                  <c:v>1.718</c:v>
                </c:pt>
                <c:pt idx="110">
                  <c:v>1.3280000000000001</c:v>
                </c:pt>
                <c:pt idx="111">
                  <c:v>0.61099999999999999</c:v>
                </c:pt>
                <c:pt idx="112">
                  <c:v>0.35799999999999998</c:v>
                </c:pt>
                <c:pt idx="113">
                  <c:v>0.21</c:v>
                </c:pt>
                <c:pt idx="114">
                  <c:v>0.42</c:v>
                </c:pt>
                <c:pt idx="115">
                  <c:v>1.044</c:v>
                </c:pt>
                <c:pt idx="116">
                  <c:v>0.38800000000000001</c:v>
                </c:pt>
                <c:pt idx="117">
                  <c:v>0.91700000000000004</c:v>
                </c:pt>
                <c:pt idx="118">
                  <c:v>0.98599999999999999</c:v>
                </c:pt>
                <c:pt idx="119">
                  <c:v>1.2170000000000001</c:v>
                </c:pt>
                <c:pt idx="120">
                  <c:v>0.83599999999999997</c:v>
                </c:pt>
                <c:pt idx="121">
                  <c:v>0.217</c:v>
                </c:pt>
                <c:pt idx="122">
                  <c:v>7.5999999999999998E-2</c:v>
                </c:pt>
                <c:pt idx="123">
                  <c:v>0.35099999999999998</c:v>
                </c:pt>
                <c:pt idx="124">
                  <c:v>0.184</c:v>
                </c:pt>
                <c:pt idx="125">
                  <c:v>0.373</c:v>
                </c:pt>
                <c:pt idx="126">
                  <c:v>0.50600000000000001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Inventory'!$AG$35:$AG$167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Inventory'!$AH$35:$AH$167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49069</xdr:colOff>
      <xdr:row>8</xdr:row>
      <xdr:rowOff>106795</xdr:rowOff>
    </xdr:from>
    <xdr:to>
      <xdr:col>41</xdr:col>
      <xdr:colOff>576119</xdr:colOff>
      <xdr:row>35</xdr:row>
      <xdr:rowOff>75046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20</xdr:row>
      <xdr:rowOff>112568</xdr:rowOff>
    </xdr:from>
    <xdr:to>
      <xdr:col>49</xdr:col>
      <xdr:colOff>392759</xdr:colOff>
      <xdr:row>40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606337</xdr:colOff>
      <xdr:row>0</xdr:row>
      <xdr:rowOff>190697</xdr:rowOff>
    </xdr:from>
    <xdr:to>
      <xdr:col>2</xdr:col>
      <xdr:colOff>2667000</xdr:colOff>
      <xdr:row>3</xdr:row>
      <xdr:rowOff>904875</xdr:rowOff>
    </xdr:to>
    <xdr:pic>
      <xdr:nvPicPr>
        <xdr:cNvPr id="2" name="Picture 155">
          <a:extLst>
            <a:ext uri="{FF2B5EF4-FFF2-40B4-BE49-F238E27FC236}">
              <a16:creationId xmlns:a16="http://schemas.microsoft.com/office/drawing/2014/main" id="{7CFAF2AE-38CF-42B4-B760-966359B4F1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462" y="190697"/>
          <a:ext cx="4108538" cy="41431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478971</xdr:colOff>
      <xdr:row>5</xdr:row>
      <xdr:rowOff>5444</xdr:rowOff>
    </xdr:from>
    <xdr:to>
      <xdr:col>32</xdr:col>
      <xdr:colOff>251604</xdr:colOff>
      <xdr:row>11</xdr:row>
      <xdr:rowOff>143773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67319-E94D-2D17-406A-24E3CC022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956038</xdr:colOff>
      <xdr:row>16</xdr:row>
      <xdr:rowOff>31157</xdr:rowOff>
    </xdr:from>
    <xdr:to>
      <xdr:col>41</xdr:col>
      <xdr:colOff>415617</xdr:colOff>
      <xdr:row>33</xdr:row>
      <xdr:rowOff>150917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57F5B-106E-4055-94C3-2A92C45A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6909" y="3464639"/>
          <a:ext cx="8998024" cy="4100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40</xdr:row>
      <xdr:rowOff>22899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15</xdr:row>
      <xdr:rowOff>158338</xdr:rowOff>
    </xdr:from>
    <xdr:to>
      <xdr:col>28</xdr:col>
      <xdr:colOff>583870</xdr:colOff>
      <xdr:row>31</xdr:row>
      <xdr:rowOff>148442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7788" y="3267298"/>
              <a:ext cx="5256702" cy="2939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25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107</xdr:row>
      <xdr:rowOff>150121</xdr:rowOff>
    </xdr:from>
    <xdr:to>
      <xdr:col>10</xdr:col>
      <xdr:colOff>613913</xdr:colOff>
      <xdr:row>135</xdr:row>
      <xdr:rowOff>152660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19981913"/>
          <a:ext cx="9529842" cy="50396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21405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2DFFA8F-5DE9-459F-B818-73C58DAE2181}">
    <text xml:space="preserve">Re assay sampel </text>
  </threadedComment>
  <threadedComment ref="O54" dT="2026-09-25T02:59:12.45" personId="{4FC76173-CA24-4C97-8D1C-E9DAA01D50AE}" id="{57ADF46A-940E-45DC-8586-0ED4E234377F}">
    <text xml:space="preserve">Gua hitung tph yang ini dibagi 24, biar jelas tph nya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2" dT="2026-09-11T02:16:49.90" personId="{4FC76173-CA24-4C97-8D1C-E9DAA01D50AE}" id="{432DE3E1-F57E-4637-8257-E705A19452DD}">
    <text>6 plat actual lebih sekitar 6 plat 20 cm</text>
  </threadedComment>
  <threadedComment ref="C15" dT="2026-09-14T16:36:42.90" personId="{4FC76173-CA24-4C97-8D1C-E9DAA01D50AE}" id="{D3486233-D7DC-4CE7-AF65-6DCF72496164}">
    <text>Ada stuck Thickener karena material overload</text>
  </threadedComment>
  <threadedComment ref="C16" dT="2026-09-16T15:57:39.30" personId="{4FC76173-CA24-4C97-8D1C-E9DAA01D50AE}" id="{85355430-F166-4DCA-A2A3-CC5CEE664CF9}">
    <text>Gua kurang 4,5 soalnya kan selesai malam sebelum jam 7 finish jam 02:30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13" zoomScale="97" workbookViewId="0">
      <selection activeCell="G70" sqref="G70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1262" t="s">
        <v>337</v>
      </c>
      <c r="D3" s="1262"/>
      <c r="E3" s="1262"/>
      <c r="F3" s="1262"/>
      <c r="G3" s="1262"/>
      <c r="H3" s="1262"/>
      <c r="L3" s="1262" t="s">
        <v>337</v>
      </c>
      <c r="M3" s="1262"/>
      <c r="N3" s="1262"/>
      <c r="O3" s="1262"/>
      <c r="P3" s="1262"/>
      <c r="Q3" s="1262"/>
    </row>
    <row r="4" spans="3:17" x14ac:dyDescent="0.3">
      <c r="C4" s="14" t="s">
        <v>70</v>
      </c>
      <c r="D4" s="14" t="s">
        <v>338</v>
      </c>
      <c r="E4" s="14" t="s">
        <v>0</v>
      </c>
      <c r="F4" s="14" t="s">
        <v>339</v>
      </c>
      <c r="G4" s="14" t="s">
        <v>340</v>
      </c>
      <c r="H4" s="14" t="s">
        <v>341</v>
      </c>
      <c r="L4" s="14" t="s">
        <v>70</v>
      </c>
      <c r="M4" s="14" t="s">
        <v>338</v>
      </c>
      <c r="N4" s="14" t="s">
        <v>0</v>
      </c>
      <c r="O4" s="14" t="s">
        <v>339</v>
      </c>
      <c r="P4" s="14" t="s">
        <v>340</v>
      </c>
      <c r="Q4" s="14" t="s">
        <v>341</v>
      </c>
    </row>
    <row r="5" spans="3:17" x14ac:dyDescent="0.3">
      <c r="C5" s="120">
        <v>1</v>
      </c>
      <c r="D5" s="120" t="s">
        <v>342</v>
      </c>
      <c r="E5" s="62">
        <v>46197</v>
      </c>
      <c r="F5" s="120">
        <v>0.54600000000000004</v>
      </c>
      <c r="G5" s="120"/>
      <c r="H5" s="120"/>
      <c r="L5" s="120">
        <v>51</v>
      </c>
      <c r="M5" s="120" t="s">
        <v>395</v>
      </c>
      <c r="N5" s="262">
        <v>46253</v>
      </c>
      <c r="O5" s="120">
        <v>0.67300000000000004</v>
      </c>
      <c r="P5" s="120"/>
      <c r="Q5" s="120"/>
    </row>
    <row r="6" spans="3:17" x14ac:dyDescent="0.3">
      <c r="C6" s="120">
        <v>2</v>
      </c>
      <c r="D6" s="120" t="s">
        <v>343</v>
      </c>
      <c r="E6" s="62">
        <v>46197</v>
      </c>
      <c r="F6" s="120">
        <v>0.57599999999999996</v>
      </c>
      <c r="G6" s="120"/>
      <c r="H6" s="120"/>
      <c r="L6" s="120">
        <v>52</v>
      </c>
      <c r="M6" s="120" t="s">
        <v>396</v>
      </c>
      <c r="N6" s="262">
        <v>46253</v>
      </c>
      <c r="O6" s="120">
        <v>0.66200000000000003</v>
      </c>
      <c r="P6" s="120"/>
      <c r="Q6" s="120"/>
    </row>
    <row r="7" spans="3:17" x14ac:dyDescent="0.3">
      <c r="C7" s="120">
        <v>3</v>
      </c>
      <c r="D7" s="120" t="s">
        <v>344</v>
      </c>
      <c r="E7" s="62">
        <v>46197</v>
      </c>
      <c r="F7" s="120">
        <v>0.83899999999999997</v>
      </c>
      <c r="G7" s="120"/>
      <c r="H7" s="120"/>
      <c r="L7" s="120">
        <v>53</v>
      </c>
      <c r="M7" s="120" t="s">
        <v>397</v>
      </c>
      <c r="N7" s="262">
        <v>46253</v>
      </c>
      <c r="O7" s="120">
        <v>0.55500000000000005</v>
      </c>
      <c r="P7" s="120"/>
      <c r="Q7" s="120"/>
    </row>
    <row r="8" spans="3:17" x14ac:dyDescent="0.3">
      <c r="C8" s="120">
        <v>4</v>
      </c>
      <c r="D8" s="120" t="s">
        <v>345</v>
      </c>
      <c r="E8" s="62">
        <v>46197</v>
      </c>
      <c r="F8" s="120">
        <v>2.0110000000000001</v>
      </c>
      <c r="G8" s="120"/>
      <c r="H8" s="120"/>
      <c r="L8" s="120">
        <v>54</v>
      </c>
      <c r="M8" s="120" t="s">
        <v>398</v>
      </c>
      <c r="N8" s="262">
        <v>46253</v>
      </c>
      <c r="O8" s="120">
        <v>0.81299999999999994</v>
      </c>
      <c r="P8" s="120"/>
      <c r="Q8" s="120"/>
    </row>
    <row r="9" spans="3:17" x14ac:dyDescent="0.3">
      <c r="C9" s="120">
        <v>5</v>
      </c>
      <c r="D9" s="120" t="s">
        <v>346</v>
      </c>
      <c r="E9" s="62">
        <v>46197</v>
      </c>
      <c r="F9" s="120">
        <v>0.94399999999999995</v>
      </c>
      <c r="G9" s="120"/>
      <c r="H9" s="120"/>
      <c r="L9" s="120">
        <v>55</v>
      </c>
      <c r="M9" s="120" t="s">
        <v>399</v>
      </c>
      <c r="N9" s="262">
        <v>46253</v>
      </c>
      <c r="O9" s="120">
        <v>1.147</v>
      </c>
      <c r="P9" s="120"/>
      <c r="Q9" s="120"/>
    </row>
    <row r="10" spans="3:17" x14ac:dyDescent="0.3">
      <c r="C10" s="120">
        <v>6</v>
      </c>
      <c r="D10" s="120" t="s">
        <v>347</v>
      </c>
      <c r="E10" s="62">
        <v>46197</v>
      </c>
      <c r="F10" s="120">
        <v>0.70199999999999996</v>
      </c>
      <c r="G10" s="120"/>
      <c r="H10" s="120"/>
      <c r="L10" s="120">
        <v>56</v>
      </c>
      <c r="M10" s="120" t="s">
        <v>400</v>
      </c>
      <c r="N10" s="262">
        <v>46253</v>
      </c>
      <c r="O10" s="120">
        <v>1.9410000000000001</v>
      </c>
      <c r="P10" s="120"/>
      <c r="Q10" s="120"/>
    </row>
    <row r="11" spans="3:17" x14ac:dyDescent="0.3">
      <c r="C11" s="120">
        <v>7</v>
      </c>
      <c r="D11" s="120" t="s">
        <v>348</v>
      </c>
      <c r="E11" s="62">
        <v>46197</v>
      </c>
      <c r="F11" s="120">
        <v>3.2160000000000002</v>
      </c>
      <c r="G11" s="120"/>
      <c r="H11" s="120"/>
      <c r="L11" s="120">
        <v>57</v>
      </c>
      <c r="M11" s="120" t="s">
        <v>401</v>
      </c>
      <c r="N11" s="262">
        <v>46253</v>
      </c>
      <c r="O11" s="120">
        <v>0.48899999999999999</v>
      </c>
      <c r="P11" s="120"/>
      <c r="Q11" s="120"/>
    </row>
    <row r="12" spans="3:17" x14ac:dyDescent="0.3">
      <c r="C12" s="120">
        <v>8</v>
      </c>
      <c r="D12" s="120" t="s">
        <v>349</v>
      </c>
      <c r="E12" s="62">
        <v>46197</v>
      </c>
      <c r="F12" s="120">
        <v>0.56200000000000006</v>
      </c>
      <c r="G12" s="120"/>
      <c r="H12" s="120"/>
      <c r="L12" s="120">
        <v>58</v>
      </c>
      <c r="M12" s="120" t="s">
        <v>402</v>
      </c>
      <c r="N12" s="262">
        <v>46253</v>
      </c>
      <c r="O12" s="120">
        <v>0.55600000000000005</v>
      </c>
      <c r="P12" s="120"/>
      <c r="Q12" s="120"/>
    </row>
    <row r="13" spans="3:17" x14ac:dyDescent="0.3">
      <c r="C13" s="120">
        <v>9</v>
      </c>
      <c r="D13" s="120" t="s">
        <v>350</v>
      </c>
      <c r="E13" s="62">
        <v>46197</v>
      </c>
      <c r="F13" s="120">
        <v>0.79</v>
      </c>
      <c r="G13" s="120"/>
      <c r="H13" s="120"/>
      <c r="L13" s="120">
        <v>59</v>
      </c>
      <c r="M13" s="120" t="s">
        <v>403</v>
      </c>
      <c r="N13" s="262">
        <v>46253</v>
      </c>
      <c r="O13" s="120">
        <v>3.032</v>
      </c>
      <c r="P13" s="120"/>
      <c r="Q13" s="120"/>
    </row>
    <row r="14" spans="3:17" x14ac:dyDescent="0.3">
      <c r="C14" s="120">
        <v>10</v>
      </c>
      <c r="D14" s="120" t="s">
        <v>351</v>
      </c>
      <c r="E14" s="62">
        <v>46197</v>
      </c>
      <c r="F14" s="120">
        <v>1.583</v>
      </c>
      <c r="G14" s="120"/>
      <c r="H14" s="120"/>
      <c r="L14" s="120">
        <v>60</v>
      </c>
      <c r="M14" s="120" t="s">
        <v>383</v>
      </c>
      <c r="N14" s="262">
        <v>46253</v>
      </c>
      <c r="O14" s="120">
        <v>0.63200000000000001</v>
      </c>
      <c r="P14" s="120"/>
      <c r="Q14" s="120"/>
    </row>
    <row r="15" spans="3:17" x14ac:dyDescent="0.3">
      <c r="C15" s="120">
        <v>11</v>
      </c>
      <c r="D15" s="120" t="s">
        <v>352</v>
      </c>
      <c r="E15" s="62">
        <v>46181</v>
      </c>
      <c r="F15" s="120">
        <v>1.9630000000000001</v>
      </c>
      <c r="G15" s="120"/>
      <c r="H15" s="120"/>
      <c r="L15" s="120">
        <v>61</v>
      </c>
      <c r="M15" s="120" t="s">
        <v>384</v>
      </c>
      <c r="N15" s="262">
        <v>46253</v>
      </c>
      <c r="O15" s="120">
        <v>1.0429999999999999</v>
      </c>
      <c r="P15" s="120"/>
      <c r="Q15" s="120"/>
    </row>
    <row r="16" spans="3:17" x14ac:dyDescent="0.3">
      <c r="C16" s="120">
        <v>12</v>
      </c>
      <c r="D16" s="120" t="s">
        <v>353</v>
      </c>
      <c r="E16" s="62">
        <v>46181</v>
      </c>
      <c r="F16" s="120">
        <v>0.73499999999999999</v>
      </c>
      <c r="G16" s="120"/>
      <c r="H16" s="120"/>
      <c r="L16" s="120">
        <v>62</v>
      </c>
      <c r="M16" s="120" t="s">
        <v>385</v>
      </c>
      <c r="N16" s="262">
        <v>46253</v>
      </c>
      <c r="O16" s="120">
        <v>1.59</v>
      </c>
      <c r="P16" s="120"/>
      <c r="Q16" s="120"/>
    </row>
    <row r="17" spans="3:17" x14ac:dyDescent="0.3">
      <c r="C17" s="120">
        <v>13</v>
      </c>
      <c r="D17" s="120" t="s">
        <v>354</v>
      </c>
      <c r="E17" s="62">
        <v>46181</v>
      </c>
      <c r="F17" s="120">
        <v>0.34799999999999998</v>
      </c>
      <c r="G17" s="120"/>
      <c r="H17" s="120"/>
      <c r="L17" s="120">
        <v>63</v>
      </c>
      <c r="M17" s="120" t="s">
        <v>404</v>
      </c>
      <c r="N17" s="262">
        <v>46253</v>
      </c>
      <c r="O17" s="120">
        <v>0.33700000000000002</v>
      </c>
      <c r="P17" s="120"/>
      <c r="Q17" s="120"/>
    </row>
    <row r="18" spans="3:17" x14ac:dyDescent="0.3">
      <c r="C18" s="120">
        <v>14</v>
      </c>
      <c r="D18" s="120" t="s">
        <v>355</v>
      </c>
      <c r="E18" s="62">
        <v>46181</v>
      </c>
      <c r="F18" s="120">
        <v>1.2929999999999999</v>
      </c>
      <c r="G18" s="120"/>
      <c r="H18" s="120"/>
      <c r="L18" s="120">
        <v>64</v>
      </c>
      <c r="M18" s="120" t="s">
        <v>405</v>
      </c>
      <c r="N18" s="262">
        <v>46253</v>
      </c>
      <c r="O18" s="120">
        <v>0.252</v>
      </c>
      <c r="P18" s="120"/>
      <c r="Q18" s="120"/>
    </row>
    <row r="19" spans="3:17" x14ac:dyDescent="0.3">
      <c r="C19" s="120">
        <v>15</v>
      </c>
      <c r="D19" s="120" t="s">
        <v>356</v>
      </c>
      <c r="E19" s="62">
        <v>46181</v>
      </c>
      <c r="F19" s="120">
        <v>0.43</v>
      </c>
      <c r="G19" s="120"/>
      <c r="H19" s="120"/>
      <c r="L19" s="120">
        <v>65</v>
      </c>
      <c r="M19" s="120" t="s">
        <v>389</v>
      </c>
      <c r="N19" s="262">
        <v>46254</v>
      </c>
      <c r="O19" s="120">
        <v>0.90500000000000003</v>
      </c>
      <c r="P19" s="120"/>
      <c r="Q19" s="120"/>
    </row>
    <row r="20" spans="3:17" x14ac:dyDescent="0.3">
      <c r="C20" s="120">
        <v>16</v>
      </c>
      <c r="D20" s="120" t="s">
        <v>357</v>
      </c>
      <c r="E20" s="62">
        <v>46180</v>
      </c>
      <c r="F20" s="120">
        <v>0.55800000000000005</v>
      </c>
      <c r="G20" s="120"/>
      <c r="H20" s="120"/>
      <c r="L20" s="120">
        <v>66</v>
      </c>
      <c r="M20" s="120" t="s">
        <v>391</v>
      </c>
      <c r="N20" s="262">
        <v>46254</v>
      </c>
      <c r="O20" s="120">
        <v>0.91200000000000003</v>
      </c>
      <c r="P20" s="120"/>
      <c r="Q20" s="120"/>
    </row>
    <row r="21" spans="3:17" x14ac:dyDescent="0.3">
      <c r="C21" s="120">
        <v>17</v>
      </c>
      <c r="D21" s="120" t="s">
        <v>358</v>
      </c>
      <c r="E21" s="62">
        <v>46180</v>
      </c>
      <c r="F21" s="120">
        <v>0.60399999999999998</v>
      </c>
      <c r="G21" s="120"/>
      <c r="H21" s="120"/>
      <c r="L21" s="120">
        <v>67</v>
      </c>
      <c r="M21" s="120" t="s">
        <v>393</v>
      </c>
      <c r="N21" s="262">
        <v>46254</v>
      </c>
      <c r="O21" s="120">
        <v>0.21199999999999999</v>
      </c>
      <c r="P21" s="120"/>
      <c r="Q21" s="120"/>
    </row>
    <row r="22" spans="3:17" x14ac:dyDescent="0.3">
      <c r="C22" s="120">
        <v>18</v>
      </c>
      <c r="D22" s="120" t="s">
        <v>359</v>
      </c>
      <c r="E22" s="62">
        <v>46180</v>
      </c>
      <c r="F22" s="120">
        <v>4.383</v>
      </c>
      <c r="G22" s="120"/>
      <c r="H22" s="120"/>
      <c r="L22" s="120">
        <v>68</v>
      </c>
      <c r="M22" s="120" t="s">
        <v>395</v>
      </c>
      <c r="N22" s="262">
        <v>46254</v>
      </c>
      <c r="O22" s="120">
        <v>0.32300000000000001</v>
      </c>
      <c r="P22" s="120"/>
      <c r="Q22" s="120"/>
    </row>
    <row r="23" spans="3:17" x14ac:dyDescent="0.3">
      <c r="C23" s="120">
        <v>19</v>
      </c>
      <c r="D23" s="120" t="s">
        <v>360</v>
      </c>
      <c r="E23" s="62">
        <v>46180</v>
      </c>
      <c r="F23" s="120">
        <v>3.2330000000000001</v>
      </c>
      <c r="G23" s="120"/>
      <c r="H23" s="120"/>
      <c r="L23" s="120">
        <v>69</v>
      </c>
      <c r="M23" s="120" t="s">
        <v>397</v>
      </c>
      <c r="N23" s="262">
        <v>46254</v>
      </c>
      <c r="O23" s="120">
        <v>0.63500000000000001</v>
      </c>
      <c r="P23" s="120"/>
      <c r="Q23" s="120"/>
    </row>
    <row r="24" spans="3:17" x14ac:dyDescent="0.3">
      <c r="C24" s="120">
        <v>20</v>
      </c>
      <c r="D24" s="120" t="s">
        <v>361</v>
      </c>
      <c r="E24" s="62">
        <v>46180</v>
      </c>
      <c r="F24" s="120">
        <v>1.635</v>
      </c>
      <c r="G24" s="120"/>
      <c r="H24" s="120"/>
      <c r="L24" s="120">
        <v>70</v>
      </c>
      <c r="M24" s="120" t="s">
        <v>399</v>
      </c>
      <c r="N24" s="262">
        <v>46254</v>
      </c>
      <c r="O24" s="120">
        <v>0.45500000000000002</v>
      </c>
      <c r="P24" s="120"/>
      <c r="Q24" s="120"/>
    </row>
    <row r="25" spans="3:17" x14ac:dyDescent="0.3">
      <c r="C25" s="120">
        <v>21</v>
      </c>
      <c r="D25" s="120" t="s">
        <v>362</v>
      </c>
      <c r="E25" s="62">
        <v>46180</v>
      </c>
      <c r="F25" s="120">
        <v>1.2390000000000001</v>
      </c>
      <c r="G25" s="120"/>
      <c r="H25" s="120"/>
      <c r="L25" s="120">
        <v>71</v>
      </c>
      <c r="M25" s="120" t="s">
        <v>401</v>
      </c>
      <c r="N25" s="262">
        <v>46254</v>
      </c>
      <c r="O25" s="120">
        <v>9.9000000000000005E-2</v>
      </c>
      <c r="P25" s="120"/>
      <c r="Q25" s="120"/>
    </row>
    <row r="26" spans="3:17" x14ac:dyDescent="0.3">
      <c r="C26" s="120">
        <v>22</v>
      </c>
      <c r="D26" s="120" t="s">
        <v>363</v>
      </c>
      <c r="E26" s="62">
        <v>46180</v>
      </c>
      <c r="F26" s="120">
        <v>0.84699999999999998</v>
      </c>
      <c r="G26" s="120"/>
      <c r="H26" s="120"/>
      <c r="L26" s="120">
        <v>72</v>
      </c>
      <c r="M26" s="120" t="s">
        <v>403</v>
      </c>
      <c r="N26" s="262">
        <v>46254</v>
      </c>
      <c r="O26" s="120">
        <v>0.69599999999999995</v>
      </c>
      <c r="P26" s="120"/>
      <c r="Q26" s="120"/>
    </row>
    <row r="27" spans="3:17" x14ac:dyDescent="0.3">
      <c r="C27" s="120">
        <v>23</v>
      </c>
      <c r="D27" s="120" t="s">
        <v>357</v>
      </c>
      <c r="E27" s="62">
        <v>46176</v>
      </c>
      <c r="F27" s="120">
        <v>2.72</v>
      </c>
      <c r="G27" s="120"/>
      <c r="H27" s="120"/>
      <c r="L27" s="120">
        <v>73</v>
      </c>
      <c r="M27" s="120" t="s">
        <v>384</v>
      </c>
      <c r="N27" s="262">
        <v>46254</v>
      </c>
      <c r="O27" s="120">
        <v>0.34</v>
      </c>
      <c r="P27" s="120"/>
      <c r="Q27" s="120"/>
    </row>
    <row r="28" spans="3:17" x14ac:dyDescent="0.3">
      <c r="C28" s="120">
        <v>24</v>
      </c>
      <c r="D28" s="120" t="s">
        <v>358</v>
      </c>
      <c r="E28" s="62">
        <v>46176</v>
      </c>
      <c r="F28" s="120">
        <v>0.57599999999999996</v>
      </c>
      <c r="G28" s="120"/>
      <c r="H28" s="120"/>
      <c r="L28" s="120">
        <v>74</v>
      </c>
      <c r="M28" s="120" t="s">
        <v>404</v>
      </c>
      <c r="N28" s="262">
        <v>46254</v>
      </c>
      <c r="O28" s="120">
        <v>0.98199999999999998</v>
      </c>
      <c r="P28" s="120"/>
      <c r="Q28" s="120"/>
    </row>
    <row r="29" spans="3:17" x14ac:dyDescent="0.3">
      <c r="C29" s="120">
        <v>25</v>
      </c>
      <c r="D29" s="120" t="s">
        <v>359</v>
      </c>
      <c r="E29" s="62">
        <v>46176</v>
      </c>
      <c r="F29" s="120">
        <v>0.66300000000000003</v>
      </c>
      <c r="G29" s="120"/>
      <c r="H29" s="120"/>
      <c r="L29" s="120">
        <v>75</v>
      </c>
      <c r="M29" s="120" t="s">
        <v>406</v>
      </c>
      <c r="N29" s="262">
        <v>46254</v>
      </c>
      <c r="O29" s="120">
        <v>1.0880000000000001</v>
      </c>
      <c r="P29" s="120"/>
      <c r="Q29" s="120"/>
    </row>
    <row r="30" spans="3:17" x14ac:dyDescent="0.3">
      <c r="C30" s="120">
        <v>26</v>
      </c>
      <c r="D30" s="120" t="s">
        <v>360</v>
      </c>
      <c r="E30" s="62">
        <v>46176</v>
      </c>
      <c r="F30" s="120">
        <v>1.8220000000000001</v>
      </c>
      <c r="G30" s="120"/>
      <c r="H30" s="120"/>
      <c r="L30" s="120">
        <v>76</v>
      </c>
      <c r="M30" s="120" t="s">
        <v>389</v>
      </c>
      <c r="N30" s="262">
        <v>46255</v>
      </c>
      <c r="O30" s="120">
        <v>0.57399999999999995</v>
      </c>
      <c r="P30" s="120"/>
      <c r="Q30" s="120"/>
    </row>
    <row r="31" spans="3:17" x14ac:dyDescent="0.3">
      <c r="C31" s="120">
        <v>27</v>
      </c>
      <c r="D31" s="120" t="s">
        <v>361</v>
      </c>
      <c r="E31" s="62">
        <v>46176</v>
      </c>
      <c r="F31" s="120">
        <v>0.79700000000000004</v>
      </c>
      <c r="G31" s="120"/>
      <c r="H31" s="120"/>
      <c r="L31" s="120">
        <v>77</v>
      </c>
      <c r="M31" s="120" t="s">
        <v>391</v>
      </c>
      <c r="N31" s="262">
        <v>46255</v>
      </c>
      <c r="O31" s="120">
        <v>0.35399999999999998</v>
      </c>
      <c r="P31" s="120"/>
      <c r="Q31" s="120"/>
    </row>
    <row r="32" spans="3:17" x14ac:dyDescent="0.3">
      <c r="C32" s="120">
        <v>28</v>
      </c>
      <c r="D32" s="120" t="s">
        <v>362</v>
      </c>
      <c r="E32" s="62">
        <v>46176</v>
      </c>
      <c r="F32" s="120">
        <v>1.3919999999999999</v>
      </c>
      <c r="G32" s="120"/>
      <c r="H32" s="120"/>
      <c r="L32" s="120">
        <v>78</v>
      </c>
      <c r="M32" s="120" t="s">
        <v>393</v>
      </c>
      <c r="N32" s="262">
        <v>46255</v>
      </c>
      <c r="O32" s="120">
        <v>0.80200000000000005</v>
      </c>
      <c r="P32" s="120"/>
      <c r="Q32" s="120"/>
    </row>
    <row r="33" spans="3:17" x14ac:dyDescent="0.3">
      <c r="C33" s="120">
        <v>29</v>
      </c>
      <c r="D33" s="120" t="s">
        <v>363</v>
      </c>
      <c r="E33" s="62">
        <v>46176</v>
      </c>
      <c r="F33" s="120">
        <v>0.70699999999999996</v>
      </c>
      <c r="G33" s="120"/>
      <c r="H33" s="120"/>
      <c r="L33" s="120">
        <v>79</v>
      </c>
      <c r="M33" s="120" t="s">
        <v>395</v>
      </c>
      <c r="N33" s="262">
        <v>46255</v>
      </c>
      <c r="O33" s="120">
        <v>0.16</v>
      </c>
      <c r="P33" s="120"/>
      <c r="Q33" s="120"/>
    </row>
    <row r="34" spans="3:17" x14ac:dyDescent="0.3">
      <c r="C34" s="120">
        <v>30</v>
      </c>
      <c r="D34" s="120" t="s">
        <v>364</v>
      </c>
      <c r="E34" s="62">
        <v>46176</v>
      </c>
      <c r="F34" s="120">
        <v>1.552</v>
      </c>
      <c r="G34" s="120"/>
      <c r="H34" s="120"/>
      <c r="L34" s="120">
        <v>80</v>
      </c>
      <c r="M34" s="120" t="s">
        <v>397</v>
      </c>
      <c r="N34" s="262">
        <v>46255</v>
      </c>
      <c r="O34" s="120">
        <v>0.96199999999999997</v>
      </c>
      <c r="P34" s="120"/>
      <c r="Q34" s="120"/>
    </row>
    <row r="35" spans="3:17" x14ac:dyDescent="0.3">
      <c r="C35" s="120">
        <v>31</v>
      </c>
      <c r="D35" s="120" t="s">
        <v>365</v>
      </c>
      <c r="E35" s="62">
        <v>46176</v>
      </c>
      <c r="F35" s="120">
        <v>0.76500000000000001</v>
      </c>
      <c r="G35" s="120"/>
      <c r="H35" s="120"/>
      <c r="L35" s="120">
        <v>81</v>
      </c>
      <c r="M35" s="120" t="s">
        <v>399</v>
      </c>
      <c r="N35" s="262">
        <v>46255</v>
      </c>
      <c r="O35" s="120">
        <v>0.42199999999999999</v>
      </c>
      <c r="P35" s="120"/>
      <c r="Q35" s="120"/>
    </row>
    <row r="36" spans="3:17" x14ac:dyDescent="0.3">
      <c r="C36" s="120">
        <v>32</v>
      </c>
      <c r="D36" s="120" t="s">
        <v>366</v>
      </c>
      <c r="E36" s="62">
        <v>46176</v>
      </c>
      <c r="F36" s="120">
        <v>1.2350000000000001</v>
      </c>
      <c r="G36" s="120"/>
      <c r="H36" s="120"/>
      <c r="L36" s="120">
        <v>82</v>
      </c>
      <c r="M36" s="120" t="s">
        <v>401</v>
      </c>
      <c r="N36" s="262">
        <v>46255</v>
      </c>
      <c r="O36" s="120">
        <v>0.16700000000000001</v>
      </c>
      <c r="P36" s="120"/>
      <c r="Q36" s="120"/>
    </row>
    <row r="37" spans="3:17" x14ac:dyDescent="0.3">
      <c r="C37" s="120">
        <v>33</v>
      </c>
      <c r="D37" s="120" t="s">
        <v>374</v>
      </c>
      <c r="E37" s="73">
        <v>46251</v>
      </c>
      <c r="F37" s="120">
        <v>1.0349999999999999</v>
      </c>
      <c r="G37" s="120"/>
      <c r="H37" s="120"/>
      <c r="L37" s="120">
        <v>83</v>
      </c>
      <c r="M37" s="120" t="s">
        <v>403</v>
      </c>
      <c r="N37" s="262">
        <v>46255</v>
      </c>
      <c r="O37" s="120">
        <v>0.31</v>
      </c>
      <c r="P37" s="120"/>
      <c r="Q37" s="120"/>
    </row>
    <row r="38" spans="3:17" x14ac:dyDescent="0.3">
      <c r="C38" s="120">
        <v>34</v>
      </c>
      <c r="D38" s="120" t="s">
        <v>375</v>
      </c>
      <c r="E38" s="73">
        <v>46251</v>
      </c>
      <c r="F38" s="120">
        <v>0.52600000000000002</v>
      </c>
      <c r="G38" s="120"/>
      <c r="H38" s="120"/>
      <c r="L38" s="120">
        <v>84</v>
      </c>
      <c r="M38" s="120" t="s">
        <v>384</v>
      </c>
      <c r="N38" s="262">
        <v>46255</v>
      </c>
      <c r="O38" s="120">
        <v>0.23100000000000001</v>
      </c>
      <c r="P38" s="120"/>
      <c r="Q38" s="120"/>
    </row>
    <row r="39" spans="3:17" x14ac:dyDescent="0.3">
      <c r="C39" s="120">
        <v>35</v>
      </c>
      <c r="D39" s="120" t="s">
        <v>376</v>
      </c>
      <c r="E39" s="73">
        <v>46251</v>
      </c>
      <c r="F39" s="120">
        <v>0.81599999999999995</v>
      </c>
      <c r="G39" s="120"/>
      <c r="H39" s="120"/>
      <c r="L39" s="120">
        <v>85</v>
      </c>
      <c r="M39" s="120" t="s">
        <v>391</v>
      </c>
      <c r="N39" s="262">
        <v>46256</v>
      </c>
      <c r="O39" s="120">
        <v>2.5209999999999999</v>
      </c>
      <c r="P39" s="120"/>
      <c r="Q39" s="120"/>
    </row>
    <row r="40" spans="3:17" x14ac:dyDescent="0.3">
      <c r="C40" s="120">
        <v>36</v>
      </c>
      <c r="D40" s="120" t="s">
        <v>377</v>
      </c>
      <c r="E40" s="73">
        <v>46251</v>
      </c>
      <c r="F40" s="120">
        <v>0.34399999999999997</v>
      </c>
      <c r="G40" s="120"/>
      <c r="H40" s="120"/>
      <c r="L40" s="120">
        <v>86</v>
      </c>
      <c r="M40" s="120" t="s">
        <v>393</v>
      </c>
      <c r="N40" s="262">
        <v>46256</v>
      </c>
      <c r="O40" s="120">
        <v>0.308</v>
      </c>
      <c r="P40" s="120"/>
      <c r="Q40" s="120"/>
    </row>
    <row r="41" spans="3:17" x14ac:dyDescent="0.3">
      <c r="C41" s="120">
        <v>37</v>
      </c>
      <c r="D41" s="120" t="s">
        <v>378</v>
      </c>
      <c r="E41" s="73">
        <v>46251</v>
      </c>
      <c r="F41" s="120">
        <v>0.30399999999999999</v>
      </c>
      <c r="G41" s="120"/>
      <c r="H41" s="120"/>
      <c r="L41" s="120">
        <v>87</v>
      </c>
      <c r="M41" s="120" t="s">
        <v>395</v>
      </c>
      <c r="N41" s="262">
        <v>46256</v>
      </c>
      <c r="O41" s="120">
        <v>0.35099999999999998</v>
      </c>
      <c r="P41" s="120"/>
      <c r="Q41" s="120"/>
    </row>
    <row r="42" spans="3:17" x14ac:dyDescent="0.3">
      <c r="C42" s="120">
        <v>38</v>
      </c>
      <c r="D42" s="120" t="s">
        <v>379</v>
      </c>
      <c r="E42" s="73">
        <v>46251</v>
      </c>
      <c r="F42" s="120">
        <v>0.74399999999999999</v>
      </c>
      <c r="G42" s="120"/>
      <c r="H42" s="120"/>
      <c r="L42" s="120">
        <v>88</v>
      </c>
      <c r="M42" s="120" t="s">
        <v>397</v>
      </c>
      <c r="N42" s="262">
        <v>46256</v>
      </c>
      <c r="O42" s="120">
        <v>0.751</v>
      </c>
      <c r="P42" s="120"/>
      <c r="Q42" s="120"/>
    </row>
    <row r="43" spans="3:17" x14ac:dyDescent="0.3">
      <c r="C43" s="120">
        <v>39</v>
      </c>
      <c r="D43" s="120" t="s">
        <v>380</v>
      </c>
      <c r="E43" s="73">
        <v>46251</v>
      </c>
      <c r="F43" s="120">
        <v>0.56299999999999994</v>
      </c>
      <c r="G43" s="120"/>
      <c r="H43" s="120"/>
      <c r="L43" s="120">
        <v>89</v>
      </c>
      <c r="M43" s="120" t="s">
        <v>399</v>
      </c>
      <c r="N43" s="262">
        <v>46256</v>
      </c>
      <c r="O43" s="120">
        <v>0.60399999999999998</v>
      </c>
      <c r="P43" s="120"/>
      <c r="Q43" s="120"/>
    </row>
    <row r="44" spans="3:17" x14ac:dyDescent="0.3">
      <c r="C44" s="120">
        <v>40</v>
      </c>
      <c r="D44" s="120" t="s">
        <v>381</v>
      </c>
      <c r="E44" s="73">
        <v>46251</v>
      </c>
      <c r="F44" s="120">
        <v>0.438</v>
      </c>
      <c r="G44" s="120"/>
      <c r="H44" s="120"/>
      <c r="L44" s="120">
        <v>90</v>
      </c>
      <c r="M44" s="120" t="s">
        <v>401</v>
      </c>
      <c r="N44" s="262">
        <v>46256</v>
      </c>
      <c r="O44" s="120">
        <v>4.7E-2</v>
      </c>
      <c r="P44" s="120"/>
      <c r="Q44" s="120"/>
    </row>
    <row r="45" spans="3:17" x14ac:dyDescent="0.3">
      <c r="C45" s="120">
        <v>41</v>
      </c>
      <c r="D45" s="120" t="s">
        <v>382</v>
      </c>
      <c r="E45" s="73">
        <v>46251</v>
      </c>
      <c r="F45" s="120">
        <v>0.45800000000000002</v>
      </c>
      <c r="G45" s="120"/>
      <c r="H45" s="120"/>
      <c r="L45" s="120">
        <v>91</v>
      </c>
      <c r="M45" s="120" t="s">
        <v>403</v>
      </c>
      <c r="N45" s="262">
        <v>46256</v>
      </c>
      <c r="O45" s="120">
        <v>0.35699999999999998</v>
      </c>
      <c r="P45" s="120"/>
      <c r="Q45" s="120"/>
    </row>
    <row r="46" spans="3:17" x14ac:dyDescent="0.3">
      <c r="C46" s="120">
        <v>42</v>
      </c>
      <c r="D46" s="120" t="s">
        <v>383</v>
      </c>
      <c r="E46" s="73">
        <v>46252</v>
      </c>
      <c r="F46" s="120">
        <v>0.55800000000000005</v>
      </c>
      <c r="G46" s="120"/>
      <c r="H46" s="120"/>
      <c r="L46" s="120">
        <v>92</v>
      </c>
      <c r="M46" s="120" t="s">
        <v>384</v>
      </c>
      <c r="N46" s="262">
        <v>46256</v>
      </c>
      <c r="O46" s="120">
        <v>0.40699999999999997</v>
      </c>
      <c r="P46" s="120"/>
      <c r="Q46" s="120"/>
    </row>
    <row r="47" spans="3:17" x14ac:dyDescent="0.3">
      <c r="C47" s="120">
        <v>43</v>
      </c>
      <c r="D47" s="120" t="s">
        <v>384</v>
      </c>
      <c r="E47" s="73">
        <v>46252</v>
      </c>
      <c r="F47" s="120">
        <v>0.501</v>
      </c>
      <c r="G47" s="120"/>
      <c r="H47" s="120"/>
      <c r="L47" s="120">
        <v>93</v>
      </c>
      <c r="M47" s="120" t="s">
        <v>404</v>
      </c>
      <c r="N47" s="262">
        <v>46256</v>
      </c>
      <c r="O47" s="120">
        <v>0.318</v>
      </c>
      <c r="P47" s="120"/>
      <c r="Q47" s="120"/>
    </row>
    <row r="48" spans="3:17" x14ac:dyDescent="0.3">
      <c r="C48" s="120">
        <v>44</v>
      </c>
      <c r="D48" s="120" t="s">
        <v>385</v>
      </c>
      <c r="E48" s="73">
        <v>46252</v>
      </c>
      <c r="F48" s="120">
        <v>1.25</v>
      </c>
      <c r="G48" s="120"/>
      <c r="H48" s="120"/>
      <c r="L48" s="120">
        <v>94</v>
      </c>
      <c r="M48" s="120" t="s">
        <v>389</v>
      </c>
      <c r="N48" s="262">
        <v>46258</v>
      </c>
      <c r="O48" s="120">
        <v>0.502</v>
      </c>
      <c r="P48" s="120"/>
      <c r="Q48" s="120"/>
    </row>
    <row r="49" spans="3:17" x14ac:dyDescent="0.3">
      <c r="C49" s="120">
        <v>45</v>
      </c>
      <c r="D49" s="120" t="s">
        <v>389</v>
      </c>
      <c r="E49" s="262">
        <v>46253</v>
      </c>
      <c r="F49" s="120">
        <v>0.35099999999999998</v>
      </c>
      <c r="G49" s="120"/>
      <c r="H49" s="120"/>
      <c r="L49" s="120">
        <v>95</v>
      </c>
      <c r="M49" s="120" t="s">
        <v>391</v>
      </c>
      <c r="N49" s="262">
        <v>46258</v>
      </c>
      <c r="O49" s="120">
        <v>0.38800000000000001</v>
      </c>
      <c r="P49" s="120"/>
      <c r="Q49" s="120"/>
    </row>
    <row r="50" spans="3:17" x14ac:dyDescent="0.3">
      <c r="C50" s="120">
        <v>46</v>
      </c>
      <c r="D50" s="120" t="s">
        <v>390</v>
      </c>
      <c r="E50" s="262">
        <v>46253</v>
      </c>
      <c r="F50" s="120">
        <v>2.028</v>
      </c>
      <c r="G50" s="120"/>
      <c r="H50" s="120"/>
      <c r="L50" s="120">
        <v>96</v>
      </c>
      <c r="M50" s="120" t="s">
        <v>393</v>
      </c>
      <c r="N50" s="262">
        <v>46258</v>
      </c>
      <c r="O50" s="120">
        <v>1.0409999999999999</v>
      </c>
      <c r="P50" s="120"/>
      <c r="Q50" s="120"/>
    </row>
    <row r="51" spans="3:17" x14ac:dyDescent="0.3">
      <c r="C51" s="120">
        <v>47</v>
      </c>
      <c r="D51" s="120" t="s">
        <v>391</v>
      </c>
      <c r="E51" s="262">
        <v>46253</v>
      </c>
      <c r="F51" s="120">
        <v>1.8380000000000001</v>
      </c>
      <c r="G51" s="120"/>
      <c r="H51" s="120"/>
      <c r="L51" s="120">
        <v>97</v>
      </c>
      <c r="M51" s="120" t="s">
        <v>395</v>
      </c>
      <c r="N51" s="262">
        <v>46258</v>
      </c>
      <c r="O51" s="120">
        <v>1.47</v>
      </c>
      <c r="P51" s="120"/>
      <c r="Q51" s="120"/>
    </row>
    <row r="52" spans="3:17" x14ac:dyDescent="0.3">
      <c r="C52" s="120">
        <v>48</v>
      </c>
      <c r="D52" s="120" t="s">
        <v>392</v>
      </c>
      <c r="E52" s="262">
        <v>46253</v>
      </c>
      <c r="F52" s="120">
        <v>1.3220000000000001</v>
      </c>
      <c r="G52" s="120"/>
      <c r="H52" s="120"/>
      <c r="L52" s="120">
        <v>98</v>
      </c>
      <c r="M52" s="120" t="s">
        <v>397</v>
      </c>
      <c r="N52" s="262">
        <v>46258</v>
      </c>
      <c r="O52" s="120">
        <v>3.8769999999999998</v>
      </c>
      <c r="P52" s="120"/>
      <c r="Q52" s="120"/>
    </row>
    <row r="53" spans="3:17" x14ac:dyDescent="0.3">
      <c r="C53" s="120">
        <v>49</v>
      </c>
      <c r="D53" s="120" t="s">
        <v>393</v>
      </c>
      <c r="E53" s="262">
        <v>46253</v>
      </c>
      <c r="F53" s="120">
        <v>0.65100000000000002</v>
      </c>
      <c r="G53" s="120"/>
      <c r="H53" s="120"/>
      <c r="L53" s="120">
        <v>99</v>
      </c>
      <c r="M53" s="120" t="s">
        <v>399</v>
      </c>
      <c r="N53" s="262">
        <v>46258</v>
      </c>
      <c r="O53" s="120">
        <v>0.35099999999999998</v>
      </c>
      <c r="P53" s="120"/>
      <c r="Q53" s="120"/>
    </row>
    <row r="54" spans="3:17" x14ac:dyDescent="0.3">
      <c r="C54" s="120">
        <v>50</v>
      </c>
      <c r="D54" s="120" t="s">
        <v>394</v>
      </c>
      <c r="E54" s="262">
        <v>46253</v>
      </c>
      <c r="F54" s="120">
        <v>0.50600000000000001</v>
      </c>
      <c r="G54" s="120"/>
      <c r="H54" s="120"/>
      <c r="L54" s="120">
        <v>100</v>
      </c>
      <c r="M54" s="120" t="s">
        <v>401</v>
      </c>
      <c r="N54" s="262">
        <v>46258</v>
      </c>
      <c r="O54" s="120">
        <v>0.32600000000000001</v>
      </c>
      <c r="P54" s="120"/>
      <c r="Q54" s="120"/>
    </row>
    <row r="55" spans="3:17" x14ac:dyDescent="0.3">
      <c r="L55" s="120">
        <v>101</v>
      </c>
      <c r="M55" s="120" t="s">
        <v>403</v>
      </c>
      <c r="N55" s="262">
        <v>46258</v>
      </c>
      <c r="O55" s="120">
        <v>0.24</v>
      </c>
      <c r="P55" s="120"/>
      <c r="Q55" s="120"/>
    </row>
    <row r="56" spans="3:17" x14ac:dyDescent="0.3">
      <c r="L56" s="120">
        <v>102</v>
      </c>
      <c r="M56" s="120" t="s">
        <v>384</v>
      </c>
      <c r="N56" s="262">
        <v>46258</v>
      </c>
      <c r="O56" s="120">
        <v>1.077</v>
      </c>
      <c r="P56" s="120"/>
      <c r="Q56" s="120"/>
    </row>
    <row r="57" spans="3:17" x14ac:dyDescent="0.3">
      <c r="L57" s="208">
        <v>103</v>
      </c>
      <c r="M57" s="208" t="s">
        <v>397</v>
      </c>
      <c r="N57" s="262">
        <v>46261</v>
      </c>
      <c r="O57" s="6">
        <v>0.253</v>
      </c>
      <c r="P57" s="18"/>
      <c r="Q57" s="18"/>
    </row>
    <row r="58" spans="3:17" x14ac:dyDescent="0.3">
      <c r="L58" s="208">
        <v>104</v>
      </c>
      <c r="M58" s="208" t="s">
        <v>399</v>
      </c>
      <c r="N58" s="262">
        <v>46261</v>
      </c>
      <c r="O58" s="6">
        <v>0.73199999999999998</v>
      </c>
      <c r="P58" s="18"/>
      <c r="Q58" s="18"/>
    </row>
    <row r="59" spans="3:17" x14ac:dyDescent="0.3">
      <c r="L59" s="208">
        <v>105</v>
      </c>
      <c r="M59" s="208" t="s">
        <v>401</v>
      </c>
      <c r="N59" s="262">
        <v>46261</v>
      </c>
      <c r="O59" s="6">
        <v>0.45400000000000001</v>
      </c>
      <c r="P59" s="18"/>
      <c r="Q59" s="18"/>
    </row>
    <row r="60" spans="3:17" x14ac:dyDescent="0.3">
      <c r="L60" s="208">
        <v>106</v>
      </c>
      <c r="M60" s="208" t="s">
        <v>403</v>
      </c>
      <c r="N60" s="262">
        <v>46261</v>
      </c>
      <c r="O60" s="6">
        <v>0.61599999999999999</v>
      </c>
      <c r="P60" s="18"/>
      <c r="Q60" s="18"/>
    </row>
    <row r="61" spans="3:17" x14ac:dyDescent="0.3">
      <c r="L61" s="208">
        <v>107</v>
      </c>
      <c r="M61" s="208" t="s">
        <v>384</v>
      </c>
      <c r="N61" s="262">
        <v>46261</v>
      </c>
      <c r="O61" s="6">
        <v>0.24199999999999999</v>
      </c>
      <c r="P61" s="18"/>
      <c r="Q61" s="18"/>
    </row>
    <row r="62" spans="3:17" x14ac:dyDescent="0.3">
      <c r="L62" s="208">
        <v>108</v>
      </c>
      <c r="M62" s="208" t="s">
        <v>404</v>
      </c>
      <c r="N62" s="262">
        <v>46261</v>
      </c>
      <c r="O62" s="6">
        <v>2.0979999999999999</v>
      </c>
      <c r="P62" s="18"/>
      <c r="Q62" s="18"/>
    </row>
    <row r="63" spans="3:17" x14ac:dyDescent="0.3">
      <c r="L63" s="208">
        <v>109</v>
      </c>
      <c r="M63" s="208" t="s">
        <v>406</v>
      </c>
      <c r="N63" s="262">
        <v>46261</v>
      </c>
      <c r="O63" s="6">
        <v>0.86299999999999999</v>
      </c>
      <c r="P63" s="18"/>
      <c r="Q63" s="18"/>
    </row>
  </sheetData>
  <mergeCells count="2">
    <mergeCell ref="C3:H3"/>
    <mergeCell ref="L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20"/>
  <sheetViews>
    <sheetView topLeftCell="A13" zoomScale="62" zoomScaleNormal="40" workbookViewId="0">
      <pane xSplit="2" topLeftCell="C1" activePane="topRight" state="frozen"/>
      <selection activeCell="A2" sqref="A2"/>
      <selection pane="topRight" activeCell="E49" sqref="E49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9" width="13.21875" bestFit="1" customWidth="1"/>
    <col min="10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0"/>
    <col min="21" max="21" width="14.44140625" style="78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4"/>
      <c r="B1" s="74"/>
      <c r="C1" s="75"/>
      <c r="D1" s="76"/>
      <c r="E1" s="76"/>
      <c r="F1" s="74"/>
      <c r="G1" s="76"/>
      <c r="H1" s="1273" t="s">
        <v>124</v>
      </c>
      <c r="I1" s="1273"/>
      <c r="J1" s="1273"/>
      <c r="K1" s="1273"/>
      <c r="L1" s="1273"/>
      <c r="M1" s="1273"/>
      <c r="N1" s="1273"/>
      <c r="O1" s="1273"/>
      <c r="P1" s="1273"/>
      <c r="Q1" s="1273"/>
      <c r="R1" s="1273"/>
      <c r="S1" s="1273"/>
      <c r="T1" s="1273"/>
      <c r="U1" s="1273"/>
      <c r="V1" s="1273"/>
      <c r="W1" s="1273"/>
      <c r="X1" s="1273"/>
      <c r="Y1" s="1273"/>
      <c r="Z1" s="1273"/>
      <c r="AA1" s="1273"/>
      <c r="AB1" s="1273"/>
      <c r="AC1" s="1273"/>
      <c r="AD1" s="1273"/>
      <c r="AE1" s="1273"/>
      <c r="AF1" s="1273"/>
      <c r="AG1" s="1273"/>
      <c r="AH1" s="1273"/>
      <c r="AI1" s="1273"/>
      <c r="AJ1" s="1273"/>
      <c r="AK1" s="74"/>
      <c r="AL1" s="74"/>
      <c r="AM1" s="74"/>
      <c r="AN1" s="74"/>
      <c r="AO1" s="74"/>
      <c r="AP1" s="74"/>
      <c r="AQ1" s="74"/>
      <c r="AR1" s="74"/>
      <c r="AS1" s="74"/>
    </row>
    <row r="2" spans="1:45" ht="14.4" x14ac:dyDescent="0.3">
      <c r="A2" s="74"/>
      <c r="B2" s="74"/>
      <c r="C2" s="75"/>
      <c r="D2" s="76"/>
      <c r="E2" s="76"/>
      <c r="F2" s="74"/>
      <c r="G2" s="74"/>
      <c r="H2" s="1274" t="s">
        <v>125</v>
      </c>
      <c r="I2" s="1274"/>
      <c r="J2" s="1274"/>
      <c r="K2" s="1274"/>
      <c r="L2" s="1274"/>
      <c r="M2" s="1274"/>
      <c r="N2" s="1274"/>
      <c r="O2" s="1274"/>
      <c r="P2" s="1274"/>
      <c r="Q2" s="1274"/>
      <c r="R2" s="1274"/>
      <c r="S2" s="1274"/>
      <c r="T2" s="1274"/>
      <c r="U2" s="1274"/>
      <c r="V2" s="1274"/>
      <c r="W2" s="1274"/>
      <c r="X2" s="1274"/>
      <c r="Y2" s="1274"/>
      <c r="Z2" s="1274"/>
      <c r="AA2" s="1274"/>
      <c r="AB2" s="1274"/>
      <c r="AC2" s="1274"/>
      <c r="AD2" s="1274"/>
      <c r="AE2" s="1274"/>
      <c r="AF2" s="1274"/>
      <c r="AG2" s="1274"/>
      <c r="AH2" s="1274"/>
      <c r="AI2" s="1274"/>
      <c r="AJ2" s="1274"/>
      <c r="AK2" s="74"/>
      <c r="AL2" s="74"/>
      <c r="AM2" s="74"/>
      <c r="AN2" s="74"/>
      <c r="AO2" s="74"/>
      <c r="AP2" s="74"/>
      <c r="AQ2" s="74"/>
      <c r="AR2" s="74"/>
      <c r="AS2" s="74"/>
    </row>
    <row r="3" spans="1:45" ht="25.8" x14ac:dyDescent="0.5">
      <c r="A3" s="74"/>
      <c r="B3" s="74"/>
      <c r="C3" s="75"/>
      <c r="D3" s="76"/>
      <c r="E3" s="76"/>
      <c r="F3" s="74"/>
      <c r="G3" s="74"/>
      <c r="H3" s="77"/>
      <c r="AK3" s="74"/>
      <c r="AL3" s="74"/>
      <c r="AM3" s="74"/>
      <c r="AN3" s="74"/>
      <c r="AO3" s="74"/>
      <c r="AP3" s="74"/>
      <c r="AQ3" s="74"/>
      <c r="AR3" s="74"/>
      <c r="AS3" s="74"/>
    </row>
    <row r="4" spans="1:45" thickBot="1" x14ac:dyDescent="0.35">
      <c r="A4" s="74"/>
      <c r="B4" s="79"/>
      <c r="C4" s="80"/>
      <c r="D4" s="81"/>
      <c r="E4" s="81"/>
      <c r="F4" s="79"/>
      <c r="G4" s="79"/>
      <c r="H4" s="79"/>
      <c r="I4" s="80"/>
      <c r="J4" s="80"/>
      <c r="K4" s="81"/>
      <c r="L4" s="81"/>
      <c r="M4" s="81"/>
      <c r="N4" s="79"/>
      <c r="O4" s="79"/>
      <c r="P4" s="79"/>
      <c r="Q4" s="79"/>
      <c r="R4" s="79"/>
      <c r="S4" s="79"/>
      <c r="T4" s="81"/>
      <c r="U4" s="82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4"/>
      <c r="AK4" s="74"/>
      <c r="AL4" s="74"/>
      <c r="AM4" s="74"/>
      <c r="AN4" s="74"/>
      <c r="AO4" s="74"/>
      <c r="AP4" s="74"/>
      <c r="AQ4" s="74"/>
      <c r="AR4" s="74"/>
      <c r="AS4" s="74"/>
    </row>
    <row r="5" spans="1:45" ht="29.4" thickBot="1" x14ac:dyDescent="0.35">
      <c r="A5" s="83"/>
      <c r="B5" s="1263" t="s">
        <v>72</v>
      </c>
      <c r="C5" s="1265" t="s">
        <v>73</v>
      </c>
      <c r="D5" s="1266"/>
      <c r="E5" s="1266"/>
      <c r="F5" s="1266"/>
      <c r="G5" s="1266"/>
      <c r="H5" s="1267"/>
      <c r="I5" s="1268" t="s">
        <v>431</v>
      </c>
      <c r="J5" s="1268" t="s">
        <v>320</v>
      </c>
      <c r="K5" s="1269" t="s">
        <v>74</v>
      </c>
      <c r="L5" s="1266"/>
      <c r="M5" s="1266"/>
      <c r="N5" s="1263" t="s">
        <v>75</v>
      </c>
      <c r="O5" s="1275" t="s">
        <v>177</v>
      </c>
      <c r="P5" s="1275"/>
      <c r="Q5" s="1275"/>
      <c r="R5" s="1275"/>
      <c r="S5" s="1275"/>
      <c r="T5" s="1275"/>
      <c r="U5" s="1275"/>
      <c r="V5" s="1275"/>
      <c r="W5" s="1275"/>
      <c r="X5" s="1275"/>
      <c r="Y5" s="1276"/>
      <c r="Z5" s="1269" t="s">
        <v>76</v>
      </c>
      <c r="AA5" s="1277"/>
      <c r="AB5" s="1277"/>
      <c r="AC5" s="1277"/>
      <c r="AD5" s="1277"/>
      <c r="AE5" s="1277"/>
      <c r="AF5" s="1277"/>
      <c r="AG5" s="1278"/>
      <c r="AH5" s="1269" t="s">
        <v>77</v>
      </c>
      <c r="AI5" s="1267"/>
      <c r="AJ5" s="1269" t="s">
        <v>78</v>
      </c>
      <c r="AK5" s="1266"/>
      <c r="AL5" s="1266"/>
      <c r="AM5" s="1266"/>
      <c r="AN5" s="1266"/>
      <c r="AO5" s="1267"/>
      <c r="AP5" s="1269" t="s">
        <v>79</v>
      </c>
      <c r="AQ5" s="1267"/>
      <c r="AR5" s="74"/>
      <c r="AS5" s="84" t="s">
        <v>80</v>
      </c>
    </row>
    <row r="6" spans="1:45" ht="29.4" thickBot="1" x14ac:dyDescent="0.35">
      <c r="A6" s="83"/>
      <c r="B6" s="1264"/>
      <c r="C6" s="150" t="s">
        <v>81</v>
      </c>
      <c r="D6" s="85" t="s">
        <v>82</v>
      </c>
      <c r="E6" s="85" t="s">
        <v>83</v>
      </c>
      <c r="F6" s="85" t="s">
        <v>84</v>
      </c>
      <c r="G6" s="85" t="s">
        <v>170</v>
      </c>
      <c r="H6" s="85" t="s">
        <v>85</v>
      </c>
      <c r="I6" s="1264"/>
      <c r="J6" s="1271"/>
      <c r="K6" s="85" t="s">
        <v>86</v>
      </c>
      <c r="L6" s="85" t="s">
        <v>87</v>
      </c>
      <c r="M6" s="85" t="s">
        <v>126</v>
      </c>
      <c r="N6" s="1270"/>
      <c r="O6" s="85" t="s">
        <v>88</v>
      </c>
      <c r="P6" s="85" t="s">
        <v>89</v>
      </c>
      <c r="Q6" s="85" t="s">
        <v>90</v>
      </c>
      <c r="R6" s="85" t="s">
        <v>91</v>
      </c>
      <c r="S6" s="85" t="s">
        <v>92</v>
      </c>
      <c r="T6" s="85" t="s">
        <v>93</v>
      </c>
      <c r="U6" s="151" t="s">
        <v>94</v>
      </c>
      <c r="V6" s="85" t="s">
        <v>95</v>
      </c>
      <c r="W6" s="85" t="s">
        <v>96</v>
      </c>
      <c r="X6" s="85" t="s">
        <v>97</v>
      </c>
      <c r="Y6" s="85" t="s">
        <v>98</v>
      </c>
      <c r="Z6" s="85" t="s">
        <v>317</v>
      </c>
      <c r="AA6" s="85" t="s">
        <v>123</v>
      </c>
      <c r="AB6" s="85" t="s">
        <v>100</v>
      </c>
      <c r="AC6" s="85" t="s">
        <v>101</v>
      </c>
      <c r="AD6" s="85" t="s">
        <v>102</v>
      </c>
      <c r="AE6" s="85" t="s">
        <v>103</v>
      </c>
      <c r="AF6" s="85" t="s">
        <v>104</v>
      </c>
      <c r="AG6" s="85" t="s">
        <v>131</v>
      </c>
      <c r="AH6" s="85" t="s">
        <v>105</v>
      </c>
      <c r="AI6" s="85" t="s">
        <v>106</v>
      </c>
      <c r="AJ6" s="85" t="s">
        <v>99</v>
      </c>
      <c r="AK6" s="85" t="s">
        <v>100</v>
      </c>
      <c r="AL6" s="85" t="s">
        <v>101</v>
      </c>
      <c r="AM6" s="85" t="s">
        <v>102</v>
      </c>
      <c r="AN6" s="85" t="s">
        <v>103</v>
      </c>
      <c r="AO6" s="85" t="s">
        <v>104</v>
      </c>
      <c r="AP6" s="85" t="s">
        <v>107</v>
      </c>
      <c r="AQ6" s="85" t="s">
        <v>108</v>
      </c>
      <c r="AR6" s="74"/>
      <c r="AS6" s="74" t="s">
        <v>109</v>
      </c>
    </row>
    <row r="7" spans="1:45" s="654" customFormat="1" ht="14.4" x14ac:dyDescent="0.3">
      <c r="A7" s="642"/>
      <c r="B7" s="643">
        <v>46174</v>
      </c>
      <c r="C7" s="644">
        <f>Crushing!N6</f>
        <v>0</v>
      </c>
      <c r="D7" s="644">
        <f>C7</f>
        <v>0</v>
      </c>
      <c r="E7" s="644" t="str">
        <f>IFERROR(C7/I7,"")</f>
        <v/>
      </c>
      <c r="F7" s="652"/>
      <c r="G7" s="645">
        <f>C7*F7</f>
        <v>0</v>
      </c>
      <c r="H7" s="646">
        <f>G7/1000</f>
        <v>0</v>
      </c>
      <c r="I7" s="644"/>
      <c r="J7" s="644">
        <v>0</v>
      </c>
      <c r="K7" s="647"/>
      <c r="L7" s="647">
        <v>0</v>
      </c>
      <c r="M7" s="647">
        <v>1</v>
      </c>
      <c r="N7" s="647">
        <f>IF(L7=100%,I7/24*100%,L7)</f>
        <v>0</v>
      </c>
      <c r="O7" s="655"/>
      <c r="P7" s="655"/>
      <c r="Q7" s="652"/>
      <c r="R7" s="652"/>
      <c r="S7" s="652"/>
      <c r="T7" s="652">
        <f>(O7*R7)-(S7*O7)</f>
        <v>0</v>
      </c>
      <c r="U7" s="1049" t="str">
        <f>IFERROR((R7-S7)/R7,"")</f>
        <v/>
      </c>
      <c r="V7" s="651"/>
      <c r="W7" s="651"/>
      <c r="X7" s="651"/>
      <c r="Y7" s="651"/>
      <c r="Z7" s="652">
        <f>'Reagent Consumption'!O7</f>
        <v>0</v>
      </c>
      <c r="AA7" s="644">
        <f>'Fuel Consumption'!D4</f>
        <v>320</v>
      </c>
      <c r="AB7" s="652">
        <f>'Reagent Consumption'!Q7</f>
        <v>0</v>
      </c>
      <c r="AC7" s="652">
        <f>'Reagent Consumption'!P7</f>
        <v>0</v>
      </c>
      <c r="AD7" s="652">
        <f>'Reagent Consumption'!R7</f>
        <v>0</v>
      </c>
      <c r="AE7" s="652">
        <f>'Reagent Consumption'!S7</f>
        <v>0</v>
      </c>
      <c r="AF7" s="652">
        <f>'Reagent Consumption'!T7</f>
        <v>0</v>
      </c>
      <c r="AG7" s="652">
        <f>'Fuel Consumption'!D4</f>
        <v>320</v>
      </c>
      <c r="AH7" s="652"/>
      <c r="AI7" s="652"/>
      <c r="AJ7" s="652"/>
      <c r="AK7" s="652"/>
      <c r="AL7" s="652"/>
      <c r="AM7" s="652"/>
      <c r="AN7" s="652"/>
      <c r="AO7" s="652"/>
      <c r="AP7" s="652"/>
      <c r="AQ7" s="651"/>
      <c r="AR7" s="653"/>
      <c r="AS7" s="653" t="s">
        <v>110</v>
      </c>
    </row>
    <row r="8" spans="1:45" s="654" customFormat="1" ht="14.4" x14ac:dyDescent="0.3">
      <c r="A8" s="642"/>
      <c r="B8" s="643">
        <v>46175</v>
      </c>
      <c r="C8" s="644">
        <f>Crushing!N8</f>
        <v>78.043500000000009</v>
      </c>
      <c r="D8" s="644">
        <f t="shared" ref="D8:D13" si="0">D7+C8</f>
        <v>78.043500000000009</v>
      </c>
      <c r="E8" s="644">
        <f t="shared" ref="E8:E11" si="1">C8/I8</f>
        <v>7.0734290030211486</v>
      </c>
      <c r="F8" s="652">
        <v>1.45</v>
      </c>
      <c r="G8" s="644">
        <f>C8*F8</f>
        <v>113.16307500000001</v>
      </c>
      <c r="H8" s="646">
        <f>G8/1000</f>
        <v>0.113163075</v>
      </c>
      <c r="I8" s="644">
        <f>'Crushing Down Time Hours'!L7</f>
        <v>11.033333333333333</v>
      </c>
      <c r="J8" s="644">
        <v>0</v>
      </c>
      <c r="K8" s="647"/>
      <c r="L8" s="647">
        <f t="shared" ref="L8:L23" si="2">J8/24</f>
        <v>0</v>
      </c>
      <c r="M8" s="647">
        <v>1</v>
      </c>
      <c r="N8" s="647">
        <f>IF(L8=100%,I8/24*100%,L8)</f>
        <v>0</v>
      </c>
      <c r="O8" s="650"/>
      <c r="P8" s="650"/>
      <c r="Q8" s="651"/>
      <c r="R8" s="651"/>
      <c r="S8" s="651"/>
      <c r="T8" s="652">
        <f t="shared" ref="T8:T37" si="3">(P8*R8)-(S8*P8)</f>
        <v>0</v>
      </c>
      <c r="U8" s="1049" t="str">
        <f t="shared" ref="U8:U55" si="4">IFERROR((R8-S8)/R8,"")</f>
        <v/>
      </c>
      <c r="V8" s="651"/>
      <c r="W8" s="651"/>
      <c r="X8" s="651"/>
      <c r="Y8" s="651"/>
      <c r="Z8" s="652">
        <f>'Reagent Consumption'!O8</f>
        <v>0</v>
      </c>
      <c r="AA8" s="644">
        <f>'Fuel Consumption'!D5</f>
        <v>320</v>
      </c>
      <c r="AB8" s="652">
        <f>'Reagent Consumption'!Q8</f>
        <v>0</v>
      </c>
      <c r="AC8" s="652">
        <f>'Reagent Consumption'!P8</f>
        <v>0</v>
      </c>
      <c r="AD8" s="652">
        <f>'Reagent Consumption'!R8</f>
        <v>0</v>
      </c>
      <c r="AE8" s="652">
        <f>'Reagent Consumption'!S8</f>
        <v>0</v>
      </c>
      <c r="AF8" s="652">
        <f>'Reagent Consumption'!T8</f>
        <v>0</v>
      </c>
      <c r="AG8" s="652">
        <f>'Fuel Consumption'!D5</f>
        <v>320</v>
      </c>
      <c r="AH8" s="652"/>
      <c r="AI8" s="652"/>
      <c r="AJ8" s="652"/>
      <c r="AK8" s="652"/>
      <c r="AL8" s="652"/>
      <c r="AM8" s="652"/>
      <c r="AN8" s="652"/>
      <c r="AO8" s="652"/>
      <c r="AP8" s="652"/>
      <c r="AQ8" s="651"/>
      <c r="AR8" s="653"/>
      <c r="AS8" s="653" t="s">
        <v>111</v>
      </c>
    </row>
    <row r="9" spans="1:45" s="654" customFormat="1" ht="14.4" x14ac:dyDescent="0.3">
      <c r="A9" s="642"/>
      <c r="B9" s="643">
        <v>46176</v>
      </c>
      <c r="C9" s="644">
        <f>Crushing!N10</f>
        <v>17.712000000000003</v>
      </c>
      <c r="D9" s="644">
        <f t="shared" si="0"/>
        <v>95.755500000000012</v>
      </c>
      <c r="E9" s="644">
        <f t="shared" si="1"/>
        <v>1.6053172205438069</v>
      </c>
      <c r="F9" s="656">
        <v>1.45</v>
      </c>
      <c r="G9" s="657">
        <f t="shared" ref="G9:G16" si="5">F9*C9</f>
        <v>25.682400000000005</v>
      </c>
      <c r="H9" s="658">
        <f t="shared" ref="H9:H17" si="6">G9/1000</f>
        <v>2.5682400000000005E-2</v>
      </c>
      <c r="I9" s="644">
        <f>'Crushing Down Time Hours'!L8</f>
        <v>11.033333333333333</v>
      </c>
      <c r="J9" s="644">
        <v>0</v>
      </c>
      <c r="K9" s="647"/>
      <c r="L9" s="647">
        <f t="shared" si="2"/>
        <v>0</v>
      </c>
      <c r="M9" s="647">
        <v>1</v>
      </c>
      <c r="N9" s="647">
        <f>IF(L9=100%,(I9/24),L9)</f>
        <v>0</v>
      </c>
      <c r="O9" s="650"/>
      <c r="P9" s="650"/>
      <c r="Q9" s="651"/>
      <c r="R9" s="651"/>
      <c r="S9" s="651"/>
      <c r="T9" s="652">
        <f t="shared" si="3"/>
        <v>0</v>
      </c>
      <c r="U9" s="1049" t="str">
        <f t="shared" si="4"/>
        <v/>
      </c>
      <c r="V9" s="651"/>
      <c r="W9" s="651"/>
      <c r="X9" s="651"/>
      <c r="Y9" s="651"/>
      <c r="Z9" s="652">
        <f>'Reagent Consumption'!O9</f>
        <v>0</v>
      </c>
      <c r="AA9" s="644">
        <f>'Fuel Consumption'!D6</f>
        <v>388</v>
      </c>
      <c r="AB9" s="652">
        <f>'Reagent Consumption'!Q9</f>
        <v>0</v>
      </c>
      <c r="AC9" s="652">
        <f>'Reagent Consumption'!P9</f>
        <v>0</v>
      </c>
      <c r="AD9" s="652">
        <f>'Reagent Consumption'!R9</f>
        <v>0</v>
      </c>
      <c r="AE9" s="652">
        <f>'Reagent Consumption'!S9</f>
        <v>0</v>
      </c>
      <c r="AF9" s="652">
        <f>'Reagent Consumption'!T9</f>
        <v>0</v>
      </c>
      <c r="AG9" s="652">
        <f>'Fuel Consumption'!D6</f>
        <v>388</v>
      </c>
      <c r="AH9" s="652"/>
      <c r="AI9" s="652"/>
      <c r="AJ9" s="652"/>
      <c r="AK9" s="652"/>
      <c r="AL9" s="652"/>
      <c r="AM9" s="652"/>
      <c r="AN9" s="652"/>
      <c r="AO9" s="652"/>
      <c r="AP9" s="652"/>
      <c r="AQ9" s="651"/>
      <c r="AR9" s="653"/>
      <c r="AS9" s="653" t="s">
        <v>112</v>
      </c>
    </row>
    <row r="10" spans="1:45" s="654" customFormat="1" ht="14.4" x14ac:dyDescent="0.3">
      <c r="A10" s="642"/>
      <c r="B10" s="643">
        <v>46177</v>
      </c>
      <c r="C10" s="644">
        <f>Crushing!N12</f>
        <v>157.9905</v>
      </c>
      <c r="D10" s="644">
        <f t="shared" si="0"/>
        <v>253.74600000000001</v>
      </c>
      <c r="E10" s="644">
        <f t="shared" si="1"/>
        <v>16.74810954063604</v>
      </c>
      <c r="F10" s="652">
        <v>1.45</v>
      </c>
      <c r="G10" s="657">
        <f t="shared" si="5"/>
        <v>229.08622499999998</v>
      </c>
      <c r="H10" s="658">
        <f t="shared" si="6"/>
        <v>0.22908622499999998</v>
      </c>
      <c r="I10" s="644">
        <f>'Crushing Down Time Hours'!L9</f>
        <v>9.4333333333333353</v>
      </c>
      <c r="J10" s="644">
        <v>0</v>
      </c>
      <c r="K10" s="647"/>
      <c r="L10" s="647">
        <f t="shared" si="2"/>
        <v>0</v>
      </c>
      <c r="M10" s="647">
        <v>1</v>
      </c>
      <c r="N10" s="647">
        <f t="shared" ref="N10:N23" si="7">IF(L10=100%,I10/24*100%,L10)</f>
        <v>0</v>
      </c>
      <c r="O10" s="659"/>
      <c r="P10" s="650"/>
      <c r="Q10" s="651"/>
      <c r="R10" s="642"/>
      <c r="S10" s="651"/>
      <c r="T10" s="652">
        <f t="shared" si="3"/>
        <v>0</v>
      </c>
      <c r="U10" s="1049" t="str">
        <f t="shared" si="4"/>
        <v/>
      </c>
      <c r="V10" s="651"/>
      <c r="W10" s="651"/>
      <c r="X10" s="651"/>
      <c r="Y10" s="651"/>
      <c r="Z10" s="652">
        <f>'Reagent Consumption'!O10</f>
        <v>150</v>
      </c>
      <c r="AA10" s="644">
        <f>'Fuel Consumption'!D7</f>
        <v>425</v>
      </c>
      <c r="AB10" s="652">
        <f>'Reagent Consumption'!Q10</f>
        <v>0</v>
      </c>
      <c r="AC10" s="652">
        <f>'Reagent Consumption'!P10</f>
        <v>250</v>
      </c>
      <c r="AD10" s="652">
        <f>'Reagent Consumption'!R10</f>
        <v>0</v>
      </c>
      <c r="AE10" s="652">
        <f>'Reagent Consumption'!S10</f>
        <v>0</v>
      </c>
      <c r="AF10" s="652">
        <f>'Reagent Consumption'!T10</f>
        <v>0</v>
      </c>
      <c r="AG10" s="652">
        <f>'Fuel Consumption'!D7</f>
        <v>425</v>
      </c>
      <c r="AH10" s="652"/>
      <c r="AI10" s="652"/>
      <c r="AJ10" s="652"/>
      <c r="AK10" s="652"/>
      <c r="AL10" s="652"/>
      <c r="AM10" s="652"/>
      <c r="AN10" s="652"/>
      <c r="AO10" s="652"/>
      <c r="AP10" s="652"/>
      <c r="AQ10" s="651"/>
      <c r="AR10" s="653"/>
      <c r="AS10" s="653" t="s">
        <v>113</v>
      </c>
    </row>
    <row r="11" spans="1:45" s="654" customFormat="1" ht="14.4" x14ac:dyDescent="0.3">
      <c r="A11" s="642"/>
      <c r="B11" s="643">
        <v>46252</v>
      </c>
      <c r="C11" s="644">
        <f>Crushing!N14</f>
        <v>37.919199999999996</v>
      </c>
      <c r="D11" s="644">
        <f t="shared" si="0"/>
        <v>291.66520000000003</v>
      </c>
      <c r="E11" s="644">
        <f t="shared" si="1"/>
        <v>18.648786885245901</v>
      </c>
      <c r="F11" s="652">
        <v>0.77</v>
      </c>
      <c r="G11" s="657">
        <f t="shared" si="5"/>
        <v>29.197783999999999</v>
      </c>
      <c r="H11" s="658">
        <f t="shared" si="6"/>
        <v>2.9197783999999997E-2</v>
      </c>
      <c r="I11" s="644">
        <f>'Crushing Down Time Hours'!L6</f>
        <v>2.0333333333333332</v>
      </c>
      <c r="J11" s="644">
        <v>0</v>
      </c>
      <c r="K11" s="647">
        <f>'Crushing Down Time Hours'!M6</f>
        <v>0.16944444444444443</v>
      </c>
      <c r="L11" s="647">
        <f t="shared" si="2"/>
        <v>0</v>
      </c>
      <c r="M11" s="647">
        <v>1</v>
      </c>
      <c r="N11" s="647">
        <f t="shared" si="7"/>
        <v>0</v>
      </c>
      <c r="O11" s="651"/>
      <c r="P11" s="651"/>
      <c r="Q11" s="660"/>
      <c r="R11" s="659"/>
      <c r="S11" s="651"/>
      <c r="T11" s="652">
        <f t="shared" si="3"/>
        <v>0</v>
      </c>
      <c r="U11" s="1049" t="str">
        <f t="shared" si="4"/>
        <v/>
      </c>
      <c r="V11" s="651"/>
      <c r="W11" s="651"/>
      <c r="X11" s="651"/>
      <c r="Y11" s="651"/>
      <c r="Z11" s="652">
        <f>'Reagent Consumption'!O11</f>
        <v>225</v>
      </c>
      <c r="AA11" s="644">
        <f>'Fuel Consumption'!D8</f>
        <v>452</v>
      </c>
      <c r="AB11" s="652">
        <f>'Reagent Consumption'!Q11</f>
        <v>1000</v>
      </c>
      <c r="AC11" s="652">
        <f>'Reagent Consumption'!P11</f>
        <v>1250</v>
      </c>
      <c r="AD11" s="652">
        <f>'Reagent Consumption'!R11</f>
        <v>0</v>
      </c>
      <c r="AE11" s="652">
        <f>'Reagent Consumption'!S11</f>
        <v>0</v>
      </c>
      <c r="AF11" s="652">
        <f>'Reagent Consumption'!T11</f>
        <v>25</v>
      </c>
      <c r="AG11" s="652">
        <f>'Fuel Consumption'!D8</f>
        <v>452</v>
      </c>
      <c r="AH11" s="652"/>
      <c r="AI11" s="652"/>
      <c r="AJ11" s="652"/>
      <c r="AK11" s="652"/>
      <c r="AL11" s="652"/>
      <c r="AM11" s="652"/>
      <c r="AN11" s="652"/>
      <c r="AO11" s="652"/>
      <c r="AP11" s="652"/>
      <c r="AQ11" s="651"/>
      <c r="AR11" s="653"/>
      <c r="AS11" s="653" t="s">
        <v>114</v>
      </c>
    </row>
    <row r="12" spans="1:45" s="654" customFormat="1" ht="14.4" x14ac:dyDescent="0.3">
      <c r="A12" s="642"/>
      <c r="B12" s="643">
        <v>46253</v>
      </c>
      <c r="C12" s="644">
        <f>Crushing!N16</f>
        <v>283.17079999999999</v>
      </c>
      <c r="D12" s="644">
        <f t="shared" si="0"/>
        <v>574.83600000000001</v>
      </c>
      <c r="E12" s="644">
        <f>C12/I12</f>
        <v>25.665027190332324</v>
      </c>
      <c r="F12" s="661">
        <v>1.0209999999999999</v>
      </c>
      <c r="G12" s="657">
        <f>F12*C12</f>
        <v>289.11738679999996</v>
      </c>
      <c r="H12" s="658">
        <f t="shared" si="6"/>
        <v>0.28911738679999999</v>
      </c>
      <c r="I12" s="644">
        <f>'Crushing Down Time Hours'!L7</f>
        <v>11.033333333333333</v>
      </c>
      <c r="J12" s="644">
        <v>0</v>
      </c>
      <c r="K12" s="647">
        <f>'Crushing Down Time Hours'!M7</f>
        <v>0.9194444444444444</v>
      </c>
      <c r="L12" s="647">
        <f t="shared" si="2"/>
        <v>0</v>
      </c>
      <c r="M12" s="647">
        <v>1</v>
      </c>
      <c r="N12" s="647">
        <f t="shared" si="7"/>
        <v>0</v>
      </c>
      <c r="O12" s="651"/>
      <c r="P12" s="651"/>
      <c r="Q12" s="660"/>
      <c r="R12" s="659"/>
      <c r="S12" s="651"/>
      <c r="T12" s="652">
        <f t="shared" si="3"/>
        <v>0</v>
      </c>
      <c r="U12" s="1049" t="str">
        <f t="shared" si="4"/>
        <v/>
      </c>
      <c r="V12" s="651"/>
      <c r="W12" s="651"/>
      <c r="X12" s="651"/>
      <c r="Y12" s="651"/>
      <c r="Z12" s="652">
        <f>'Reagent Consumption'!O13</f>
        <v>100</v>
      </c>
      <c r="AA12" s="644">
        <f>'Fuel Consumption'!D9</f>
        <v>397</v>
      </c>
      <c r="AB12" s="652">
        <f>'Reagent Consumption'!Q13</f>
        <v>0</v>
      </c>
      <c r="AC12" s="652">
        <f>'Reagent Consumption'!P13</f>
        <v>250</v>
      </c>
      <c r="AD12" s="652">
        <f>'Reagent Consumption'!R13</f>
        <v>0</v>
      </c>
      <c r="AE12" s="652">
        <f>'Reagent Consumption'!S13</f>
        <v>0</v>
      </c>
      <c r="AF12" s="652">
        <f>'Reagent Consumption'!T13</f>
        <v>0</v>
      </c>
      <c r="AG12" s="652">
        <f>'Fuel Consumption'!D9</f>
        <v>397</v>
      </c>
      <c r="AH12" s="652"/>
      <c r="AI12" s="652"/>
      <c r="AJ12" s="652"/>
      <c r="AK12" s="652"/>
      <c r="AL12" s="652"/>
      <c r="AM12" s="652"/>
      <c r="AN12" s="652"/>
      <c r="AO12" s="652"/>
      <c r="AP12" s="652"/>
      <c r="AQ12" s="651"/>
      <c r="AR12" s="653"/>
      <c r="AS12" s="653" t="s">
        <v>115</v>
      </c>
    </row>
    <row r="13" spans="1:45" s="654" customFormat="1" ht="14.4" x14ac:dyDescent="0.3">
      <c r="A13" s="642"/>
      <c r="B13" s="643">
        <v>46254</v>
      </c>
      <c r="C13" s="644">
        <f>Crushing!N18</f>
        <v>337.14449999999999</v>
      </c>
      <c r="D13" s="644">
        <f t="shared" si="0"/>
        <v>911.98050000000001</v>
      </c>
      <c r="E13" s="645">
        <f t="shared" ref="E13:E23" si="8">C13/I13</f>
        <v>33.658352745424288</v>
      </c>
      <c r="F13" s="652">
        <v>0.60399999999999998</v>
      </c>
      <c r="G13" s="644">
        <f>F13*C13</f>
        <v>203.635278</v>
      </c>
      <c r="H13" s="646">
        <f t="shared" si="6"/>
        <v>0.203635278</v>
      </c>
      <c r="I13" s="644">
        <f>'Crushing Down Time Hours'!L12</f>
        <v>10.016666666666667</v>
      </c>
      <c r="J13" s="644">
        <v>0</v>
      </c>
      <c r="K13" s="647">
        <f>'Crushing Down Time Hours'!M8</f>
        <v>0.9194444444444444</v>
      </c>
      <c r="L13" s="647">
        <f t="shared" si="2"/>
        <v>0</v>
      </c>
      <c r="M13" s="647">
        <v>1</v>
      </c>
      <c r="N13" s="647">
        <f t="shared" si="7"/>
        <v>0</v>
      </c>
      <c r="O13" s="651"/>
      <c r="P13" s="651"/>
      <c r="Q13" s="660"/>
      <c r="R13" s="659"/>
      <c r="S13" s="651"/>
      <c r="T13" s="652">
        <f t="shared" si="3"/>
        <v>0</v>
      </c>
      <c r="U13" s="1049" t="str">
        <f t="shared" si="4"/>
        <v/>
      </c>
      <c r="V13" s="651" t="s">
        <v>116</v>
      </c>
      <c r="W13" s="651"/>
      <c r="X13" s="651"/>
      <c r="Y13" s="651"/>
      <c r="Z13" s="652">
        <f>'Reagent Consumption'!O15</f>
        <v>100</v>
      </c>
      <c r="AA13" s="644">
        <f>'Fuel Consumption'!D10</f>
        <v>283</v>
      </c>
      <c r="AB13" s="652">
        <f>'Reagent Consumption'!Q15</f>
        <v>0</v>
      </c>
      <c r="AC13" s="652">
        <f>'Reagent Consumption'!P15</f>
        <v>0</v>
      </c>
      <c r="AD13" s="652">
        <f>'Reagent Consumption'!R15</f>
        <v>0</v>
      </c>
      <c r="AE13" s="652">
        <f>'Reagent Consumption'!S15</f>
        <v>0</v>
      </c>
      <c r="AF13" s="652">
        <f>'Reagent Consumption'!T15</f>
        <v>0</v>
      </c>
      <c r="AG13" s="652">
        <f>'Fuel Consumption'!D10</f>
        <v>283</v>
      </c>
      <c r="AH13" s="652"/>
      <c r="AI13" s="652"/>
      <c r="AJ13" s="652"/>
      <c r="AK13" s="652"/>
      <c r="AL13" s="652"/>
      <c r="AM13" s="652"/>
      <c r="AN13" s="652"/>
      <c r="AO13" s="652"/>
      <c r="AP13" s="652"/>
      <c r="AQ13" s="651"/>
      <c r="AR13" s="653"/>
      <c r="AS13" s="653" t="s">
        <v>117</v>
      </c>
    </row>
    <row r="14" spans="1:45" s="654" customFormat="1" ht="14.4" x14ac:dyDescent="0.3">
      <c r="A14" s="642"/>
      <c r="B14" s="643">
        <v>46255</v>
      </c>
      <c r="C14" s="644">
        <f>Crushing!N20</f>
        <v>293.35949999999997</v>
      </c>
      <c r="D14" s="644">
        <f>D13+C14</f>
        <v>1205.3399999999999</v>
      </c>
      <c r="E14" s="645">
        <f t="shared" si="8"/>
        <v>31.098180212014125</v>
      </c>
      <c r="F14" s="652">
        <v>0.442</v>
      </c>
      <c r="G14" s="644">
        <f>F14*C14</f>
        <v>129.66489899999999</v>
      </c>
      <c r="H14" s="646">
        <f t="shared" si="6"/>
        <v>0.129664899</v>
      </c>
      <c r="I14" s="644">
        <f>'Crushing Down Time Hours'!L9</f>
        <v>9.4333333333333353</v>
      </c>
      <c r="J14" s="644">
        <v>0</v>
      </c>
      <c r="K14" s="647">
        <f>'Crushing Down Time Hours'!M9</f>
        <v>0.78611111111111132</v>
      </c>
      <c r="L14" s="647">
        <f t="shared" si="2"/>
        <v>0</v>
      </c>
      <c r="M14" s="647">
        <v>1</v>
      </c>
      <c r="N14" s="647">
        <f t="shared" si="7"/>
        <v>0</v>
      </c>
      <c r="O14" s="651"/>
      <c r="P14" s="651"/>
      <c r="Q14" s="660"/>
      <c r="R14" s="650"/>
      <c r="S14" s="651"/>
      <c r="T14" s="652">
        <f t="shared" si="3"/>
        <v>0</v>
      </c>
      <c r="U14" s="1049" t="str">
        <f t="shared" si="4"/>
        <v/>
      </c>
      <c r="V14" s="651"/>
      <c r="W14" s="651"/>
      <c r="X14" s="651"/>
      <c r="Y14" s="651"/>
      <c r="Z14" s="652">
        <f>'Reagent Consumption'!O16</f>
        <v>175</v>
      </c>
      <c r="AA14" s="644">
        <f>'Fuel Consumption'!D11</f>
        <v>347</v>
      </c>
      <c r="AB14" s="652">
        <f>'Reagent Consumption'!Q16</f>
        <v>0</v>
      </c>
      <c r="AC14" s="652">
        <f>'Reagent Consumption'!P16</f>
        <v>500</v>
      </c>
      <c r="AD14" s="652">
        <f>'Reagent Consumption'!R16</f>
        <v>0</v>
      </c>
      <c r="AE14" s="652">
        <f>'Reagent Consumption'!S16</f>
        <v>0</v>
      </c>
      <c r="AF14" s="652">
        <f>'Reagent Consumption'!T16</f>
        <v>0</v>
      </c>
      <c r="AG14" s="652">
        <f>'Fuel Consumption'!D11</f>
        <v>347</v>
      </c>
      <c r="AH14" s="652"/>
      <c r="AI14" s="652"/>
      <c r="AJ14" s="652"/>
      <c r="AK14" s="652"/>
      <c r="AL14" s="652"/>
      <c r="AM14" s="652"/>
      <c r="AN14" s="652"/>
      <c r="AO14" s="652"/>
      <c r="AP14" s="652"/>
      <c r="AQ14" s="651"/>
      <c r="AR14" s="653"/>
      <c r="AS14" s="653" t="s">
        <v>118</v>
      </c>
    </row>
    <row r="15" spans="1:45" s="654" customFormat="1" ht="14.4" x14ac:dyDescent="0.3">
      <c r="A15" s="642"/>
      <c r="B15" s="643">
        <v>46256</v>
      </c>
      <c r="C15" s="644">
        <f>Crushing!N22</f>
        <v>197.0325</v>
      </c>
      <c r="D15" s="644">
        <f t="shared" ref="D15:D36" si="9">D14+C15</f>
        <v>1402.3724999999999</v>
      </c>
      <c r="E15" s="645">
        <f t="shared" si="8"/>
        <v>21.852033271719037</v>
      </c>
      <c r="F15" s="646">
        <f>AVERAGE('Rom File Inventory'!T87:T95)</f>
        <v>0.96788888888888869</v>
      </c>
      <c r="G15" s="644">
        <f t="shared" si="5"/>
        <v>190.70556749999997</v>
      </c>
      <c r="H15" s="646">
        <f t="shared" si="6"/>
        <v>0.19070556749999998</v>
      </c>
      <c r="I15" s="644">
        <f>'Crushing Down Time Hours'!L10</f>
        <v>9.0166666666666675</v>
      </c>
      <c r="J15" s="644">
        <v>0</v>
      </c>
      <c r="K15" s="647">
        <f>'Crushing Down Time Hours'!M10</f>
        <v>0.75138888888888899</v>
      </c>
      <c r="L15" s="647">
        <f t="shared" si="2"/>
        <v>0</v>
      </c>
      <c r="M15" s="647">
        <v>1</v>
      </c>
      <c r="N15" s="662">
        <f t="shared" si="7"/>
        <v>0</v>
      </c>
      <c r="O15" s="642"/>
      <c r="P15" s="642"/>
      <c r="Q15" s="651"/>
      <c r="R15" s="651"/>
      <c r="S15" s="651"/>
      <c r="T15" s="652">
        <f t="shared" si="3"/>
        <v>0</v>
      </c>
      <c r="U15" s="1049" t="str">
        <f t="shared" si="4"/>
        <v/>
      </c>
      <c r="V15" s="651"/>
      <c r="W15" s="651"/>
      <c r="X15" s="651"/>
      <c r="Y15" s="651"/>
      <c r="Z15" s="652">
        <f>'Reagent Consumption'!O17</f>
        <v>300</v>
      </c>
      <c r="AA15" s="644">
        <f>'Fuel Consumption'!D12</f>
        <v>346</v>
      </c>
      <c r="AB15" s="652">
        <f>'Reagent Consumption'!Q17</f>
        <v>0</v>
      </c>
      <c r="AC15" s="652">
        <f>'Reagent Consumption'!P17</f>
        <v>750</v>
      </c>
      <c r="AD15" s="652">
        <f>'Reagent Consumption'!R17</f>
        <v>0</v>
      </c>
      <c r="AE15" s="652">
        <f>'Reagent Consumption'!S17</f>
        <v>0</v>
      </c>
      <c r="AF15" s="652">
        <f>'Reagent Consumption'!T17</f>
        <v>0</v>
      </c>
      <c r="AG15" s="652">
        <f>'Fuel Consumption'!D12</f>
        <v>346</v>
      </c>
      <c r="AH15" s="652"/>
      <c r="AI15" s="652"/>
      <c r="AJ15" s="652"/>
      <c r="AK15" s="652"/>
      <c r="AL15" s="652"/>
      <c r="AM15" s="652"/>
      <c r="AN15" s="652"/>
      <c r="AO15" s="652"/>
      <c r="AP15" s="652"/>
      <c r="AQ15" s="651"/>
      <c r="AR15" s="653"/>
      <c r="AS15" s="653" t="s">
        <v>119</v>
      </c>
    </row>
    <row r="16" spans="1:45" ht="14.4" x14ac:dyDescent="0.3">
      <c r="A16" s="86"/>
      <c r="B16" s="87">
        <v>46257</v>
      </c>
      <c r="C16" s="88">
        <f>Crushing!N24</f>
        <v>0</v>
      </c>
      <c r="D16" s="88">
        <f t="shared" si="9"/>
        <v>1402.3724999999999</v>
      </c>
      <c r="E16" s="89">
        <f>C16/I16</f>
        <v>0</v>
      </c>
      <c r="F16" s="129"/>
      <c r="G16" s="88">
        <f t="shared" si="5"/>
        <v>0</v>
      </c>
      <c r="H16" s="129">
        <f t="shared" si="6"/>
        <v>0</v>
      </c>
      <c r="I16" s="88">
        <f>'Crushing Down Time Hours'!L11</f>
        <v>3.3333333333333333E-2</v>
      </c>
      <c r="J16" s="88">
        <v>0</v>
      </c>
      <c r="K16" s="91">
        <f>'Crushing Down Time Hours'!M11</f>
        <v>2.7777777777777779E-3</v>
      </c>
      <c r="L16" s="91">
        <f t="shared" si="2"/>
        <v>0</v>
      </c>
      <c r="M16" s="93">
        <v>1</v>
      </c>
      <c r="N16" s="105">
        <f t="shared" si="7"/>
        <v>0</v>
      </c>
      <c r="O16" s="94"/>
      <c r="P16" s="94"/>
      <c r="Q16" s="90"/>
      <c r="R16" s="90"/>
      <c r="S16" s="90"/>
      <c r="T16" s="92">
        <f t="shared" si="3"/>
        <v>0</v>
      </c>
      <c r="U16" s="1049" t="str">
        <f t="shared" si="4"/>
        <v/>
      </c>
      <c r="V16" s="90"/>
      <c r="W16" s="90"/>
      <c r="X16" s="90"/>
      <c r="Y16" s="90"/>
      <c r="Z16" s="92">
        <f>'Reagent Consumption'!O18</f>
        <v>175</v>
      </c>
      <c r="AA16" s="88">
        <f>'Fuel Consumption'!D13</f>
        <v>297</v>
      </c>
      <c r="AB16" s="92">
        <f>'Reagent Consumption'!Q18</f>
        <v>0</v>
      </c>
      <c r="AC16" s="92">
        <f>'Reagent Consumption'!P18</f>
        <v>0</v>
      </c>
      <c r="AD16" s="92">
        <f>'Reagent Consumption'!R18</f>
        <v>0</v>
      </c>
      <c r="AE16" s="92">
        <f>'Reagent Consumption'!S18</f>
        <v>0</v>
      </c>
      <c r="AF16" s="92">
        <f>'Reagent Consumption'!T18</f>
        <v>0</v>
      </c>
      <c r="AG16" s="92">
        <f>'Fuel Consumption'!D13</f>
        <v>297</v>
      </c>
      <c r="AH16" s="92"/>
      <c r="AI16" s="92"/>
      <c r="AJ16" s="92"/>
      <c r="AK16" s="92"/>
      <c r="AL16" s="92"/>
      <c r="AM16" s="92"/>
      <c r="AN16" s="92"/>
      <c r="AO16" s="92"/>
      <c r="AP16" s="92"/>
      <c r="AQ16" s="90"/>
      <c r="AR16" s="74"/>
      <c r="AS16" s="74" t="s">
        <v>120</v>
      </c>
    </row>
    <row r="17" spans="1:45" s="654" customFormat="1" ht="14.4" x14ac:dyDescent="0.3">
      <c r="A17" s="642"/>
      <c r="B17" s="643">
        <v>46258</v>
      </c>
      <c r="C17" s="644">
        <f>Crushing!N26</f>
        <v>165.13199999999998</v>
      </c>
      <c r="D17" s="644">
        <f>D16+C17</f>
        <v>1567.5045</v>
      </c>
      <c r="E17" s="645">
        <f>C17/I17</f>
        <v>16.485723793677202</v>
      </c>
      <c r="F17" s="663">
        <f>AVERAGE('Rom File Inventory'!T96:T104)</f>
        <v>0.67088888888888887</v>
      </c>
      <c r="G17" s="644">
        <f>F17*C17</f>
        <v>110.78522399999999</v>
      </c>
      <c r="H17" s="646">
        <f t="shared" si="6"/>
        <v>0.11078522399999999</v>
      </c>
      <c r="I17" s="644">
        <f>'Crushing Down Time Hours'!L12</f>
        <v>10.016666666666667</v>
      </c>
      <c r="J17" s="644">
        <v>0</v>
      </c>
      <c r="K17" s="647">
        <f>'Crushing Down Time Hours'!M12</f>
        <v>0.83472222222222225</v>
      </c>
      <c r="L17" s="647">
        <f t="shared" si="2"/>
        <v>0</v>
      </c>
      <c r="M17" s="648">
        <v>1</v>
      </c>
      <c r="N17" s="649">
        <f t="shared" si="7"/>
        <v>0</v>
      </c>
      <c r="O17" s="650"/>
      <c r="P17" s="650"/>
      <c r="Q17" s="651"/>
      <c r="R17" s="651"/>
      <c r="S17" s="651"/>
      <c r="T17" s="652">
        <f t="shared" si="3"/>
        <v>0</v>
      </c>
      <c r="U17" s="1049" t="str">
        <f t="shared" si="4"/>
        <v/>
      </c>
      <c r="V17" s="651"/>
      <c r="W17" s="651"/>
      <c r="X17" s="651"/>
      <c r="Y17" s="651"/>
      <c r="Z17" s="652">
        <f>'Reagent Consumption'!O19</f>
        <v>175</v>
      </c>
      <c r="AA17" s="644">
        <f>'Fuel Consumption'!D14</f>
        <v>304</v>
      </c>
      <c r="AB17" s="652">
        <f>'Reagent Consumption'!Q19</f>
        <v>0</v>
      </c>
      <c r="AC17" s="652">
        <f>'Reagent Consumption'!P19</f>
        <v>0</v>
      </c>
      <c r="AD17" s="652">
        <f>'Reagent Consumption'!R19</f>
        <v>0</v>
      </c>
      <c r="AE17" s="652">
        <f>'Reagent Consumption'!S19</f>
        <v>0</v>
      </c>
      <c r="AF17" s="652">
        <f>'Reagent Consumption'!T19</f>
        <v>0</v>
      </c>
      <c r="AG17" s="652">
        <f>'Fuel Consumption'!D14</f>
        <v>304</v>
      </c>
      <c r="AH17" s="652"/>
      <c r="AI17" s="652"/>
      <c r="AJ17" s="652"/>
      <c r="AK17" s="652"/>
      <c r="AL17" s="652"/>
      <c r="AM17" s="652"/>
      <c r="AN17" s="652"/>
      <c r="AO17" s="652"/>
      <c r="AP17" s="652"/>
      <c r="AQ17" s="651"/>
      <c r="AR17" s="653"/>
      <c r="AS17" s="653"/>
    </row>
    <row r="18" spans="1:45" ht="14.4" x14ac:dyDescent="0.3">
      <c r="A18" s="86"/>
      <c r="B18" s="87">
        <v>46259</v>
      </c>
      <c r="C18" s="88">
        <f>Crushing!N28</f>
        <v>0</v>
      </c>
      <c r="D18" s="88">
        <f>D17+C18</f>
        <v>1567.5045</v>
      </c>
      <c r="E18" s="89">
        <f t="shared" si="8"/>
        <v>0</v>
      </c>
      <c r="F18" s="129"/>
      <c r="G18" s="88">
        <f t="shared" ref="G18:G49" si="10">F18*C18</f>
        <v>0</v>
      </c>
      <c r="H18" s="129">
        <f t="shared" ref="H18:H49" si="11">G18/1000</f>
        <v>0</v>
      </c>
      <c r="I18" s="88">
        <f>'Crushing Down Time Hours'!L13</f>
        <v>3.3333333333333333E-2</v>
      </c>
      <c r="J18" s="88">
        <v>0</v>
      </c>
      <c r="K18" s="91">
        <f>'Crushing Down Time Hours'!M13</f>
        <v>2.7777777777777779E-3</v>
      </c>
      <c r="L18" s="91">
        <f t="shared" si="2"/>
        <v>0</v>
      </c>
      <c r="M18" s="93">
        <v>1</v>
      </c>
      <c r="N18" s="105">
        <f t="shared" si="7"/>
        <v>0</v>
      </c>
      <c r="O18" s="94"/>
      <c r="P18" s="94"/>
      <c r="Q18" s="90"/>
      <c r="R18" s="90"/>
      <c r="S18" s="90"/>
      <c r="T18" s="92">
        <f t="shared" si="3"/>
        <v>0</v>
      </c>
      <c r="U18" s="1049" t="str">
        <f t="shared" si="4"/>
        <v/>
      </c>
      <c r="V18" s="90"/>
      <c r="W18" s="90"/>
      <c r="X18" s="90"/>
      <c r="Y18" s="90"/>
      <c r="Z18" s="92">
        <f>'Reagent Consumption'!O21</f>
        <v>200</v>
      </c>
      <c r="AA18" s="88">
        <f>'Fuel Consumption'!D15</f>
        <v>510</v>
      </c>
      <c r="AB18" s="92">
        <f>'Reagent Consumption'!Q21</f>
        <v>500</v>
      </c>
      <c r="AC18" s="92">
        <f>'Reagent Consumption'!P21</f>
        <v>0</v>
      </c>
      <c r="AD18" s="92">
        <f>'Reagent Consumption'!R21</f>
        <v>0</v>
      </c>
      <c r="AE18" s="92">
        <f>'Reagent Consumption'!S21</f>
        <v>0</v>
      </c>
      <c r="AF18" s="92">
        <f>'Reagent Consumption'!T21</f>
        <v>50</v>
      </c>
      <c r="AG18" s="92">
        <f>'Fuel Consumption'!D15</f>
        <v>510</v>
      </c>
      <c r="AH18" s="92"/>
      <c r="AI18" s="92"/>
      <c r="AJ18" s="92"/>
      <c r="AK18" s="92"/>
      <c r="AL18" s="92"/>
      <c r="AM18" s="92"/>
      <c r="AN18" s="92"/>
      <c r="AO18" s="92"/>
      <c r="AP18" s="92"/>
      <c r="AQ18" s="90"/>
      <c r="AR18" s="74"/>
      <c r="AS18" s="74"/>
    </row>
    <row r="19" spans="1:45" ht="14.4" x14ac:dyDescent="0.3">
      <c r="A19" s="86"/>
      <c r="B19" s="87">
        <v>46260</v>
      </c>
      <c r="C19" s="88">
        <v>0</v>
      </c>
      <c r="D19" s="88">
        <f t="shared" si="9"/>
        <v>1567.5045</v>
      </c>
      <c r="E19" s="89">
        <f t="shared" si="8"/>
        <v>0</v>
      </c>
      <c r="F19" s="90"/>
      <c r="G19" s="88">
        <f t="shared" si="10"/>
        <v>0</v>
      </c>
      <c r="H19" s="129">
        <f t="shared" si="11"/>
        <v>0</v>
      </c>
      <c r="I19" s="88">
        <f>'Crushing Down Time Hours'!L14</f>
        <v>3.3333333333333333E-2</v>
      </c>
      <c r="J19" s="88">
        <v>0</v>
      </c>
      <c r="K19" s="91">
        <f>'Crushing Down Time Hours'!M14</f>
        <v>2.7777777777777779E-3</v>
      </c>
      <c r="L19" s="91">
        <f t="shared" si="2"/>
        <v>0</v>
      </c>
      <c r="M19" s="93">
        <v>1</v>
      </c>
      <c r="N19" s="105">
        <f t="shared" si="7"/>
        <v>0</v>
      </c>
      <c r="O19" s="94"/>
      <c r="P19" s="94"/>
      <c r="Q19" s="90"/>
      <c r="R19" s="90"/>
      <c r="S19" s="90"/>
      <c r="T19" s="92">
        <f t="shared" si="3"/>
        <v>0</v>
      </c>
      <c r="U19" s="1049" t="str">
        <f t="shared" si="4"/>
        <v/>
      </c>
      <c r="V19" s="90"/>
      <c r="W19" s="90"/>
      <c r="X19" s="90"/>
      <c r="Y19" s="90"/>
      <c r="Z19" s="92">
        <f>'Reagent Consumption'!O22</f>
        <v>100</v>
      </c>
      <c r="AA19" s="88">
        <f>'Fuel Consumption'!D16</f>
        <v>524</v>
      </c>
      <c r="AB19" s="92">
        <f>'Reagent Consumption'!Q22</f>
        <v>0</v>
      </c>
      <c r="AC19" s="92">
        <f>'Reagent Consumption'!P22</f>
        <v>0</v>
      </c>
      <c r="AD19" s="92">
        <f>'Reagent Consumption'!R22</f>
        <v>0</v>
      </c>
      <c r="AE19" s="92">
        <f>'Reagent Consumption'!S22</f>
        <v>0</v>
      </c>
      <c r="AF19" s="92">
        <f>'Reagent Consumption'!T22</f>
        <v>0</v>
      </c>
      <c r="AG19" s="92">
        <f>'Fuel Consumption'!D16</f>
        <v>524</v>
      </c>
      <c r="AH19" s="92"/>
      <c r="AI19" s="92"/>
      <c r="AJ19" s="92"/>
      <c r="AK19" s="92"/>
      <c r="AL19" s="92"/>
      <c r="AM19" s="92"/>
      <c r="AN19" s="92"/>
      <c r="AO19" s="92"/>
      <c r="AP19" s="92"/>
      <c r="AQ19" s="90"/>
      <c r="AR19" s="74"/>
      <c r="AS19" s="74"/>
    </row>
    <row r="20" spans="1:45" s="654" customFormat="1" ht="14.4" x14ac:dyDescent="0.3">
      <c r="A20" s="642"/>
      <c r="B20" s="643">
        <v>46261</v>
      </c>
      <c r="C20" s="644">
        <f>Crushing!N32</f>
        <v>124.94709999999999</v>
      </c>
      <c r="D20" s="644">
        <f t="shared" si="9"/>
        <v>1692.4516000000001</v>
      </c>
      <c r="E20" s="645">
        <f t="shared" si="8"/>
        <v>23.724132911392402</v>
      </c>
      <c r="F20" s="646">
        <f>AVERAGE('Rom File Inventory'!T105:T111)</f>
        <v>0.5545714285714286</v>
      </c>
      <c r="G20" s="644">
        <f t="shared" si="10"/>
        <v>69.292091742857139</v>
      </c>
      <c r="H20" s="646">
        <f t="shared" si="11"/>
        <v>6.9292091742857137E-2</v>
      </c>
      <c r="I20" s="644">
        <f>'Crushing Down Time Hours'!L15</f>
        <v>5.2666666666666666</v>
      </c>
      <c r="J20" s="644">
        <v>0</v>
      </c>
      <c r="K20" s="647">
        <f>'Crushing Down Time Hours'!M15</f>
        <v>0.43888888888888888</v>
      </c>
      <c r="L20" s="647">
        <f t="shared" si="2"/>
        <v>0</v>
      </c>
      <c r="M20" s="93">
        <v>1</v>
      </c>
      <c r="N20" s="649">
        <f t="shared" si="7"/>
        <v>0</v>
      </c>
      <c r="O20" s="650"/>
      <c r="P20" s="659"/>
      <c r="Q20" s="651"/>
      <c r="R20" s="651"/>
      <c r="S20" s="651"/>
      <c r="T20" s="652">
        <f t="shared" si="3"/>
        <v>0</v>
      </c>
      <c r="U20" s="1049" t="str">
        <f t="shared" si="4"/>
        <v/>
      </c>
      <c r="V20" s="651"/>
      <c r="W20" s="651"/>
      <c r="X20" s="651"/>
      <c r="Y20" s="651"/>
      <c r="Z20" s="652">
        <f>'Reagent Consumption'!O24</f>
        <v>125</v>
      </c>
      <c r="AA20" s="644">
        <f>'Fuel Consumption'!D17</f>
        <v>300</v>
      </c>
      <c r="AB20" s="652">
        <f>'Reagent Consumption'!Q24</f>
        <v>0</v>
      </c>
      <c r="AC20" s="652">
        <f>'Reagent Consumption'!P24</f>
        <v>0</v>
      </c>
      <c r="AD20" s="652">
        <f>'Reagent Consumption'!R24</f>
        <v>0</v>
      </c>
      <c r="AE20" s="652">
        <f>'Reagent Consumption'!S24</f>
        <v>0</v>
      </c>
      <c r="AF20" s="652">
        <f>'Reagent Consumption'!T24</f>
        <v>0</v>
      </c>
      <c r="AG20" s="652">
        <f>'Fuel Consumption'!D17</f>
        <v>300</v>
      </c>
      <c r="AH20" s="652"/>
      <c r="AI20" s="652"/>
      <c r="AJ20" s="652"/>
      <c r="AK20" s="652"/>
      <c r="AL20" s="652"/>
      <c r="AM20" s="652"/>
      <c r="AN20" s="652"/>
      <c r="AO20" s="652"/>
      <c r="AP20" s="652"/>
      <c r="AQ20" s="651"/>
      <c r="AR20" s="653"/>
      <c r="AS20" s="653"/>
    </row>
    <row r="21" spans="1:45" s="654" customFormat="1" ht="14.4" x14ac:dyDescent="0.3">
      <c r="A21" s="642"/>
      <c r="B21" s="643">
        <v>46262</v>
      </c>
      <c r="C21" s="644">
        <f>Crushing!N34</f>
        <v>167.76500000000001</v>
      </c>
      <c r="D21" s="644">
        <f t="shared" si="9"/>
        <v>1860.2166000000002</v>
      </c>
      <c r="E21" s="645">
        <f>C21/I21</f>
        <v>20.927027027027027</v>
      </c>
      <c r="F21" s="646">
        <f>AVERAGE('Rom File Inventory'!T112:T120)</f>
        <v>1.1255555555555554</v>
      </c>
      <c r="G21" s="644">
        <f t="shared" si="10"/>
        <v>188.82882777777778</v>
      </c>
      <c r="H21" s="646">
        <f t="shared" si="11"/>
        <v>0.18882882777777776</v>
      </c>
      <c r="I21" s="644">
        <f>'Crushing Down Time Hours'!L16</f>
        <v>8.0166666666666675</v>
      </c>
      <c r="J21" s="644">
        <v>0</v>
      </c>
      <c r="K21" s="647">
        <f>'Crushing Down Time Hours'!M16</f>
        <v>0.66805555555555562</v>
      </c>
      <c r="L21" s="647">
        <f t="shared" si="2"/>
        <v>0</v>
      </c>
      <c r="M21" s="93">
        <v>1</v>
      </c>
      <c r="N21" s="649">
        <f t="shared" si="7"/>
        <v>0</v>
      </c>
      <c r="O21" s="650"/>
      <c r="P21" s="650"/>
      <c r="Q21" s="651"/>
      <c r="R21" s="651"/>
      <c r="S21" s="651"/>
      <c r="T21" s="652">
        <f t="shared" si="3"/>
        <v>0</v>
      </c>
      <c r="U21" s="1049" t="str">
        <f t="shared" si="4"/>
        <v/>
      </c>
      <c r="V21" s="651"/>
      <c r="W21" s="651"/>
      <c r="X21" s="651"/>
      <c r="Y21" s="651"/>
      <c r="Z21" s="652">
        <f>'Reagent Consumption'!O26</f>
        <v>200</v>
      </c>
      <c r="AA21" s="644">
        <f>'Fuel Consumption'!D18</f>
        <v>1798</v>
      </c>
      <c r="AB21" s="652">
        <f>'Reagent Consumption'!Q26</f>
        <v>0</v>
      </c>
      <c r="AC21" s="652">
        <f>'Reagent Consumption'!P26</f>
        <v>0</v>
      </c>
      <c r="AD21" s="652">
        <f>'Reagent Consumption'!R26</f>
        <v>0</v>
      </c>
      <c r="AE21" s="652">
        <f>'Reagent Consumption'!S26</f>
        <v>0</v>
      </c>
      <c r="AF21" s="652">
        <f>'Reagent Consumption'!T26</f>
        <v>0</v>
      </c>
      <c r="AG21" s="652">
        <f>'Fuel Consumption'!D18</f>
        <v>1798</v>
      </c>
      <c r="AH21" s="652"/>
      <c r="AI21" s="652"/>
      <c r="AJ21" s="652"/>
      <c r="AK21" s="652"/>
      <c r="AL21" s="652"/>
      <c r="AM21" s="652"/>
      <c r="AN21" s="652"/>
      <c r="AO21" s="652"/>
      <c r="AP21" s="652"/>
      <c r="AQ21" s="651"/>
      <c r="AR21" s="653"/>
      <c r="AS21" s="653"/>
    </row>
    <row r="22" spans="1:45" s="654" customFormat="1" ht="14.4" x14ac:dyDescent="0.3">
      <c r="A22" s="642"/>
      <c r="B22" s="643">
        <v>46263</v>
      </c>
      <c r="C22" s="644">
        <f>Crushing!N36</f>
        <v>240.43500000000003</v>
      </c>
      <c r="D22" s="644">
        <f t="shared" si="9"/>
        <v>2100.6516000000001</v>
      </c>
      <c r="E22" s="645">
        <f t="shared" si="8"/>
        <v>24.003494176372712</v>
      </c>
      <c r="F22" s="652">
        <f>AVERAGE('Rom File Inventory'!T121:T131)</f>
        <v>0.60627272727272719</v>
      </c>
      <c r="G22" s="644">
        <f t="shared" si="10"/>
        <v>145.76918318181819</v>
      </c>
      <c r="H22" s="646">
        <f t="shared" si="11"/>
        <v>0.1457691831818182</v>
      </c>
      <c r="I22" s="644">
        <f>'Crushing Down Time Hours'!L17</f>
        <v>10.016666666666667</v>
      </c>
      <c r="J22" s="644">
        <v>0</v>
      </c>
      <c r="K22" s="647">
        <f>'Crushing Down Time Hours'!M17</f>
        <v>0.83472222222222225</v>
      </c>
      <c r="L22" s="647">
        <f t="shared" si="2"/>
        <v>0</v>
      </c>
      <c r="M22" s="93">
        <v>1</v>
      </c>
      <c r="N22" s="649">
        <f t="shared" si="7"/>
        <v>0</v>
      </c>
      <c r="O22" s="650"/>
      <c r="P22" s="650"/>
      <c r="Q22" s="651"/>
      <c r="R22" s="651"/>
      <c r="S22" s="651"/>
      <c r="T22" s="652">
        <f t="shared" si="3"/>
        <v>0</v>
      </c>
      <c r="U22" s="1049" t="str">
        <f t="shared" si="4"/>
        <v/>
      </c>
      <c r="V22" s="651"/>
      <c r="W22" s="651"/>
      <c r="X22" s="651"/>
      <c r="Y22" s="651"/>
      <c r="Z22" s="652">
        <f>'Reagent Consumption'!O27</f>
        <v>250</v>
      </c>
      <c r="AA22" s="644">
        <f>'Fuel Consumption'!D19</f>
        <v>1841</v>
      </c>
      <c r="AB22" s="652">
        <f>'Reagent Consumption'!Q27</f>
        <v>0</v>
      </c>
      <c r="AC22" s="652">
        <f>'Reagent Consumption'!P27</f>
        <v>0</v>
      </c>
      <c r="AD22" s="652">
        <f>'Reagent Consumption'!R27</f>
        <v>0</v>
      </c>
      <c r="AE22" s="652">
        <f>'Reagent Consumption'!S27</f>
        <v>0</v>
      </c>
      <c r="AF22" s="652">
        <f>'Reagent Consumption'!T27</f>
        <v>0</v>
      </c>
      <c r="AG22" s="652">
        <f>'Fuel Consumption'!D19</f>
        <v>1841</v>
      </c>
      <c r="AH22" s="652"/>
      <c r="AI22" s="652"/>
      <c r="AJ22" s="652"/>
      <c r="AK22" s="652"/>
      <c r="AL22" s="652"/>
      <c r="AM22" s="652"/>
      <c r="AN22" s="652"/>
      <c r="AO22" s="652"/>
      <c r="AP22" s="652"/>
      <c r="AQ22" s="651"/>
      <c r="AR22" s="653"/>
      <c r="AS22" s="653"/>
    </row>
    <row r="23" spans="1:45" s="654" customFormat="1" ht="14.4" x14ac:dyDescent="0.3">
      <c r="A23" s="642"/>
      <c r="B23" s="643">
        <v>46264</v>
      </c>
      <c r="C23" s="644">
        <f>Crushing!N38</f>
        <v>53.820000000000007</v>
      </c>
      <c r="D23" s="644">
        <f t="shared" si="9"/>
        <v>2154.4716000000003</v>
      </c>
      <c r="E23" s="645">
        <f t="shared" si="8"/>
        <v>26.4688524590164</v>
      </c>
      <c r="F23" s="652">
        <f>AVERAGE('Rom File Inventory'!T132:T135)</f>
        <v>0.35349999999999998</v>
      </c>
      <c r="G23" s="644">
        <f t="shared" si="10"/>
        <v>19.025370000000002</v>
      </c>
      <c r="H23" s="646">
        <f t="shared" si="11"/>
        <v>1.9025370000000003E-2</v>
      </c>
      <c r="I23" s="644">
        <f>'Crushing Down Time Hours'!L18</f>
        <v>2.0333333333333332</v>
      </c>
      <c r="J23" s="644">
        <v>0</v>
      </c>
      <c r="K23" s="647">
        <f>'Crushing Down Time Hours'!M18</f>
        <v>0.16944444444444443</v>
      </c>
      <c r="L23" s="647">
        <f t="shared" si="2"/>
        <v>0</v>
      </c>
      <c r="M23" s="93">
        <v>1</v>
      </c>
      <c r="N23" s="647">
        <f t="shared" si="7"/>
        <v>0</v>
      </c>
      <c r="O23" s="651"/>
      <c r="P23" s="651"/>
      <c r="Q23" s="651"/>
      <c r="R23" s="651"/>
      <c r="S23" s="651"/>
      <c r="T23" s="652">
        <f t="shared" si="3"/>
        <v>0</v>
      </c>
      <c r="U23" s="1049" t="str">
        <f t="shared" si="4"/>
        <v/>
      </c>
      <c r="V23" s="651"/>
      <c r="W23" s="651"/>
      <c r="X23" s="651"/>
      <c r="Y23" s="651"/>
      <c r="Z23" s="652">
        <f>'Reagent Consumption'!O28</f>
        <v>275</v>
      </c>
      <c r="AA23" s="644">
        <f>'Fuel Consumption'!D20</f>
        <v>2492</v>
      </c>
      <c r="AB23" s="652">
        <f>'Reagent Consumption'!Q28</f>
        <v>0</v>
      </c>
      <c r="AC23" s="652">
        <f>'Reagent Consumption'!P28</f>
        <v>325</v>
      </c>
      <c r="AD23" s="652">
        <f>'Reagent Consumption'!R28</f>
        <v>0</v>
      </c>
      <c r="AE23" s="652">
        <f>'Reagent Consumption'!S28</f>
        <v>0</v>
      </c>
      <c r="AF23" s="652">
        <f>'Reagent Consumption'!T28</f>
        <v>25</v>
      </c>
      <c r="AG23" s="652">
        <f>'Fuel Consumption'!D20</f>
        <v>2492</v>
      </c>
      <c r="AH23" s="652"/>
      <c r="AI23" s="652"/>
      <c r="AJ23" s="652"/>
      <c r="AK23" s="652"/>
      <c r="AL23" s="652"/>
      <c r="AM23" s="652"/>
      <c r="AN23" s="652"/>
      <c r="AO23" s="652"/>
      <c r="AP23" s="652"/>
      <c r="AQ23" s="651"/>
      <c r="AR23" s="653"/>
      <c r="AS23" s="653"/>
    </row>
    <row r="24" spans="1:45" ht="14.4" x14ac:dyDescent="0.3">
      <c r="A24" s="86"/>
      <c r="B24" s="87">
        <v>46265</v>
      </c>
      <c r="C24" s="88">
        <f>Crushing!N40</f>
        <v>0</v>
      </c>
      <c r="D24" s="88">
        <f t="shared" si="9"/>
        <v>2154.4716000000003</v>
      </c>
      <c r="E24" s="89" t="str">
        <f>IFERROR(C24/I24,"")</f>
        <v/>
      </c>
      <c r="F24" s="90"/>
      <c r="G24" s="88">
        <f t="shared" si="10"/>
        <v>0</v>
      </c>
      <c r="H24" s="129">
        <f t="shared" si="11"/>
        <v>0</v>
      </c>
      <c r="I24" s="88">
        <f>'Crushing Down Time Hours'!L19</f>
        <v>0</v>
      </c>
      <c r="J24" s="88">
        <f>'Milling Down Time Hours'!Q5</f>
        <v>22.433333333333334</v>
      </c>
      <c r="K24" s="91">
        <f>'Crushing Down Time Hours'!M24</f>
        <v>0</v>
      </c>
      <c r="L24" s="91">
        <f>'Milling Down Time Hours'!R5</f>
        <v>0.93472222222222223</v>
      </c>
      <c r="M24" s="93">
        <v>1</v>
      </c>
      <c r="N24" s="91">
        <f>IF(L24=100%,J24/24*100%,L24)</f>
        <v>0.93472222222222223</v>
      </c>
      <c r="O24" s="90"/>
      <c r="P24" s="90"/>
      <c r="Q24" s="90"/>
      <c r="R24" s="90"/>
      <c r="S24" s="90"/>
      <c r="T24" s="92">
        <f t="shared" si="3"/>
        <v>0</v>
      </c>
      <c r="U24" s="1049" t="str">
        <f t="shared" si="4"/>
        <v/>
      </c>
      <c r="V24" s="90"/>
      <c r="W24" s="90"/>
      <c r="X24" s="90"/>
      <c r="Y24" s="90"/>
      <c r="Z24" s="92">
        <f>'Reagent Consumption'!O29</f>
        <v>0</v>
      </c>
      <c r="AA24" s="88">
        <f>'Fuel Consumption'!D21</f>
        <v>864</v>
      </c>
      <c r="AB24" s="92">
        <f>'Reagent Consumption'!Q29</f>
        <v>0</v>
      </c>
      <c r="AC24" s="92">
        <f>'Reagent Consumption'!P29</f>
        <v>0</v>
      </c>
      <c r="AD24" s="92">
        <f>'Reagent Consumption'!R29</f>
        <v>0</v>
      </c>
      <c r="AE24" s="92">
        <f>'Reagent Consumption'!S29</f>
        <v>0</v>
      </c>
      <c r="AF24" s="92">
        <f>'Reagent Consumption'!T29</f>
        <v>0</v>
      </c>
      <c r="AG24" s="92">
        <f>'Fuel Consumption'!D21</f>
        <v>864</v>
      </c>
      <c r="AH24" s="92"/>
      <c r="AI24" s="92"/>
      <c r="AJ24" s="92"/>
      <c r="AK24" s="92"/>
      <c r="AL24" s="92"/>
      <c r="AM24" s="92"/>
      <c r="AN24" s="92"/>
      <c r="AO24" s="92"/>
      <c r="AP24" s="92"/>
      <c r="AQ24" s="90"/>
      <c r="AR24" s="74"/>
      <c r="AS24" s="74"/>
    </row>
    <row r="25" spans="1:45" ht="14.4" x14ac:dyDescent="0.3">
      <c r="A25" s="86"/>
      <c r="B25" s="87">
        <v>46266</v>
      </c>
      <c r="C25" s="88">
        <f>Crushing!N42</f>
        <v>0</v>
      </c>
      <c r="D25" s="88">
        <f t="shared" si="9"/>
        <v>2154.4716000000003</v>
      </c>
      <c r="E25" s="89" t="str">
        <f t="shared" ref="E25:E49" si="12">IFERROR(C25/I25,"")</f>
        <v/>
      </c>
      <c r="F25" s="90"/>
      <c r="G25" s="88">
        <f t="shared" si="10"/>
        <v>0</v>
      </c>
      <c r="H25" s="129">
        <f t="shared" si="11"/>
        <v>0</v>
      </c>
      <c r="I25" s="88">
        <f>'Crushing Down Time Hours'!L20</f>
        <v>0</v>
      </c>
      <c r="J25" s="88">
        <f>'Milling Down Time Hours'!Q6</f>
        <v>22.9</v>
      </c>
      <c r="K25" s="91">
        <f>'Crushing Down Time Hours'!M25</f>
        <v>0</v>
      </c>
      <c r="L25" s="91">
        <f>'Milling Down Time Hours'!R6</f>
        <v>0.95416666666666661</v>
      </c>
      <c r="M25" s="93">
        <v>1</v>
      </c>
      <c r="N25" s="91">
        <f t="shared" ref="N25:N55" si="13">IF(L25=100%,J25/24*100%,L25)</f>
        <v>0.95416666666666661</v>
      </c>
      <c r="O25" s="90"/>
      <c r="P25" s="90"/>
      <c r="Q25" s="90"/>
      <c r="R25" s="90"/>
      <c r="S25" s="90"/>
      <c r="T25" s="92">
        <f t="shared" si="3"/>
        <v>0</v>
      </c>
      <c r="U25" s="1049" t="str">
        <f t="shared" si="4"/>
        <v/>
      </c>
      <c r="V25" s="90"/>
      <c r="W25" s="90"/>
      <c r="X25" s="90"/>
      <c r="Y25" s="90"/>
      <c r="Z25" s="92">
        <f>'Reagent Consumption'!O30</f>
        <v>0</v>
      </c>
      <c r="AA25" s="88">
        <f>'Fuel Consumption'!D22</f>
        <v>837</v>
      </c>
      <c r="AB25" s="92">
        <f>'Reagent Consumption'!Q30</f>
        <v>0</v>
      </c>
      <c r="AC25" s="92">
        <f>'Reagent Consumption'!P30</f>
        <v>0</v>
      </c>
      <c r="AD25" s="92">
        <f>'Reagent Consumption'!R30</f>
        <v>0</v>
      </c>
      <c r="AE25" s="92">
        <f>'Reagent Consumption'!S30</f>
        <v>0</v>
      </c>
      <c r="AF25" s="92">
        <f>'Reagent Consumption'!T30</f>
        <v>0</v>
      </c>
      <c r="AG25" s="92">
        <f>'Fuel Consumption'!D22</f>
        <v>837</v>
      </c>
      <c r="AH25" s="92"/>
      <c r="AI25" s="92"/>
      <c r="AJ25" s="92"/>
      <c r="AK25" s="92"/>
      <c r="AL25" s="92"/>
      <c r="AM25" s="92"/>
      <c r="AN25" s="92"/>
      <c r="AO25" s="92"/>
      <c r="AP25" s="92"/>
      <c r="AQ25" s="90"/>
      <c r="AR25" s="74"/>
      <c r="AS25" s="74"/>
    </row>
    <row r="26" spans="1:45" ht="14.4" x14ac:dyDescent="0.3">
      <c r="A26" s="86"/>
      <c r="B26" s="87">
        <v>46267</v>
      </c>
      <c r="C26" s="88">
        <f>Crushing!N44</f>
        <v>0</v>
      </c>
      <c r="D26" s="88">
        <f t="shared" si="9"/>
        <v>2154.4716000000003</v>
      </c>
      <c r="E26" s="89" t="str">
        <f t="shared" si="12"/>
        <v/>
      </c>
      <c r="F26" s="90"/>
      <c r="G26" s="88">
        <f t="shared" si="10"/>
        <v>0</v>
      </c>
      <c r="H26" s="129">
        <f t="shared" si="11"/>
        <v>0</v>
      </c>
      <c r="I26" s="88">
        <f>'Crushing Down Time Hours'!L21</f>
        <v>0</v>
      </c>
      <c r="J26" s="88">
        <f>'Milling Down Time Hours'!Q7</f>
        <v>22</v>
      </c>
      <c r="K26" s="91">
        <f>'Crushing Down Time Hours'!M26</f>
        <v>0</v>
      </c>
      <c r="L26" s="91">
        <f>'Milling Down Time Hours'!R7</f>
        <v>0.91666666666666663</v>
      </c>
      <c r="M26" s="93">
        <v>1</v>
      </c>
      <c r="N26" s="91">
        <f t="shared" si="13"/>
        <v>0.91666666666666663</v>
      </c>
      <c r="O26" s="90"/>
      <c r="P26" s="90"/>
      <c r="Q26" s="90"/>
      <c r="R26" s="90"/>
      <c r="S26" s="90"/>
      <c r="T26" s="92">
        <f t="shared" si="3"/>
        <v>0</v>
      </c>
      <c r="U26" s="1049" t="str">
        <f t="shared" si="4"/>
        <v/>
      </c>
      <c r="V26" s="90"/>
      <c r="W26" s="90"/>
      <c r="X26" s="90"/>
      <c r="Y26" s="90"/>
      <c r="Z26" s="92">
        <f>'Reagent Consumption'!O31</f>
        <v>175</v>
      </c>
      <c r="AA26" s="88">
        <f>'Fuel Consumption'!D23</f>
        <v>810</v>
      </c>
      <c r="AB26" s="92">
        <f>'Reagent Consumption'!Q31</f>
        <v>0</v>
      </c>
      <c r="AC26" s="92">
        <f>'Reagent Consumption'!P31</f>
        <v>0</v>
      </c>
      <c r="AD26" s="92">
        <f>'Reagent Consumption'!R31</f>
        <v>0</v>
      </c>
      <c r="AE26" s="92">
        <f>'Reagent Consumption'!S31</f>
        <v>0</v>
      </c>
      <c r="AF26" s="92">
        <f>'Reagent Consumption'!T31</f>
        <v>0</v>
      </c>
      <c r="AG26" s="92">
        <f>'Fuel Consumption'!D23</f>
        <v>810</v>
      </c>
      <c r="AH26" s="92"/>
      <c r="AI26" s="92"/>
      <c r="AJ26" s="92"/>
      <c r="AK26" s="92"/>
      <c r="AL26" s="92"/>
      <c r="AM26" s="92"/>
      <c r="AN26" s="92"/>
      <c r="AO26" s="92"/>
      <c r="AP26" s="92"/>
      <c r="AQ26" s="90"/>
      <c r="AR26" s="74"/>
      <c r="AS26" s="74"/>
    </row>
    <row r="27" spans="1:45" ht="14.4" x14ac:dyDescent="0.3">
      <c r="A27" s="86"/>
      <c r="B27" s="87">
        <v>46268</v>
      </c>
      <c r="C27" s="88">
        <f>Crushing!N46</f>
        <v>0</v>
      </c>
      <c r="D27" s="88">
        <f t="shared" si="9"/>
        <v>2154.4716000000003</v>
      </c>
      <c r="E27" s="89" t="str">
        <f t="shared" si="12"/>
        <v/>
      </c>
      <c r="F27" s="90"/>
      <c r="G27" s="88">
        <f t="shared" si="10"/>
        <v>0</v>
      </c>
      <c r="H27" s="129">
        <f t="shared" si="11"/>
        <v>0</v>
      </c>
      <c r="I27" s="88">
        <f>'Crushing Down Time Hours'!L22</f>
        <v>0</v>
      </c>
      <c r="J27" s="88">
        <f>'Milling Down Time Hours'!Q8</f>
        <v>23</v>
      </c>
      <c r="K27" s="91">
        <f>'Crushing Down Time Hours'!M27</f>
        <v>0</v>
      </c>
      <c r="L27" s="91">
        <f>'Milling Down Time Hours'!R8</f>
        <v>0.95833333333333337</v>
      </c>
      <c r="M27" s="93">
        <v>1</v>
      </c>
      <c r="N27" s="91">
        <f t="shared" si="13"/>
        <v>0.95833333333333337</v>
      </c>
      <c r="O27" s="90"/>
      <c r="P27" s="90"/>
      <c r="Q27" s="90"/>
      <c r="R27" s="90"/>
      <c r="S27" s="90"/>
      <c r="T27" s="92">
        <f t="shared" si="3"/>
        <v>0</v>
      </c>
      <c r="U27" s="1049" t="str">
        <f t="shared" si="4"/>
        <v/>
      </c>
      <c r="V27" s="90"/>
      <c r="W27" s="90"/>
      <c r="X27" s="90"/>
      <c r="Y27" s="90"/>
      <c r="Z27" s="92">
        <f>'Reagent Consumption'!O32</f>
        <v>250</v>
      </c>
      <c r="AA27" s="88">
        <f>'Fuel Consumption'!D24</f>
        <v>1841</v>
      </c>
      <c r="AB27" s="92">
        <f>'Reagent Consumption'!Q32</f>
        <v>0</v>
      </c>
      <c r="AC27" s="92">
        <f>'Reagent Consumption'!P32</f>
        <v>0</v>
      </c>
      <c r="AD27" s="92">
        <f>'Reagent Consumption'!R32</f>
        <v>0</v>
      </c>
      <c r="AE27" s="92">
        <f>'Reagent Consumption'!S32</f>
        <v>0</v>
      </c>
      <c r="AF27" s="92">
        <f>'Reagent Consumption'!T32</f>
        <v>50</v>
      </c>
      <c r="AG27" s="92">
        <f>'Fuel Consumption'!D24</f>
        <v>1841</v>
      </c>
      <c r="AH27" s="92"/>
      <c r="AI27" s="92"/>
      <c r="AJ27" s="92"/>
      <c r="AK27" s="92"/>
      <c r="AL27" s="92"/>
      <c r="AM27" s="92"/>
      <c r="AN27" s="92"/>
      <c r="AO27" s="92"/>
      <c r="AP27" s="92"/>
      <c r="AQ27" s="90"/>
      <c r="AR27" s="74"/>
      <c r="AS27" s="74"/>
    </row>
    <row r="28" spans="1:45" ht="14.4" x14ac:dyDescent="0.3">
      <c r="A28" s="86"/>
      <c r="B28" s="87">
        <v>46269</v>
      </c>
      <c r="C28" s="88">
        <f>Crushing!N43</f>
        <v>0</v>
      </c>
      <c r="D28" s="88">
        <f t="shared" si="9"/>
        <v>2154.4716000000003</v>
      </c>
      <c r="E28" s="89" t="str">
        <f t="shared" si="12"/>
        <v/>
      </c>
      <c r="F28" s="90"/>
      <c r="G28" s="88">
        <f t="shared" si="10"/>
        <v>0</v>
      </c>
      <c r="H28" s="129">
        <f t="shared" si="11"/>
        <v>0</v>
      </c>
      <c r="I28" s="88">
        <f>'Crushing Down Time Hours'!L23</f>
        <v>0</v>
      </c>
      <c r="J28" s="88">
        <f>'Milling Down Time Hours'!Q9</f>
        <v>0</v>
      </c>
      <c r="K28" s="91">
        <f>'Crushing Down Time Hours'!M28</f>
        <v>0</v>
      </c>
      <c r="L28" s="91">
        <f>'Milling Down Time Hours'!R9</f>
        <v>0</v>
      </c>
      <c r="M28" s="93">
        <v>1</v>
      </c>
      <c r="N28" s="91">
        <f t="shared" si="13"/>
        <v>0</v>
      </c>
      <c r="O28" s="90"/>
      <c r="P28" s="90"/>
      <c r="Q28" s="90"/>
      <c r="R28" s="90"/>
      <c r="S28" s="90"/>
      <c r="T28" s="92">
        <f t="shared" si="3"/>
        <v>0</v>
      </c>
      <c r="U28" s="1049" t="str">
        <f t="shared" si="4"/>
        <v/>
      </c>
      <c r="V28" s="90"/>
      <c r="W28" s="90"/>
      <c r="X28" s="90"/>
      <c r="Y28" s="90"/>
      <c r="Z28" s="92">
        <f>'Reagent Consumption'!O33</f>
        <v>125</v>
      </c>
      <c r="AA28" s="88">
        <f>'Fuel Consumption'!D25</f>
        <v>1784</v>
      </c>
      <c r="AB28" s="92">
        <f>'Reagent Consumption'!Q33</f>
        <v>0</v>
      </c>
      <c r="AC28" s="92">
        <f>'Reagent Consumption'!P33</f>
        <v>0</v>
      </c>
      <c r="AD28" s="92">
        <f>'Reagent Consumption'!R33</f>
        <v>0</v>
      </c>
      <c r="AE28" s="92">
        <f>'Reagent Consumption'!S33</f>
        <v>0</v>
      </c>
      <c r="AF28" s="92">
        <f>'Reagent Consumption'!T33</f>
        <v>0</v>
      </c>
      <c r="AG28" s="92">
        <f>'Fuel Consumption'!D25</f>
        <v>1784</v>
      </c>
      <c r="AH28" s="92"/>
      <c r="AI28" s="92"/>
      <c r="AJ28" s="92"/>
      <c r="AK28" s="92"/>
      <c r="AL28" s="92"/>
      <c r="AM28" s="92"/>
      <c r="AN28" s="92"/>
      <c r="AO28" s="92"/>
      <c r="AP28" s="92"/>
      <c r="AQ28" s="90"/>
      <c r="AR28" s="74"/>
      <c r="AS28" s="74"/>
    </row>
    <row r="29" spans="1:45" ht="14.4" x14ac:dyDescent="0.3">
      <c r="A29" s="86"/>
      <c r="B29" s="87">
        <v>46270</v>
      </c>
      <c r="C29" s="88">
        <f>Crushing!N44</f>
        <v>0</v>
      </c>
      <c r="D29" s="88">
        <f t="shared" si="9"/>
        <v>2154.4716000000003</v>
      </c>
      <c r="E29" s="89" t="str">
        <f t="shared" si="12"/>
        <v/>
      </c>
      <c r="F29" s="90"/>
      <c r="G29" s="88">
        <f t="shared" si="10"/>
        <v>0</v>
      </c>
      <c r="H29" s="129">
        <f t="shared" si="11"/>
        <v>0</v>
      </c>
      <c r="I29" s="88">
        <f>'Crushing Down Time Hours'!L24</f>
        <v>0</v>
      </c>
      <c r="J29" s="88">
        <f>'Milling Down Time Hours'!Q10</f>
        <v>11</v>
      </c>
      <c r="K29" s="91">
        <f>'Crushing Down Time Hours'!M29</f>
        <v>0</v>
      </c>
      <c r="L29" s="91">
        <f>'Milling Down Time Hours'!R10</f>
        <v>0.45833333333333331</v>
      </c>
      <c r="M29" s="93">
        <v>1</v>
      </c>
      <c r="N29" s="91">
        <f t="shared" si="13"/>
        <v>0.45833333333333331</v>
      </c>
      <c r="O29" s="90"/>
      <c r="P29" s="90"/>
      <c r="Q29" s="90"/>
      <c r="R29" s="90"/>
      <c r="S29" s="90"/>
      <c r="T29" s="92">
        <f t="shared" si="3"/>
        <v>0</v>
      </c>
      <c r="U29" s="1049" t="str">
        <f t="shared" si="4"/>
        <v/>
      </c>
      <c r="V29" s="90"/>
      <c r="W29" s="90"/>
      <c r="X29" s="90"/>
      <c r="Y29" s="90"/>
      <c r="Z29" s="92">
        <f>'Reagent Consumption'!O38</f>
        <v>175</v>
      </c>
      <c r="AA29" s="88">
        <f>'Fuel Consumption'!D26</f>
        <v>2237</v>
      </c>
      <c r="AB29" s="92">
        <f>'Reagent Consumption'!Q38</f>
        <v>0</v>
      </c>
      <c r="AC29" s="92">
        <f>'Reagent Consumption'!P38</f>
        <v>0</v>
      </c>
      <c r="AD29" s="92">
        <f>'Reagent Consumption'!R38</f>
        <v>0</v>
      </c>
      <c r="AE29" s="92">
        <f>'Reagent Consumption'!S38</f>
        <v>0</v>
      </c>
      <c r="AF29" s="92">
        <f>'Reagent Consumption'!T38</f>
        <v>25</v>
      </c>
      <c r="AG29" s="92">
        <f>'Fuel Consumption'!D26</f>
        <v>2237</v>
      </c>
      <c r="AH29" s="92"/>
      <c r="AI29" s="92"/>
      <c r="AJ29" s="92"/>
      <c r="AK29" s="92"/>
      <c r="AL29" s="92"/>
      <c r="AM29" s="92"/>
      <c r="AN29" s="92"/>
      <c r="AO29" s="92"/>
      <c r="AP29" s="92"/>
      <c r="AQ29" s="90"/>
      <c r="AR29" s="74"/>
      <c r="AS29" s="74"/>
    </row>
    <row r="30" spans="1:45" ht="14.4" x14ac:dyDescent="0.3">
      <c r="A30" s="86"/>
      <c r="B30" s="87">
        <v>46271</v>
      </c>
      <c r="C30" s="88">
        <f>Crushing!N45</f>
        <v>0</v>
      </c>
      <c r="D30" s="88">
        <f t="shared" si="9"/>
        <v>2154.4716000000003</v>
      </c>
      <c r="E30" s="89" t="str">
        <f t="shared" si="12"/>
        <v/>
      </c>
      <c r="F30" s="90"/>
      <c r="G30" s="88">
        <f t="shared" si="10"/>
        <v>0</v>
      </c>
      <c r="H30" s="129">
        <f t="shared" si="11"/>
        <v>0</v>
      </c>
      <c r="I30" s="88">
        <f>'Crushing Down Time Hours'!L25</f>
        <v>0</v>
      </c>
      <c r="J30" s="88">
        <f>'Milling Down Time Hours'!Q11</f>
        <v>21.833333333333332</v>
      </c>
      <c r="K30" s="91">
        <f>'Crushing Down Time Hours'!M30</f>
        <v>0</v>
      </c>
      <c r="L30" s="91">
        <f>'Milling Down Time Hours'!R11</f>
        <v>0.90972222222222221</v>
      </c>
      <c r="M30" s="93">
        <v>1</v>
      </c>
      <c r="N30" s="91">
        <f t="shared" si="13"/>
        <v>0.90972222222222221</v>
      </c>
      <c r="O30" s="90"/>
      <c r="P30" s="90"/>
      <c r="Q30" s="90"/>
      <c r="R30" s="90"/>
      <c r="S30" s="90"/>
      <c r="T30" s="92">
        <f t="shared" si="3"/>
        <v>0</v>
      </c>
      <c r="U30" s="1049" t="str">
        <f t="shared" si="4"/>
        <v/>
      </c>
      <c r="V30" s="90"/>
      <c r="W30" s="90"/>
      <c r="X30" s="90"/>
      <c r="Y30" s="90"/>
      <c r="Z30" s="92">
        <f>'Reagent Consumption'!O39</f>
        <v>175</v>
      </c>
      <c r="AA30" s="88">
        <f>'Fuel Consumption'!D27</f>
        <v>1203</v>
      </c>
      <c r="AB30" s="92">
        <f>'Reagent Consumption'!Q39</f>
        <v>0</v>
      </c>
      <c r="AC30" s="92">
        <f>'Reagent Consumption'!P39</f>
        <v>0</v>
      </c>
      <c r="AD30" s="92">
        <f>'Reagent Consumption'!R39</f>
        <v>0</v>
      </c>
      <c r="AE30" s="92">
        <f>'Reagent Consumption'!S39</f>
        <v>0</v>
      </c>
      <c r="AF30" s="92">
        <f>'Reagent Consumption'!T39</f>
        <v>0</v>
      </c>
      <c r="AG30" s="92">
        <f>'Fuel Consumption'!D27</f>
        <v>1203</v>
      </c>
      <c r="AH30" s="92"/>
      <c r="AI30" s="92"/>
      <c r="AJ30" s="92"/>
      <c r="AK30" s="92"/>
      <c r="AL30" s="92"/>
      <c r="AM30" s="92"/>
      <c r="AN30" s="92"/>
      <c r="AO30" s="92"/>
      <c r="AP30" s="92"/>
      <c r="AQ30" s="90"/>
      <c r="AR30" s="74"/>
      <c r="AS30" s="74"/>
    </row>
    <row r="31" spans="1:45" ht="14.4" x14ac:dyDescent="0.3">
      <c r="A31" s="86"/>
      <c r="B31" s="87">
        <v>46272</v>
      </c>
      <c r="C31" s="88">
        <f>Crushing!N46</f>
        <v>0</v>
      </c>
      <c r="D31" s="88">
        <f t="shared" si="9"/>
        <v>2154.4716000000003</v>
      </c>
      <c r="E31" s="89" t="str">
        <f t="shared" si="12"/>
        <v/>
      </c>
      <c r="F31" s="90"/>
      <c r="G31" s="88">
        <f t="shared" si="10"/>
        <v>0</v>
      </c>
      <c r="H31" s="129">
        <f t="shared" si="11"/>
        <v>0</v>
      </c>
      <c r="I31" s="88">
        <f>'Crushing Down Time Hours'!L26</f>
        <v>0</v>
      </c>
      <c r="J31" s="88">
        <f>'Milling Down Time Hours'!Q12</f>
        <v>22.45</v>
      </c>
      <c r="K31" s="91">
        <f>'Crushing Down Time Hours'!M31</f>
        <v>0</v>
      </c>
      <c r="L31" s="91">
        <f>'Milling Down Time Hours'!R12</f>
        <v>0.93541666666666667</v>
      </c>
      <c r="M31" s="93">
        <v>1</v>
      </c>
      <c r="N31" s="91">
        <f t="shared" si="13"/>
        <v>0.93541666666666667</v>
      </c>
      <c r="O31" s="90"/>
      <c r="P31" s="90"/>
      <c r="Q31" s="90"/>
      <c r="R31" s="90"/>
      <c r="S31" s="90"/>
      <c r="T31" s="92">
        <f t="shared" si="3"/>
        <v>0</v>
      </c>
      <c r="U31" s="1049" t="str">
        <f t="shared" si="4"/>
        <v/>
      </c>
      <c r="V31" s="90"/>
      <c r="W31" s="90"/>
      <c r="X31" s="90"/>
      <c r="Y31" s="90"/>
      <c r="Z31" s="92">
        <f>'Reagent Consumption'!O41</f>
        <v>0</v>
      </c>
      <c r="AA31" s="88">
        <f>'Fuel Consumption'!D28</f>
        <v>2655</v>
      </c>
      <c r="AB31" s="92">
        <f>'Reagent Consumption'!Q41</f>
        <v>0</v>
      </c>
      <c r="AC31" s="92">
        <f>'Reagent Consumption'!P41</f>
        <v>0</v>
      </c>
      <c r="AD31" s="92">
        <f>'Reagent Consumption'!R41</f>
        <v>0</v>
      </c>
      <c r="AE31" s="92">
        <f>'Reagent Consumption'!S41</f>
        <v>0</v>
      </c>
      <c r="AF31" s="92">
        <f>'Reagent Consumption'!T41</f>
        <v>0</v>
      </c>
      <c r="AG31" s="92">
        <f>'Fuel Consumption'!D28</f>
        <v>2655</v>
      </c>
      <c r="AH31" s="92"/>
      <c r="AI31" s="92"/>
      <c r="AJ31" s="92"/>
      <c r="AK31" s="92"/>
      <c r="AL31" s="92"/>
      <c r="AM31" s="92"/>
      <c r="AN31" s="92"/>
      <c r="AO31" s="92"/>
      <c r="AP31" s="92"/>
      <c r="AQ31" s="90"/>
      <c r="AR31" s="74"/>
      <c r="AS31" s="74"/>
    </row>
    <row r="32" spans="1:45" ht="14.4" x14ac:dyDescent="0.3">
      <c r="A32" s="86"/>
      <c r="B32" s="87">
        <v>46273</v>
      </c>
      <c r="C32" s="88">
        <f>Crushing!N47</f>
        <v>0</v>
      </c>
      <c r="D32" s="88">
        <f t="shared" si="9"/>
        <v>2154.4716000000003</v>
      </c>
      <c r="E32" s="89" t="str">
        <f t="shared" si="12"/>
        <v/>
      </c>
      <c r="F32" s="90"/>
      <c r="G32" s="88">
        <f t="shared" si="10"/>
        <v>0</v>
      </c>
      <c r="H32" s="129">
        <f t="shared" si="11"/>
        <v>0</v>
      </c>
      <c r="I32" s="88">
        <f>'Crushing Down Time Hours'!L27</f>
        <v>0</v>
      </c>
      <c r="J32" s="88">
        <f>'Milling Down Time Hours'!Q13</f>
        <v>19.783333333333335</v>
      </c>
      <c r="K32" s="91">
        <f>'Crushing Down Time Hours'!M32</f>
        <v>0</v>
      </c>
      <c r="L32" s="91">
        <f>'Milling Down Time Hours'!R13</f>
        <v>0.82430555555555562</v>
      </c>
      <c r="M32" s="93">
        <v>1</v>
      </c>
      <c r="N32" s="91">
        <f t="shared" si="13"/>
        <v>0.82430555555555562</v>
      </c>
      <c r="O32" s="90"/>
      <c r="P32" s="90"/>
      <c r="Q32" s="90"/>
      <c r="R32" s="90"/>
      <c r="S32" s="90"/>
      <c r="T32" s="92">
        <f t="shared" si="3"/>
        <v>0</v>
      </c>
      <c r="U32" s="1049" t="str">
        <f t="shared" si="4"/>
        <v/>
      </c>
      <c r="V32" s="90"/>
      <c r="W32" s="90"/>
      <c r="X32" s="90"/>
      <c r="Y32" s="90"/>
      <c r="Z32" s="92">
        <f>'Reagent Consumption'!O43</f>
        <v>0</v>
      </c>
      <c r="AA32" s="88">
        <f>'Fuel Consumption'!D29</f>
        <v>1557</v>
      </c>
      <c r="AB32" s="92">
        <f>'Reagent Consumption'!Q43</f>
        <v>0</v>
      </c>
      <c r="AC32" s="92">
        <f>'Reagent Consumption'!P43</f>
        <v>0</v>
      </c>
      <c r="AD32" s="92">
        <f>'Reagent Consumption'!R43</f>
        <v>100</v>
      </c>
      <c r="AE32" s="92">
        <f>'Reagent Consumption'!S43</f>
        <v>7</v>
      </c>
      <c r="AF32" s="92">
        <f>'Reagent Consumption'!T43</f>
        <v>0</v>
      </c>
      <c r="AG32" s="92">
        <f>'Fuel Consumption'!D29</f>
        <v>1557</v>
      </c>
      <c r="AH32" s="92"/>
      <c r="AI32" s="92"/>
      <c r="AJ32" s="92"/>
      <c r="AK32" s="92"/>
      <c r="AL32" s="92"/>
      <c r="AM32" s="92"/>
      <c r="AN32" s="92"/>
      <c r="AO32" s="92"/>
      <c r="AP32" s="92"/>
      <c r="AQ32" s="90"/>
      <c r="AR32" s="74"/>
      <c r="AS32" s="74"/>
    </row>
    <row r="33" spans="1:45" ht="14.4" x14ac:dyDescent="0.3">
      <c r="A33" s="86"/>
      <c r="B33" s="87">
        <v>46274</v>
      </c>
      <c r="C33" s="88">
        <f>Crushing!N48</f>
        <v>0</v>
      </c>
      <c r="D33" s="88">
        <f>D32+C33</f>
        <v>2154.4716000000003</v>
      </c>
      <c r="E33" s="89" t="str">
        <f t="shared" si="12"/>
        <v/>
      </c>
      <c r="F33" s="90"/>
      <c r="G33" s="88">
        <f t="shared" si="10"/>
        <v>0</v>
      </c>
      <c r="H33" s="129">
        <f t="shared" si="11"/>
        <v>0</v>
      </c>
      <c r="I33" s="88">
        <f>'Crushing Down Time Hours'!L28</f>
        <v>0</v>
      </c>
      <c r="J33" s="88">
        <f>'Milling Down Time Hours'!Q15</f>
        <v>21.033333333333335</v>
      </c>
      <c r="K33" s="91">
        <f>'Crushing Down Time Hours'!M33</f>
        <v>0</v>
      </c>
      <c r="L33" s="91">
        <f>'Milling Down Time Hours'!R14</f>
        <v>0.51874999999999993</v>
      </c>
      <c r="M33" s="93">
        <v>1</v>
      </c>
      <c r="N33" s="91">
        <f t="shared" si="13"/>
        <v>0.51874999999999993</v>
      </c>
      <c r="O33" s="90"/>
      <c r="P33" s="90"/>
      <c r="Q33" s="90"/>
      <c r="R33" s="90"/>
      <c r="S33" s="90"/>
      <c r="T33" s="92">
        <f t="shared" si="3"/>
        <v>0</v>
      </c>
      <c r="U33" s="1049" t="str">
        <f t="shared" si="4"/>
        <v/>
      </c>
      <c r="V33" s="90"/>
      <c r="W33" s="90"/>
      <c r="X33" s="90"/>
      <c r="Y33" s="90"/>
      <c r="Z33" s="132">
        <f>'Reagent Consumption'!O45</f>
        <v>225</v>
      </c>
      <c r="AA33" s="211">
        <f>'Fuel Consumption'!D30</f>
        <v>1278</v>
      </c>
      <c r="AB33" s="132">
        <f>'Reagent Consumption'!Q45</f>
        <v>1000</v>
      </c>
      <c r="AC33" s="132">
        <f>'Reagent Consumption'!P45</f>
        <v>0</v>
      </c>
      <c r="AD33" s="132">
        <f>'Reagent Consumption'!R45</f>
        <v>0</v>
      </c>
      <c r="AE33" s="132">
        <f>'Reagent Consumption'!S45</f>
        <v>0</v>
      </c>
      <c r="AF33" s="132">
        <f>'Reagent Consumption'!T45</f>
        <v>0</v>
      </c>
      <c r="AG33" s="132">
        <f>'Fuel Consumption'!D30</f>
        <v>1278</v>
      </c>
      <c r="AH33" s="132"/>
      <c r="AI33" s="132"/>
      <c r="AJ33" s="132"/>
      <c r="AK33" s="132"/>
      <c r="AL33" s="132"/>
      <c r="AM33" s="132"/>
      <c r="AN33" s="132"/>
      <c r="AO33" s="132"/>
      <c r="AP33" s="92"/>
      <c r="AQ33" s="90"/>
      <c r="AR33" s="74"/>
      <c r="AS33" s="74"/>
    </row>
    <row r="34" spans="1:45" s="654" customFormat="1" ht="14.4" x14ac:dyDescent="0.3">
      <c r="A34" s="642"/>
      <c r="B34" s="643">
        <v>46275</v>
      </c>
      <c r="C34" s="644">
        <f>Crushing!N60</f>
        <v>73.125</v>
      </c>
      <c r="D34" s="644">
        <f t="shared" si="9"/>
        <v>2227.5966000000003</v>
      </c>
      <c r="E34" s="89" t="str">
        <f t="shared" si="12"/>
        <v/>
      </c>
      <c r="F34" s="651"/>
      <c r="G34" s="644">
        <f t="shared" si="10"/>
        <v>0</v>
      </c>
      <c r="H34" s="646">
        <f t="shared" si="11"/>
        <v>0</v>
      </c>
      <c r="I34" s="644">
        <f>'Crushing Down Time Hours'!L29</f>
        <v>0</v>
      </c>
      <c r="J34" s="644">
        <f>'Milling Down Time Hours'!Q16</f>
        <v>12.983333333333333</v>
      </c>
      <c r="K34" s="647">
        <f>'Crushing Down Time Hours'!M34</f>
        <v>0</v>
      </c>
      <c r="L34" s="91">
        <f>'Milling Down Time Hours'!R15</f>
        <v>0.87638888888888899</v>
      </c>
      <c r="M34" s="93">
        <v>1</v>
      </c>
      <c r="N34" s="91">
        <f t="shared" si="13"/>
        <v>0.87638888888888899</v>
      </c>
      <c r="O34" s="651"/>
      <c r="P34" s="651"/>
      <c r="Q34" s="651"/>
      <c r="R34" s="651"/>
      <c r="S34" s="651"/>
      <c r="T34" s="652">
        <f t="shared" si="3"/>
        <v>0</v>
      </c>
      <c r="U34" s="1049" t="str">
        <f t="shared" si="4"/>
        <v/>
      </c>
      <c r="V34" s="651"/>
      <c r="W34" s="651"/>
      <c r="X34" s="651"/>
      <c r="Y34" s="660"/>
      <c r="Z34" s="666">
        <f>'Reagent Consumption'!O47</f>
        <v>0</v>
      </c>
      <c r="AA34" s="665">
        <f>'Fuel Consumption'!D31</f>
        <v>1099</v>
      </c>
      <c r="AB34" s="666">
        <f>'Reagent Consumption'!Q47</f>
        <v>0</v>
      </c>
      <c r="AC34" s="666">
        <f>'Reagent Consumption'!P47</f>
        <v>0</v>
      </c>
      <c r="AD34" s="666">
        <f>'Reagent Consumption'!R47</f>
        <v>0</v>
      </c>
      <c r="AE34" s="666">
        <f>'Reagent Consumption'!S47</f>
        <v>0</v>
      </c>
      <c r="AF34" s="666">
        <f>'Reagent Consumption'!T47</f>
        <v>0</v>
      </c>
      <c r="AG34" s="666">
        <f>'Fuel Consumption'!D31</f>
        <v>1099</v>
      </c>
      <c r="AH34" s="666"/>
      <c r="AI34" s="666"/>
      <c r="AJ34" s="666"/>
      <c r="AK34" s="666"/>
      <c r="AL34" s="666"/>
      <c r="AM34" s="666"/>
      <c r="AN34" s="666"/>
      <c r="AO34" s="666"/>
      <c r="AP34" s="652"/>
      <c r="AQ34" s="651"/>
      <c r="AR34" s="653"/>
      <c r="AS34" s="653"/>
    </row>
    <row r="35" spans="1:45" ht="14.4" x14ac:dyDescent="0.3">
      <c r="A35" s="86"/>
      <c r="B35" s="87">
        <v>46276</v>
      </c>
      <c r="C35" s="88">
        <f>Crushing!N50</f>
        <v>0</v>
      </c>
      <c r="D35" s="88">
        <f t="shared" si="9"/>
        <v>2227.5966000000003</v>
      </c>
      <c r="E35" s="89" t="str">
        <f t="shared" si="12"/>
        <v/>
      </c>
      <c r="F35" s="90"/>
      <c r="G35" s="88">
        <f t="shared" si="10"/>
        <v>0</v>
      </c>
      <c r="H35" s="129">
        <f t="shared" si="11"/>
        <v>0</v>
      </c>
      <c r="I35" s="88">
        <f>'Crushing Down Time Hours'!L30</f>
        <v>0</v>
      </c>
      <c r="J35" s="88">
        <f>'Milling Down Time Hours'!Q18</f>
        <v>0</v>
      </c>
      <c r="K35" s="91">
        <f>'Crushing Down Time Hours'!M35</f>
        <v>0</v>
      </c>
      <c r="L35" s="91">
        <f>'Milling Down Time Hours'!R16</f>
        <v>0.54097222222222219</v>
      </c>
      <c r="M35" s="93">
        <v>1</v>
      </c>
      <c r="N35" s="91">
        <f t="shared" si="13"/>
        <v>0.54097222222222219</v>
      </c>
      <c r="O35" s="90"/>
      <c r="P35" s="90"/>
      <c r="Q35" s="90"/>
      <c r="R35" s="90"/>
      <c r="S35" s="90"/>
      <c r="T35" s="92">
        <f t="shared" si="3"/>
        <v>0</v>
      </c>
      <c r="U35" s="1049" t="str">
        <f t="shared" si="4"/>
        <v/>
      </c>
      <c r="V35" s="90"/>
      <c r="W35" s="90"/>
      <c r="X35" s="90"/>
      <c r="Y35" s="1050"/>
      <c r="Z35" s="214">
        <f>'Reagent Consumption'!O49</f>
        <v>0</v>
      </c>
      <c r="AA35" s="212">
        <f>'Fuel Consumption'!D32</f>
        <v>1988</v>
      </c>
      <c r="AB35" s="214">
        <f>'Reagent Consumption'!Q49</f>
        <v>0</v>
      </c>
      <c r="AC35" s="214">
        <f>'Reagent Consumption'!P49</f>
        <v>0</v>
      </c>
      <c r="AD35" s="214">
        <f>'Reagent Consumption'!R49</f>
        <v>0</v>
      </c>
      <c r="AE35" s="214">
        <f>'Reagent Consumption'!S49</f>
        <v>0</v>
      </c>
      <c r="AF35" s="214">
        <f>'Reagent Consumption'!T49</f>
        <v>0</v>
      </c>
      <c r="AG35" s="214">
        <f>'Fuel Consumption'!D32</f>
        <v>1988</v>
      </c>
      <c r="AH35" s="214"/>
      <c r="AI35" s="214"/>
      <c r="AJ35" s="214"/>
      <c r="AK35" s="214"/>
      <c r="AL35" s="214"/>
      <c r="AM35" s="214"/>
      <c r="AN35" s="214"/>
      <c r="AO35" s="214"/>
      <c r="AP35" s="92"/>
      <c r="AQ35" s="90"/>
      <c r="AR35" s="74"/>
      <c r="AS35" s="74"/>
    </row>
    <row r="36" spans="1:45" s="654" customFormat="1" ht="14.4" x14ac:dyDescent="0.3">
      <c r="A36" s="642"/>
      <c r="B36" s="643">
        <v>46277</v>
      </c>
      <c r="C36" s="644">
        <f>Crushing!N64</f>
        <v>328.77</v>
      </c>
      <c r="D36" s="664">
        <f t="shared" si="9"/>
        <v>2556.3666000000003</v>
      </c>
      <c r="E36" s="89" t="str">
        <f t="shared" si="12"/>
        <v/>
      </c>
      <c r="F36" s="935">
        <f>AVERAGE('Rom File Inventory'!$T$136:$T$147)</f>
        <v>0.52608333333333335</v>
      </c>
      <c r="G36" s="644">
        <f t="shared" si="10"/>
        <v>172.96041750000001</v>
      </c>
      <c r="H36" s="646">
        <f t="shared" si="11"/>
        <v>0.17296041750000002</v>
      </c>
      <c r="I36" s="644">
        <f>'Crushing Down Time Hours'!L31</f>
        <v>0</v>
      </c>
      <c r="J36" s="644">
        <f>'Milling Down Time Hours'!Q19</f>
        <v>10</v>
      </c>
      <c r="K36" s="647">
        <f>'Crushing Down Time Hours'!M36</f>
        <v>0</v>
      </c>
      <c r="L36" s="91">
        <f>'Milling Down Time Hours'!R17</f>
        <v>0</v>
      </c>
      <c r="M36" s="93">
        <v>1</v>
      </c>
      <c r="N36" s="91">
        <f t="shared" si="13"/>
        <v>0</v>
      </c>
      <c r="O36" s="642"/>
      <c r="P36" s="642"/>
      <c r="Q36" s="642"/>
      <c r="R36" s="642"/>
      <c r="S36" s="642"/>
      <c r="T36" s="655">
        <f t="shared" si="3"/>
        <v>0</v>
      </c>
      <c r="U36" s="1049" t="str">
        <f t="shared" si="4"/>
        <v/>
      </c>
      <c r="V36" s="642"/>
      <c r="W36" s="642"/>
      <c r="X36" s="642"/>
      <c r="Y36" s="653"/>
      <c r="Z36" s="666">
        <f>'Reagent Consumption'!O51</f>
        <v>0</v>
      </c>
      <c r="AA36" s="665">
        <f>'Fuel Consumption'!D33</f>
        <v>1588</v>
      </c>
      <c r="AB36" s="666">
        <f>'Reagent Consumption'!Q51</f>
        <v>0</v>
      </c>
      <c r="AC36" s="666">
        <f>'Reagent Consumption'!P51</f>
        <v>0</v>
      </c>
      <c r="AD36" s="666">
        <f>'Reagent Consumption'!R51</f>
        <v>0</v>
      </c>
      <c r="AE36" s="666">
        <f>'Reagent Consumption'!S51</f>
        <v>0</v>
      </c>
      <c r="AF36" s="666">
        <f>'Reagent Consumption'!T51</f>
        <v>0</v>
      </c>
      <c r="AG36" s="666">
        <f>'Fuel Consumption'!D33</f>
        <v>1588</v>
      </c>
      <c r="AH36" s="666"/>
      <c r="AI36" s="666"/>
      <c r="AJ36" s="666"/>
      <c r="AK36" s="666"/>
      <c r="AL36" s="666"/>
      <c r="AM36" s="666"/>
      <c r="AN36" s="666"/>
      <c r="AO36" s="666"/>
      <c r="AP36" s="655"/>
      <c r="AQ36" s="642"/>
      <c r="AR36" s="653"/>
      <c r="AS36" s="653"/>
    </row>
    <row r="37" spans="1:45" s="654" customFormat="1" ht="14.4" x14ac:dyDescent="0.3">
      <c r="A37" s="653"/>
      <c r="B37" s="643">
        <v>46278</v>
      </c>
      <c r="C37" s="644">
        <f>Crushing!N66</f>
        <v>262.66500000000002</v>
      </c>
      <c r="D37" s="665">
        <f>D36+C37</f>
        <v>2819.0316000000003</v>
      </c>
      <c r="E37" s="89" t="str">
        <f t="shared" si="12"/>
        <v/>
      </c>
      <c r="F37" s="1002">
        <f>AVERAGE('Rom File Inventory'!T142:T155)</f>
        <v>0.62457142857142867</v>
      </c>
      <c r="G37" s="644">
        <f t="shared" si="10"/>
        <v>164.05305428571432</v>
      </c>
      <c r="H37" s="646">
        <f t="shared" si="11"/>
        <v>0.16405305428571432</v>
      </c>
      <c r="I37" s="644">
        <f>'Crushing Down Time Hours'!L32</f>
        <v>0</v>
      </c>
      <c r="J37" s="644">
        <f>'Milling Down Time Hours'!Q20</f>
        <v>24</v>
      </c>
      <c r="K37" s="647">
        <f>'Crushing Down Time Hours'!M37</f>
        <v>0</v>
      </c>
      <c r="L37" s="91">
        <f>'Milling Down Time Hours'!R18</f>
        <v>0</v>
      </c>
      <c r="M37" s="93">
        <v>1</v>
      </c>
      <c r="N37" s="91">
        <f t="shared" si="13"/>
        <v>0</v>
      </c>
      <c r="O37" s="650"/>
      <c r="P37" s="650"/>
      <c r="Q37" s="650"/>
      <c r="R37" s="650"/>
      <c r="S37" s="650"/>
      <c r="T37" s="666">
        <f t="shared" si="3"/>
        <v>0</v>
      </c>
      <c r="U37" s="1049" t="str">
        <f t="shared" si="4"/>
        <v/>
      </c>
      <c r="V37" s="650"/>
      <c r="W37" s="650"/>
      <c r="X37" s="650"/>
      <c r="Y37" s="1051"/>
      <c r="Z37" s="666">
        <f>'Reagent Consumption'!O52</f>
        <v>0</v>
      </c>
      <c r="AA37" s="665">
        <f>'Fuel Consumption'!D34</f>
        <v>2109</v>
      </c>
      <c r="AB37" s="666">
        <f>'Reagent Consumption'!Q52</f>
        <v>0</v>
      </c>
      <c r="AC37" s="666">
        <f>'Reagent Consumption'!P52</f>
        <v>0</v>
      </c>
      <c r="AD37" s="666">
        <f>'Reagent Consumption'!R52</f>
        <v>0</v>
      </c>
      <c r="AE37" s="666">
        <f>'Reagent Consumption'!S52</f>
        <v>0</v>
      </c>
      <c r="AF37" s="666">
        <f>'Reagent Consumption'!T52</f>
        <v>0</v>
      </c>
      <c r="AG37" s="666">
        <f>'Fuel Consumption'!D34</f>
        <v>2109</v>
      </c>
      <c r="AH37" s="666"/>
      <c r="AI37" s="666"/>
      <c r="AJ37" s="666"/>
      <c r="AK37" s="666"/>
      <c r="AL37" s="666"/>
      <c r="AM37" s="666"/>
      <c r="AN37" s="666"/>
      <c r="AO37" s="666"/>
      <c r="AP37" s="1054"/>
      <c r="AQ37" s="650"/>
      <c r="AR37" s="653"/>
      <c r="AS37" s="653"/>
    </row>
    <row r="38" spans="1:45" ht="14.4" x14ac:dyDescent="0.3">
      <c r="A38" s="74"/>
      <c r="B38" s="87">
        <v>46279</v>
      </c>
      <c r="C38" s="88">
        <f>Crushing!N68</f>
        <v>0</v>
      </c>
      <c r="D38" s="212">
        <f>D37+C38</f>
        <v>2819.0316000000003</v>
      </c>
      <c r="E38" s="89" t="str">
        <f t="shared" si="12"/>
        <v/>
      </c>
      <c r="F38" s="94"/>
      <c r="G38" s="88">
        <f t="shared" si="10"/>
        <v>0</v>
      </c>
      <c r="H38" s="129">
        <f t="shared" si="11"/>
        <v>0</v>
      </c>
      <c r="I38" s="88">
        <f>'Crushing Down Time Hours'!L33</f>
        <v>0</v>
      </c>
      <c r="J38" s="88">
        <f>'Milling Down Time Hours'!Q21</f>
        <v>22.933333333333334</v>
      </c>
      <c r="K38" s="91">
        <f>'Crushing Down Time Hours'!M38</f>
        <v>0</v>
      </c>
      <c r="L38" s="91">
        <f>'Milling Down Time Hours'!R19</f>
        <v>0.41666666666666669</v>
      </c>
      <c r="M38" s="93">
        <v>1</v>
      </c>
      <c r="N38" s="91">
        <f t="shared" si="13"/>
        <v>0.41666666666666669</v>
      </c>
      <c r="O38" s="94"/>
      <c r="P38" s="94"/>
      <c r="Q38" s="94"/>
      <c r="R38" s="94"/>
      <c r="S38" s="94"/>
      <c r="T38" s="214"/>
      <c r="U38" s="1049" t="str">
        <f t="shared" si="4"/>
        <v/>
      </c>
      <c r="V38" s="94"/>
      <c r="W38" s="94"/>
      <c r="X38" s="94"/>
      <c r="Y38" s="1052"/>
      <c r="Z38" s="214">
        <f>'Reagent Consumption'!O54</f>
        <v>0</v>
      </c>
      <c r="AA38" s="212">
        <f>'Fuel Consumption'!D35</f>
        <v>2436</v>
      </c>
      <c r="AB38" s="214">
        <f>'Reagent Consumption'!Q54</f>
        <v>0</v>
      </c>
      <c r="AC38" s="214">
        <f>'Reagent Consumption'!P54</f>
        <v>0</v>
      </c>
      <c r="AD38" s="214">
        <f>'Reagent Consumption'!R54</f>
        <v>0</v>
      </c>
      <c r="AE38" s="214">
        <f>'Reagent Consumption'!S54</f>
        <v>0</v>
      </c>
      <c r="AF38" s="214">
        <f>'Reagent Consumption'!T54</f>
        <v>0</v>
      </c>
      <c r="AG38" s="214">
        <f>'Fuel Consumption'!D35</f>
        <v>2436</v>
      </c>
      <c r="AH38" s="214"/>
      <c r="AI38" s="214"/>
      <c r="AJ38" s="214"/>
      <c r="AK38" s="214"/>
      <c r="AL38" s="214"/>
      <c r="AM38" s="214"/>
      <c r="AN38" s="214"/>
      <c r="AO38" s="214"/>
      <c r="AP38" s="1055"/>
      <c r="AQ38" s="94"/>
      <c r="AR38" s="74"/>
      <c r="AS38" s="74"/>
    </row>
    <row r="39" spans="1:45" ht="14.4" x14ac:dyDescent="0.3">
      <c r="A39" s="74"/>
      <c r="B39" s="87">
        <v>46280</v>
      </c>
      <c r="C39" s="88">
        <f>Crushing!N54</f>
        <v>0</v>
      </c>
      <c r="D39" s="212">
        <f t="shared" ref="D39:D55" si="14">D38+C39</f>
        <v>2819.0316000000003</v>
      </c>
      <c r="E39" s="89" t="str">
        <f t="shared" si="12"/>
        <v/>
      </c>
      <c r="F39" s="94"/>
      <c r="G39" s="88">
        <f t="shared" si="10"/>
        <v>0</v>
      </c>
      <c r="H39" s="129">
        <f t="shared" si="11"/>
        <v>0</v>
      </c>
      <c r="I39" s="88">
        <f>'Crushing Down Time Hours'!L34</f>
        <v>0</v>
      </c>
      <c r="J39" s="88">
        <f>'Milling Down Time Hours'!Q22</f>
        <v>24</v>
      </c>
      <c r="K39" s="91">
        <f>'Crushing Down Time Hours'!M39</f>
        <v>0</v>
      </c>
      <c r="L39" s="91">
        <f>'Milling Down Time Hours'!R20</f>
        <v>1</v>
      </c>
      <c r="M39" s="93">
        <v>1</v>
      </c>
      <c r="N39" s="91">
        <f t="shared" si="13"/>
        <v>1</v>
      </c>
      <c r="O39" s="94"/>
      <c r="P39" s="94"/>
      <c r="Q39" s="94"/>
      <c r="R39" s="94"/>
      <c r="S39" s="94"/>
      <c r="T39" s="214"/>
      <c r="U39" s="1049" t="str">
        <f t="shared" si="4"/>
        <v/>
      </c>
      <c r="V39" s="94"/>
      <c r="W39" s="94"/>
      <c r="X39" s="94"/>
      <c r="Y39" s="1052"/>
      <c r="Z39" s="214">
        <f>'Reagent Consumption'!O56</f>
        <v>0</v>
      </c>
      <c r="AA39" s="212">
        <f>'Fuel Consumption'!D36</f>
        <v>2232</v>
      </c>
      <c r="AB39" s="214">
        <f>'Reagent Consumption'!Q56</f>
        <v>0</v>
      </c>
      <c r="AC39" s="214">
        <f>'Reagent Consumption'!P56</f>
        <v>0</v>
      </c>
      <c r="AD39" s="214">
        <f>'Reagent Consumption'!R56</f>
        <v>0</v>
      </c>
      <c r="AE39" s="214">
        <f>'Reagent Consumption'!S56</f>
        <v>0</v>
      </c>
      <c r="AF39" s="214">
        <f>'Reagent Consumption'!T56</f>
        <v>0</v>
      </c>
      <c r="AG39" s="214">
        <f>'Fuel Consumption'!D36</f>
        <v>2232</v>
      </c>
      <c r="AH39" s="214"/>
      <c r="AI39" s="214"/>
      <c r="AJ39" s="214"/>
      <c r="AK39" s="214"/>
      <c r="AL39" s="214"/>
      <c r="AM39" s="214"/>
      <c r="AN39" s="214"/>
      <c r="AO39" s="214"/>
      <c r="AP39" s="1055"/>
      <c r="AQ39" s="94"/>
      <c r="AR39" s="74"/>
      <c r="AS39" s="74"/>
    </row>
    <row r="40" spans="1:45" ht="14.4" x14ac:dyDescent="0.3">
      <c r="A40" s="74"/>
      <c r="B40" s="87">
        <v>46281</v>
      </c>
      <c r="C40" s="88">
        <f>Crushing!N55</f>
        <v>0</v>
      </c>
      <c r="D40" s="212">
        <f t="shared" si="14"/>
        <v>2819.0316000000003</v>
      </c>
      <c r="E40" s="89" t="str">
        <f t="shared" si="12"/>
        <v/>
      </c>
      <c r="F40" s="94"/>
      <c r="G40" s="88">
        <f t="shared" si="10"/>
        <v>0</v>
      </c>
      <c r="H40" s="129">
        <f t="shared" si="11"/>
        <v>0</v>
      </c>
      <c r="I40" s="88">
        <f>'Crushing Down Time Hours'!L35</f>
        <v>0</v>
      </c>
      <c r="J40" s="88">
        <f>'Milling Down Time Hours'!Q23</f>
        <v>21.083333333333332</v>
      </c>
      <c r="K40" s="91">
        <f>'Crushing Down Time Hours'!M40</f>
        <v>0</v>
      </c>
      <c r="L40" s="91">
        <f>'Milling Down Time Hours'!R21</f>
        <v>0.9555555555555556</v>
      </c>
      <c r="M40" s="93">
        <v>1</v>
      </c>
      <c r="N40" s="91">
        <f t="shared" si="13"/>
        <v>0.9555555555555556</v>
      </c>
      <c r="O40" s="94"/>
      <c r="P40" s="94"/>
      <c r="Q40" s="94"/>
      <c r="R40" s="94"/>
      <c r="S40" s="94"/>
      <c r="T40" s="214"/>
      <c r="U40" s="1049" t="str">
        <f t="shared" si="4"/>
        <v/>
      </c>
      <c r="V40" s="94"/>
      <c r="W40" s="94"/>
      <c r="X40" s="94"/>
      <c r="Y40" s="1052"/>
      <c r="Z40" s="214">
        <f>'Reagent Consumption'!O57</f>
        <v>0</v>
      </c>
      <c r="AA40" s="212">
        <f>'Fuel Consumption'!D37</f>
        <v>1968</v>
      </c>
      <c r="AB40" s="214">
        <f>'Reagent Consumption'!Q57</f>
        <v>0</v>
      </c>
      <c r="AC40" s="214">
        <f>'Reagent Consumption'!P57</f>
        <v>0</v>
      </c>
      <c r="AD40" s="214">
        <f>'Reagent Consumption'!R57</f>
        <v>0</v>
      </c>
      <c r="AE40" s="214">
        <f>'Reagent Consumption'!S57</f>
        <v>0</v>
      </c>
      <c r="AF40" s="214">
        <f>'Reagent Consumption'!T57</f>
        <v>0</v>
      </c>
      <c r="AG40" s="214">
        <f>'Fuel Consumption'!D37</f>
        <v>1968</v>
      </c>
      <c r="AH40" s="214"/>
      <c r="AI40" s="214"/>
      <c r="AJ40" s="214"/>
      <c r="AK40" s="214"/>
      <c r="AL40" s="214"/>
      <c r="AM40" s="214"/>
      <c r="AN40" s="214"/>
      <c r="AO40" s="214"/>
      <c r="AP40" s="1055"/>
      <c r="AQ40" s="94"/>
      <c r="AR40" s="74"/>
      <c r="AS40" s="74"/>
    </row>
    <row r="41" spans="1:45" ht="14.4" x14ac:dyDescent="0.3">
      <c r="A41" s="74"/>
      <c r="B41" s="87">
        <v>46282</v>
      </c>
      <c r="C41" s="88">
        <f>Crushing!N56</f>
        <v>0</v>
      </c>
      <c r="D41" s="212">
        <f t="shared" si="14"/>
        <v>2819.0316000000003</v>
      </c>
      <c r="E41" s="89" t="str">
        <f t="shared" si="12"/>
        <v/>
      </c>
      <c r="F41" s="94"/>
      <c r="G41" s="88">
        <f t="shared" si="10"/>
        <v>0</v>
      </c>
      <c r="H41" s="129">
        <f t="shared" si="11"/>
        <v>0</v>
      </c>
      <c r="I41" s="88">
        <f>'Crushing Down Time Hours'!L36</f>
        <v>0</v>
      </c>
      <c r="J41" s="88">
        <f>'Milling Down Time Hours'!Q24</f>
        <v>18</v>
      </c>
      <c r="K41" s="91">
        <f>'Crushing Down Time Hours'!M41</f>
        <v>0</v>
      </c>
      <c r="L41" s="91">
        <f>'Milling Down Time Hours'!R22</f>
        <v>1</v>
      </c>
      <c r="M41" s="93">
        <v>1</v>
      </c>
      <c r="N41" s="91">
        <f t="shared" si="13"/>
        <v>0.75</v>
      </c>
      <c r="O41" s="94"/>
      <c r="P41" s="94"/>
      <c r="Q41" s="94"/>
      <c r="R41" s="94"/>
      <c r="S41" s="94"/>
      <c r="T41" s="214"/>
      <c r="U41" s="1049" t="str">
        <f t="shared" si="4"/>
        <v/>
      </c>
      <c r="V41" s="94"/>
      <c r="W41" s="94"/>
      <c r="X41" s="94"/>
      <c r="Y41" s="1052"/>
      <c r="Z41" s="214">
        <f>'Reagent Consumption'!O58</f>
        <v>0</v>
      </c>
      <c r="AA41" s="212">
        <f>'Fuel Consumption'!D38</f>
        <v>0</v>
      </c>
      <c r="AB41" s="214">
        <f>'Reagent Consumption'!Q58</f>
        <v>0</v>
      </c>
      <c r="AC41" s="214">
        <f>'Reagent Consumption'!P58</f>
        <v>0</v>
      </c>
      <c r="AD41" s="214">
        <f>'Reagent Consumption'!R58</f>
        <v>0</v>
      </c>
      <c r="AE41" s="214">
        <f>'Reagent Consumption'!S58</f>
        <v>0</v>
      </c>
      <c r="AF41" s="214">
        <f>'Reagent Consumption'!T58</f>
        <v>0</v>
      </c>
      <c r="AG41" s="214">
        <f>'Fuel Consumption'!D38</f>
        <v>0</v>
      </c>
      <c r="AH41" s="214"/>
      <c r="AI41" s="214"/>
      <c r="AJ41" s="214"/>
      <c r="AK41" s="214"/>
      <c r="AL41" s="214"/>
      <c r="AM41" s="214"/>
      <c r="AN41" s="214"/>
      <c r="AO41" s="214"/>
      <c r="AP41" s="1055"/>
      <c r="AQ41" s="94"/>
      <c r="AR41" s="74"/>
      <c r="AS41" s="74"/>
    </row>
    <row r="42" spans="1:45" ht="14.4" x14ac:dyDescent="0.3">
      <c r="A42" s="74"/>
      <c r="B42" s="87">
        <v>46283</v>
      </c>
      <c r="C42" s="88">
        <f>Crushing!N76</f>
        <v>201.24</v>
      </c>
      <c r="D42" s="212">
        <f t="shared" si="14"/>
        <v>3020.2716</v>
      </c>
      <c r="E42" s="89" t="str">
        <f t="shared" si="12"/>
        <v/>
      </c>
      <c r="F42" s="1048">
        <f>F43</f>
        <v>0.58594117647058819</v>
      </c>
      <c r="G42" s="88">
        <f t="shared" si="10"/>
        <v>117.91480235294117</v>
      </c>
      <c r="H42" s="129">
        <f t="shared" si="11"/>
        <v>0.11791480235294116</v>
      </c>
      <c r="I42" s="88">
        <f>'Crushing Down Time Hours'!L37</f>
        <v>0</v>
      </c>
      <c r="J42" s="88">
        <f>'Milling Down Time Hours'!Q25</f>
        <v>0</v>
      </c>
      <c r="K42" s="91">
        <f>'Crushing Down Time Hours'!M42</f>
        <v>0</v>
      </c>
      <c r="L42" s="91">
        <f>'Milling Down Time Hours'!R23</f>
        <v>0.87847222222222221</v>
      </c>
      <c r="M42" s="93">
        <v>1</v>
      </c>
      <c r="N42" s="91">
        <f t="shared" si="13"/>
        <v>0.87847222222222221</v>
      </c>
      <c r="O42" s="94"/>
      <c r="P42" s="94"/>
      <c r="Q42" s="94"/>
      <c r="R42" s="94"/>
      <c r="S42" s="94"/>
      <c r="T42" s="214"/>
      <c r="U42" s="1049" t="str">
        <f t="shared" si="4"/>
        <v/>
      </c>
      <c r="V42" s="94"/>
      <c r="W42" s="94"/>
      <c r="X42" s="94"/>
      <c r="Y42" s="1052"/>
      <c r="Z42" s="214">
        <f>'Reagent Consumption'!O59</f>
        <v>0</v>
      </c>
      <c r="AA42" s="212">
        <f>'Fuel Consumption'!D39</f>
        <v>0</v>
      </c>
      <c r="AB42" s="214">
        <f>'Reagent Consumption'!Q59</f>
        <v>0</v>
      </c>
      <c r="AC42" s="214">
        <f>'Reagent Consumption'!P59</f>
        <v>0</v>
      </c>
      <c r="AD42" s="214">
        <f>'Reagent Consumption'!R59</f>
        <v>0</v>
      </c>
      <c r="AE42" s="214">
        <f>'Reagent Consumption'!S59</f>
        <v>0</v>
      </c>
      <c r="AF42" s="214">
        <f>'Reagent Consumption'!T59</f>
        <v>0</v>
      </c>
      <c r="AG42" s="214">
        <f>'Fuel Consumption'!D39</f>
        <v>0</v>
      </c>
      <c r="AH42" s="214"/>
      <c r="AI42" s="214"/>
      <c r="AJ42" s="214"/>
      <c r="AK42" s="214"/>
      <c r="AL42" s="214"/>
      <c r="AM42" s="214"/>
      <c r="AN42" s="214"/>
      <c r="AO42" s="214"/>
      <c r="AP42" s="1055"/>
      <c r="AQ42" s="94"/>
      <c r="AR42" s="74"/>
      <c r="AS42" s="74"/>
    </row>
    <row r="43" spans="1:45" ht="14.4" x14ac:dyDescent="0.3">
      <c r="A43" s="74"/>
      <c r="B43" s="87">
        <v>46284</v>
      </c>
      <c r="C43" s="88">
        <f>Crushing!N78</f>
        <v>324.20960000000002</v>
      </c>
      <c r="D43" s="212">
        <f>D42+C43</f>
        <v>3344.4812000000002</v>
      </c>
      <c r="E43" s="89" t="str">
        <f t="shared" si="12"/>
        <v/>
      </c>
      <c r="F43" s="1048">
        <f>AVERAGE('Rom File Inventory'!T150:T166)</f>
        <v>0.58594117647058819</v>
      </c>
      <c r="G43" s="88">
        <f t="shared" si="10"/>
        <v>189.96775444705881</v>
      </c>
      <c r="H43" s="129">
        <f t="shared" si="11"/>
        <v>0.1899677544470588</v>
      </c>
      <c r="I43" s="88">
        <f>'Crushing Down Time Hours'!L38</f>
        <v>0</v>
      </c>
      <c r="J43" s="88">
        <f>'Milling Down Time Hours'!Q26</f>
        <v>13.916666666666666</v>
      </c>
      <c r="K43" s="91">
        <f>'Crushing Down Time Hours'!M43</f>
        <v>0.49962121212121213</v>
      </c>
      <c r="L43" s="91">
        <f>'Milling Down Time Hours'!R24</f>
        <v>0.75</v>
      </c>
      <c r="M43" s="93">
        <v>1</v>
      </c>
      <c r="N43" s="91">
        <f t="shared" si="13"/>
        <v>0.75</v>
      </c>
      <c r="O43" s="94"/>
      <c r="P43" s="94"/>
      <c r="Q43" s="94"/>
      <c r="R43" s="94"/>
      <c r="S43" s="94"/>
      <c r="T43" s="214"/>
      <c r="U43" s="1049" t="str">
        <f t="shared" si="4"/>
        <v/>
      </c>
      <c r="V43" s="94"/>
      <c r="W43" s="94"/>
      <c r="X43" s="94"/>
      <c r="Y43" s="1052"/>
      <c r="Z43" s="214">
        <f>'Reagent Consumption'!O60</f>
        <v>0</v>
      </c>
      <c r="AA43" s="212">
        <f>'Fuel Consumption'!D40</f>
        <v>0</v>
      </c>
      <c r="AB43" s="214">
        <f>'Reagent Consumption'!Q60</f>
        <v>0</v>
      </c>
      <c r="AC43" s="214">
        <f>'Reagent Consumption'!P60</f>
        <v>0</v>
      </c>
      <c r="AD43" s="214">
        <f>'Reagent Consumption'!R60</f>
        <v>0</v>
      </c>
      <c r="AE43" s="214">
        <f>'Reagent Consumption'!S60</f>
        <v>0</v>
      </c>
      <c r="AF43" s="214">
        <f>'Reagent Consumption'!T60</f>
        <v>0</v>
      </c>
      <c r="AG43" s="214">
        <f>'Fuel Consumption'!D40</f>
        <v>0</v>
      </c>
      <c r="AH43" s="214"/>
      <c r="AI43" s="214"/>
      <c r="AJ43" s="214"/>
      <c r="AK43" s="214"/>
      <c r="AL43" s="214"/>
      <c r="AM43" s="214"/>
      <c r="AN43" s="214"/>
      <c r="AO43" s="214"/>
      <c r="AP43" s="1055"/>
      <c r="AQ43" s="94"/>
      <c r="AR43" s="74"/>
      <c r="AS43" s="74"/>
    </row>
    <row r="44" spans="1:45" ht="14.4" x14ac:dyDescent="0.3">
      <c r="A44" s="74"/>
      <c r="B44" s="87">
        <v>46285</v>
      </c>
      <c r="C44" s="88">
        <f>Crushing!N81</f>
        <v>209.989</v>
      </c>
      <c r="D44" s="212">
        <f t="shared" si="14"/>
        <v>3554.4702000000002</v>
      </c>
      <c r="E44" s="89" t="str">
        <f t="shared" si="12"/>
        <v/>
      </c>
      <c r="F44" s="1048">
        <f>IFERROR(AVERAGE('Rom File Inventory'!T167:T179),"")</f>
        <v>0.86646153846153839</v>
      </c>
      <c r="G44" s="88">
        <f>IFERROR(F44*C44,"")</f>
        <v>181.94739199999998</v>
      </c>
      <c r="H44" s="129">
        <f>IFERROR(G44/1000,"")</f>
        <v>0.18194739199999999</v>
      </c>
      <c r="I44" s="88">
        <f>'Crushing Down Time Hours'!L39</f>
        <v>0</v>
      </c>
      <c r="J44" s="88">
        <f>'Milling Down Time Hours'!Q27</f>
        <v>21.25</v>
      </c>
      <c r="K44" s="91">
        <f>'Crushing Down Time Hours'!M44</f>
        <v>0</v>
      </c>
      <c r="L44" s="91">
        <f>'Milling Down Time Hours'!R25</f>
        <v>0</v>
      </c>
      <c r="M44" s="93">
        <v>1</v>
      </c>
      <c r="N44" s="91">
        <f t="shared" si="13"/>
        <v>0</v>
      </c>
      <c r="O44" s="94"/>
      <c r="P44" s="94"/>
      <c r="Q44" s="94"/>
      <c r="R44" s="94"/>
      <c r="S44" s="94"/>
      <c r="T44" s="214"/>
      <c r="U44" s="1049" t="str">
        <f t="shared" si="4"/>
        <v/>
      </c>
      <c r="V44" s="94"/>
      <c r="W44" s="94"/>
      <c r="X44" s="94"/>
      <c r="Y44" s="1052"/>
      <c r="Z44" s="214">
        <f>'Reagent Consumption'!O61</f>
        <v>0</v>
      </c>
      <c r="AA44" s="212">
        <f>'Fuel Consumption'!D41</f>
        <v>0</v>
      </c>
      <c r="AB44" s="214">
        <f>'Reagent Consumption'!Q61</f>
        <v>0</v>
      </c>
      <c r="AC44" s="214">
        <f>'Reagent Consumption'!P61</f>
        <v>0</v>
      </c>
      <c r="AD44" s="214">
        <f>'Reagent Consumption'!R61</f>
        <v>0</v>
      </c>
      <c r="AE44" s="214">
        <f>'Reagent Consumption'!S61</f>
        <v>0</v>
      </c>
      <c r="AF44" s="214">
        <f>'Reagent Consumption'!T61</f>
        <v>0</v>
      </c>
      <c r="AG44" s="214">
        <f>'Fuel Consumption'!D41</f>
        <v>0</v>
      </c>
      <c r="AH44" s="214"/>
      <c r="AI44" s="214"/>
      <c r="AJ44" s="214"/>
      <c r="AK44" s="214"/>
      <c r="AL44" s="214"/>
      <c r="AM44" s="214"/>
      <c r="AN44" s="214"/>
      <c r="AO44" s="214"/>
      <c r="AP44" s="1055"/>
      <c r="AQ44" s="94"/>
      <c r="AR44" s="74"/>
      <c r="AS44" s="74"/>
    </row>
    <row r="45" spans="1:45" ht="14.4" x14ac:dyDescent="0.3">
      <c r="A45" s="74"/>
      <c r="B45" s="87">
        <v>46286</v>
      </c>
      <c r="C45" s="88">
        <f>Crushing!N84</f>
        <v>248.43</v>
      </c>
      <c r="D45" s="212">
        <f t="shared" si="14"/>
        <v>3802.9002</v>
      </c>
      <c r="E45" s="89" t="str">
        <f t="shared" si="12"/>
        <v/>
      </c>
      <c r="F45" s="1048">
        <f>AVERAGE('Rom File Inventory'!T180:T189)</f>
        <v>0.74890000000000001</v>
      </c>
      <c r="G45" s="88">
        <f t="shared" si="10"/>
        <v>186.049227</v>
      </c>
      <c r="H45" s="129">
        <f t="shared" si="11"/>
        <v>0.18604922700000001</v>
      </c>
      <c r="I45" s="88">
        <f>'Crushing Down Time Hours'!L40</f>
        <v>0</v>
      </c>
      <c r="J45" s="212"/>
      <c r="K45" s="91">
        <f>'Crushing Down Time Hours'!M45</f>
        <v>0</v>
      </c>
      <c r="L45" s="91">
        <f>'Milling Down Time Hours'!R26</f>
        <v>0.57986111111111105</v>
      </c>
      <c r="M45" s="93">
        <v>1</v>
      </c>
      <c r="N45" s="91">
        <f t="shared" si="13"/>
        <v>0.57986111111111105</v>
      </c>
      <c r="O45" s="94"/>
      <c r="P45" s="94"/>
      <c r="Q45" s="94"/>
      <c r="R45" s="94"/>
      <c r="S45" s="94"/>
      <c r="T45" s="214"/>
      <c r="U45" s="1049" t="str">
        <f t="shared" si="4"/>
        <v/>
      </c>
      <c r="V45" s="94"/>
      <c r="W45" s="94"/>
      <c r="X45" s="94"/>
      <c r="Y45" s="1052"/>
      <c r="Z45" s="214">
        <f>'Reagent Consumption'!O63</f>
        <v>0</v>
      </c>
      <c r="AA45" s="212">
        <f>'Fuel Consumption'!D42</f>
        <v>0</v>
      </c>
      <c r="AB45" s="214">
        <f>'Reagent Consumption'!Q63</f>
        <v>0</v>
      </c>
      <c r="AC45" s="214">
        <f>'Reagent Consumption'!P63</f>
        <v>0</v>
      </c>
      <c r="AD45" s="214">
        <f>'Reagent Consumption'!R63</f>
        <v>0</v>
      </c>
      <c r="AE45" s="214">
        <f>'Reagent Consumption'!S63</f>
        <v>0</v>
      </c>
      <c r="AF45" s="214">
        <f>'Reagent Consumption'!T63</f>
        <v>0</v>
      </c>
      <c r="AG45" s="214">
        <f>'Fuel Consumption'!D42</f>
        <v>0</v>
      </c>
      <c r="AH45" s="214"/>
      <c r="AI45" s="214"/>
      <c r="AJ45" s="214"/>
      <c r="AK45" s="214"/>
      <c r="AL45" s="214"/>
      <c r="AM45" s="214"/>
      <c r="AN45" s="214"/>
      <c r="AO45" s="214"/>
      <c r="AP45" s="1055"/>
      <c r="AQ45" s="94"/>
      <c r="AR45" s="74"/>
      <c r="AS45" s="74"/>
    </row>
    <row r="46" spans="1:45" ht="14.4" x14ac:dyDescent="0.3">
      <c r="A46" s="74"/>
      <c r="B46" s="87">
        <v>46287</v>
      </c>
      <c r="C46" s="88">
        <f>Crushing!N86</f>
        <v>133.38000000000002</v>
      </c>
      <c r="D46" s="212">
        <f t="shared" si="14"/>
        <v>3936.2802000000001</v>
      </c>
      <c r="E46" s="89" t="str">
        <f t="shared" si="12"/>
        <v/>
      </c>
      <c r="F46" s="1048">
        <f>AVERAGE('Rom File Inventory'!T190:T193)</f>
        <v>1.21225</v>
      </c>
      <c r="G46" s="88">
        <f t="shared" si="10"/>
        <v>161.68990500000004</v>
      </c>
      <c r="H46" s="129">
        <f t="shared" si="11"/>
        <v>0.16168990500000005</v>
      </c>
      <c r="I46" s="88">
        <f>'Crushing Down Time Hours'!L41</f>
        <v>0</v>
      </c>
      <c r="J46" s="212"/>
      <c r="K46" s="105"/>
      <c r="L46" s="91">
        <f>'Milling Down Time Hours'!R27</f>
        <v>0.88541666666666663</v>
      </c>
      <c r="M46" s="93">
        <v>1</v>
      </c>
      <c r="N46" s="91">
        <f t="shared" si="13"/>
        <v>0.88541666666666663</v>
      </c>
      <c r="O46" s="94"/>
      <c r="P46" s="94"/>
      <c r="Q46" s="94"/>
      <c r="R46" s="94"/>
      <c r="S46" s="94"/>
      <c r="T46" s="214"/>
      <c r="U46" s="1049" t="str">
        <f t="shared" si="4"/>
        <v/>
      </c>
      <c r="V46" s="94"/>
      <c r="W46" s="94"/>
      <c r="X46" s="94"/>
      <c r="Y46" s="1052"/>
      <c r="Z46" s="214">
        <f>'Reagent Consumption'!O64</f>
        <v>0</v>
      </c>
      <c r="AA46" s="212">
        <f>'Fuel Consumption'!D43</f>
        <v>0</v>
      </c>
      <c r="AB46" s="214">
        <f>'Reagent Consumption'!Q64</f>
        <v>0</v>
      </c>
      <c r="AC46" s="214">
        <f>'Reagent Consumption'!P64</f>
        <v>0</v>
      </c>
      <c r="AD46" s="214">
        <f>'Reagent Consumption'!R64</f>
        <v>0</v>
      </c>
      <c r="AE46" s="214">
        <f>'Reagent Consumption'!S64</f>
        <v>0</v>
      </c>
      <c r="AF46" s="214">
        <f>'Reagent Consumption'!T64</f>
        <v>0</v>
      </c>
      <c r="AG46" s="214">
        <f>'Fuel Consumption'!D43</f>
        <v>0</v>
      </c>
      <c r="AH46" s="214"/>
      <c r="AI46" s="214"/>
      <c r="AJ46" s="214"/>
      <c r="AK46" s="214"/>
      <c r="AL46" s="214"/>
      <c r="AM46" s="214"/>
      <c r="AN46" s="214"/>
      <c r="AO46" s="214"/>
      <c r="AP46" s="1055"/>
      <c r="AQ46" s="94"/>
      <c r="AR46" s="74"/>
      <c r="AS46" s="74"/>
    </row>
    <row r="47" spans="1:45" ht="14.4" x14ac:dyDescent="0.3">
      <c r="A47" s="74"/>
      <c r="B47" s="87">
        <v>46288</v>
      </c>
      <c r="C47" s="88">
        <f>Crushing!N88</f>
        <v>402.63600000000008</v>
      </c>
      <c r="D47" s="212">
        <f t="shared" si="14"/>
        <v>4338.9162000000006</v>
      </c>
      <c r="E47" s="89" t="str">
        <f t="shared" si="12"/>
        <v/>
      </c>
      <c r="F47" s="1048">
        <f>AVERAGE('Rom File Inventory'!T194:T205)</f>
        <v>0.73433333333333328</v>
      </c>
      <c r="G47" s="88">
        <f t="shared" si="10"/>
        <v>295.66903600000006</v>
      </c>
      <c r="H47" s="129">
        <f t="shared" si="11"/>
        <v>0.29566903600000005</v>
      </c>
      <c r="I47" s="88">
        <f>'Crushing Down Time Hours'!L42</f>
        <v>0</v>
      </c>
      <c r="J47" s="212"/>
      <c r="K47" s="105"/>
      <c r="L47" s="91">
        <f>'Milling Down Time Hours'!R28</f>
        <v>0.8125</v>
      </c>
      <c r="M47" s="93">
        <v>1</v>
      </c>
      <c r="N47" s="91">
        <f t="shared" si="13"/>
        <v>0.8125</v>
      </c>
      <c r="O47" s="94"/>
      <c r="P47" s="94"/>
      <c r="Q47" s="94"/>
      <c r="R47" s="94"/>
      <c r="S47" s="94"/>
      <c r="T47" s="214"/>
      <c r="U47" s="1049" t="str">
        <f t="shared" si="4"/>
        <v/>
      </c>
      <c r="V47" s="94"/>
      <c r="W47" s="94"/>
      <c r="X47" s="94"/>
      <c r="Y47" s="1052"/>
      <c r="Z47" s="214">
        <f>'Reagent Consumption'!O65</f>
        <v>0</v>
      </c>
      <c r="AA47" s="212">
        <f>'Fuel Consumption'!D44</f>
        <v>0</v>
      </c>
      <c r="AB47" s="214">
        <f>'Reagent Consumption'!Q65</f>
        <v>0</v>
      </c>
      <c r="AC47" s="214">
        <f>'Reagent Consumption'!P65</f>
        <v>0</v>
      </c>
      <c r="AD47" s="214">
        <f>'Reagent Consumption'!R65</f>
        <v>0</v>
      </c>
      <c r="AE47" s="214">
        <f>'Reagent Consumption'!S65</f>
        <v>0</v>
      </c>
      <c r="AF47" s="214">
        <f>'Reagent Consumption'!T65</f>
        <v>0</v>
      </c>
      <c r="AG47" s="214">
        <f>'Fuel Consumption'!D44</f>
        <v>0</v>
      </c>
      <c r="AH47" s="214"/>
      <c r="AI47" s="214"/>
      <c r="AJ47" s="214"/>
      <c r="AK47" s="214"/>
      <c r="AL47" s="214"/>
      <c r="AM47" s="214"/>
      <c r="AN47" s="214"/>
      <c r="AO47" s="214"/>
      <c r="AP47" s="1055"/>
      <c r="AQ47" s="94"/>
      <c r="AR47" s="74"/>
      <c r="AS47" s="74"/>
    </row>
    <row r="48" spans="1:45" ht="14.4" x14ac:dyDescent="0.3">
      <c r="A48" s="74"/>
      <c r="B48" s="87">
        <v>46289</v>
      </c>
      <c r="C48" s="88">
        <f>Crushing!N90</f>
        <v>219.92100000000002</v>
      </c>
      <c r="D48" s="212">
        <f t="shared" si="14"/>
        <v>4558.8372000000008</v>
      </c>
      <c r="E48" s="89">
        <f t="shared" si="12"/>
        <v>3.3346626231993937</v>
      </c>
      <c r="F48" s="1048">
        <f>AVERAGE('Rom File Inventory'!T207:T210)</f>
        <v>0.65225</v>
      </c>
      <c r="G48" s="88">
        <f t="shared" si="10"/>
        <v>143.44347225000001</v>
      </c>
      <c r="H48" s="129">
        <f t="shared" si="11"/>
        <v>0.14344347225000001</v>
      </c>
      <c r="I48" s="88">
        <f>'Crushing Down Time Hours'!L43</f>
        <v>65.95</v>
      </c>
      <c r="J48" s="212"/>
      <c r="K48" s="105"/>
      <c r="L48" s="91">
        <f>'Milling Down Time Hours'!R29</f>
        <v>1</v>
      </c>
      <c r="M48" s="93">
        <v>1</v>
      </c>
      <c r="N48" s="91">
        <f t="shared" si="13"/>
        <v>0</v>
      </c>
      <c r="O48" s="94"/>
      <c r="P48" s="94"/>
      <c r="Q48" s="94"/>
      <c r="R48" s="94"/>
      <c r="S48" s="94"/>
      <c r="T48" s="214"/>
      <c r="U48" s="1049" t="str">
        <f t="shared" si="4"/>
        <v/>
      </c>
      <c r="V48" s="94"/>
      <c r="W48" s="94"/>
      <c r="X48" s="94"/>
      <c r="Y48" s="1052"/>
      <c r="Z48" s="214">
        <f>'Reagent Consumption'!O66</f>
        <v>0</v>
      </c>
      <c r="AA48" s="212">
        <f>'Fuel Consumption'!D45</f>
        <v>0</v>
      </c>
      <c r="AB48" s="214">
        <f>'Reagent Consumption'!Q66</f>
        <v>0</v>
      </c>
      <c r="AC48" s="214">
        <f>'Reagent Consumption'!P66</f>
        <v>0</v>
      </c>
      <c r="AD48" s="214">
        <f>'Reagent Consumption'!R66</f>
        <v>0</v>
      </c>
      <c r="AE48" s="214">
        <f>'Reagent Consumption'!S66</f>
        <v>0</v>
      </c>
      <c r="AF48" s="214">
        <f>'Reagent Consumption'!T66</f>
        <v>0</v>
      </c>
      <c r="AG48" s="214">
        <f>'Fuel Consumption'!D45</f>
        <v>0</v>
      </c>
      <c r="AH48" s="214"/>
      <c r="AI48" s="214"/>
      <c r="AJ48" s="214"/>
      <c r="AK48" s="214"/>
      <c r="AL48" s="214"/>
      <c r="AM48" s="214"/>
      <c r="AN48" s="214"/>
      <c r="AO48" s="214"/>
      <c r="AP48" s="1055"/>
      <c r="AQ48" s="94"/>
      <c r="AR48" s="74"/>
      <c r="AS48" s="74"/>
    </row>
    <row r="49" spans="1:45" ht="14.4" x14ac:dyDescent="0.3">
      <c r="A49" s="74"/>
      <c r="B49" s="400">
        <v>46290</v>
      </c>
      <c r="C49" s="211"/>
      <c r="D49" s="401">
        <f t="shared" si="14"/>
        <v>4558.8372000000008</v>
      </c>
      <c r="E49" s="1041">
        <f t="shared" si="12"/>
        <v>0</v>
      </c>
      <c r="F49" s="402"/>
      <c r="G49" s="211">
        <f t="shared" si="10"/>
        <v>0</v>
      </c>
      <c r="H49" s="1042">
        <f t="shared" si="11"/>
        <v>0</v>
      </c>
      <c r="I49" s="211">
        <f>'Crushing Down Time Hours'!L44</f>
        <v>0.61064814814814816</v>
      </c>
      <c r="J49" s="401"/>
      <c r="K49" s="403"/>
      <c r="L49" s="91">
        <f>'Milling Down Time Hours'!R30</f>
        <v>0.38819444444444445</v>
      </c>
      <c r="M49" s="93">
        <v>1</v>
      </c>
      <c r="N49" s="91">
        <f t="shared" si="13"/>
        <v>0.38819444444444445</v>
      </c>
      <c r="O49" s="402"/>
      <c r="P49" s="402"/>
      <c r="Q49" s="402"/>
      <c r="R49" s="402"/>
      <c r="S49" s="402"/>
      <c r="T49" s="404"/>
      <c r="U49" s="1049" t="str">
        <f t="shared" si="4"/>
        <v/>
      </c>
      <c r="V49" s="402"/>
      <c r="W49" s="402"/>
      <c r="X49" s="402"/>
      <c r="Y49" s="1053"/>
      <c r="Z49" s="214">
        <f>'Reagent Consumption'!O67</f>
        <v>0</v>
      </c>
      <c r="AA49" s="212">
        <f>'Fuel Consumption'!D46</f>
        <v>0</v>
      </c>
      <c r="AB49" s="214">
        <f>'Reagent Consumption'!Q67</f>
        <v>0</v>
      </c>
      <c r="AC49" s="214">
        <f>'Reagent Consumption'!P67</f>
        <v>0</v>
      </c>
      <c r="AD49" s="214">
        <f>'Reagent Consumption'!R67</f>
        <v>0</v>
      </c>
      <c r="AE49" s="214">
        <f>'Reagent Consumption'!S67</f>
        <v>0</v>
      </c>
      <c r="AF49" s="214">
        <f>'Reagent Consumption'!T67</f>
        <v>0</v>
      </c>
      <c r="AG49" s="214">
        <f>'Fuel Consumption'!D46</f>
        <v>0</v>
      </c>
      <c r="AH49" s="214"/>
      <c r="AI49" s="214"/>
      <c r="AJ49" s="214"/>
      <c r="AK49" s="214"/>
      <c r="AL49" s="214"/>
      <c r="AM49" s="214"/>
      <c r="AN49" s="214"/>
      <c r="AO49" s="214"/>
      <c r="AP49" s="1056"/>
      <c r="AQ49" s="402"/>
      <c r="AR49" s="74"/>
      <c r="AS49" s="74"/>
    </row>
    <row r="50" spans="1:45" ht="14.4" x14ac:dyDescent="0.3">
      <c r="A50" s="74"/>
      <c r="B50" s="1040">
        <v>46291</v>
      </c>
      <c r="C50" s="212"/>
      <c r="D50" s="401">
        <f>D49+C50</f>
        <v>4558.8372000000008</v>
      </c>
      <c r="E50" s="213"/>
      <c r="F50" s="94"/>
      <c r="G50" s="212"/>
      <c r="H50" s="1048"/>
      <c r="I50" s="212"/>
      <c r="J50" s="212"/>
      <c r="K50" s="105"/>
      <c r="L50" s="91">
        <f>'Milling Down Time Hours'!R31</f>
        <v>0</v>
      </c>
      <c r="M50" s="93">
        <v>1</v>
      </c>
      <c r="N50" s="91">
        <f t="shared" si="13"/>
        <v>0</v>
      </c>
      <c r="O50" s="94"/>
      <c r="P50" s="94"/>
      <c r="Q50" s="402"/>
      <c r="R50" s="402"/>
      <c r="S50" s="402"/>
      <c r="T50" s="404"/>
      <c r="U50" s="1049" t="str">
        <f t="shared" si="4"/>
        <v/>
      </c>
      <c r="V50" s="402"/>
      <c r="W50" s="402"/>
      <c r="X50" s="402"/>
      <c r="Y50" s="402"/>
      <c r="Z50" s="214"/>
      <c r="AA50" s="212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404"/>
      <c r="AQ50" s="402"/>
      <c r="AR50" s="74"/>
      <c r="AS50" s="74"/>
    </row>
    <row r="51" spans="1:45" ht="14.4" x14ac:dyDescent="0.3">
      <c r="A51" s="74"/>
      <c r="B51" s="1040">
        <v>46292</v>
      </c>
      <c r="C51" s="212"/>
      <c r="D51" s="401">
        <f t="shared" si="14"/>
        <v>4558.8372000000008</v>
      </c>
      <c r="E51" s="213"/>
      <c r="F51" s="94"/>
      <c r="G51" s="212"/>
      <c r="H51" s="1048"/>
      <c r="I51" s="212"/>
      <c r="J51" s="212"/>
      <c r="K51" s="105"/>
      <c r="L51" s="91">
        <f>'Milling Down Time Hours'!R32</f>
        <v>0.79166666666666663</v>
      </c>
      <c r="M51" s="93">
        <v>1</v>
      </c>
      <c r="N51" s="91">
        <f t="shared" si="13"/>
        <v>0.79166666666666663</v>
      </c>
      <c r="O51" s="94"/>
      <c r="P51" s="94"/>
      <c r="Q51" s="402"/>
      <c r="R51" s="402"/>
      <c r="S51" s="402"/>
      <c r="T51" s="404"/>
      <c r="U51" s="1049" t="str">
        <f t="shared" si="4"/>
        <v/>
      </c>
      <c r="V51" s="402"/>
      <c r="W51" s="402"/>
      <c r="X51" s="402"/>
      <c r="Y51" s="402"/>
      <c r="Z51" s="214"/>
      <c r="AA51" s="212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404"/>
      <c r="AQ51" s="402"/>
      <c r="AR51" s="74"/>
      <c r="AS51" s="74"/>
    </row>
    <row r="52" spans="1:45" ht="14.4" x14ac:dyDescent="0.3">
      <c r="A52" s="74"/>
      <c r="B52" s="1039">
        <v>46293</v>
      </c>
      <c r="C52" s="212"/>
      <c r="D52" s="401">
        <f t="shared" si="14"/>
        <v>4558.8372000000008</v>
      </c>
      <c r="E52" s="213"/>
      <c r="F52" s="94"/>
      <c r="G52" s="212"/>
      <c r="H52" s="1048"/>
      <c r="I52" s="212"/>
      <c r="J52" s="212"/>
      <c r="K52" s="105"/>
      <c r="L52" s="91">
        <f>'Milling Down Time Hours'!R33</f>
        <v>0</v>
      </c>
      <c r="M52" s="93">
        <v>1</v>
      </c>
      <c r="N52" s="91">
        <f t="shared" si="13"/>
        <v>0</v>
      </c>
      <c r="O52" s="94"/>
      <c r="P52" s="94"/>
      <c r="Q52" s="402"/>
      <c r="R52" s="402"/>
      <c r="S52" s="402"/>
      <c r="T52" s="404"/>
      <c r="U52" s="1049" t="str">
        <f t="shared" si="4"/>
        <v/>
      </c>
      <c r="V52" s="402"/>
      <c r="W52" s="402"/>
      <c r="X52" s="402"/>
      <c r="Y52" s="402"/>
      <c r="Z52" s="214"/>
      <c r="AA52" s="212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404"/>
      <c r="AQ52" s="402"/>
      <c r="AR52" s="74"/>
      <c r="AS52" s="74"/>
    </row>
    <row r="53" spans="1:45" ht="14.4" x14ac:dyDescent="0.3">
      <c r="A53" s="74"/>
      <c r="B53" s="1040">
        <v>46294</v>
      </c>
      <c r="C53" s="212"/>
      <c r="D53" s="401">
        <f t="shared" si="14"/>
        <v>4558.8372000000008</v>
      </c>
      <c r="E53" s="213"/>
      <c r="F53" s="94"/>
      <c r="G53" s="212"/>
      <c r="H53" s="1048"/>
      <c r="I53" s="212"/>
      <c r="J53" s="212"/>
      <c r="K53" s="105"/>
      <c r="L53" s="91">
        <f>'Milling Down Time Hours'!R34</f>
        <v>0</v>
      </c>
      <c r="M53" s="93">
        <v>1</v>
      </c>
      <c r="N53" s="91">
        <f t="shared" si="13"/>
        <v>0</v>
      </c>
      <c r="O53" s="94"/>
      <c r="P53" s="94"/>
      <c r="Q53" s="402"/>
      <c r="R53" s="402"/>
      <c r="S53" s="402"/>
      <c r="T53" s="404"/>
      <c r="U53" s="1049" t="str">
        <f t="shared" si="4"/>
        <v/>
      </c>
      <c r="V53" s="402"/>
      <c r="W53" s="402"/>
      <c r="X53" s="402"/>
      <c r="Y53" s="402"/>
      <c r="Z53" s="214"/>
      <c r="AA53" s="212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404"/>
      <c r="AQ53" s="402"/>
      <c r="AR53" s="74"/>
      <c r="AS53" s="74"/>
    </row>
    <row r="54" spans="1:45" ht="14.4" x14ac:dyDescent="0.3">
      <c r="A54" s="74"/>
      <c r="B54" s="1040">
        <v>46295</v>
      </c>
      <c r="C54" s="212"/>
      <c r="D54" s="401">
        <f t="shared" si="14"/>
        <v>4558.8372000000008</v>
      </c>
      <c r="E54" s="213"/>
      <c r="F54" s="94"/>
      <c r="G54" s="212"/>
      <c r="H54" s="1048"/>
      <c r="I54" s="212"/>
      <c r="J54" s="212"/>
      <c r="K54" s="105"/>
      <c r="L54" s="91">
        <f>'Milling Down Time Hours'!R35</f>
        <v>0</v>
      </c>
      <c r="M54" s="93">
        <v>1</v>
      </c>
      <c r="N54" s="91">
        <f t="shared" si="13"/>
        <v>0</v>
      </c>
      <c r="O54" s="94"/>
      <c r="P54" s="94"/>
      <c r="Q54" s="402"/>
      <c r="R54" s="402"/>
      <c r="S54" s="402"/>
      <c r="T54" s="404"/>
      <c r="U54" s="1049" t="str">
        <f t="shared" si="4"/>
        <v/>
      </c>
      <c r="V54" s="402"/>
      <c r="W54" s="402"/>
      <c r="X54" s="402"/>
      <c r="Y54" s="402"/>
      <c r="Z54" s="214"/>
      <c r="AA54" s="212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404"/>
      <c r="AQ54" s="402"/>
      <c r="AR54" s="74"/>
      <c r="AS54" s="74"/>
    </row>
    <row r="55" spans="1:45" ht="14.4" x14ac:dyDescent="0.3">
      <c r="A55" s="74"/>
      <c r="B55" s="1040">
        <v>46296</v>
      </c>
      <c r="C55" s="212"/>
      <c r="D55" s="401">
        <f t="shared" si="14"/>
        <v>4558.8372000000008</v>
      </c>
      <c r="E55" s="213"/>
      <c r="F55" s="94"/>
      <c r="G55" s="212"/>
      <c r="H55" s="1048"/>
      <c r="I55" s="212"/>
      <c r="J55" s="212"/>
      <c r="K55" s="105"/>
      <c r="L55" s="91">
        <f>'Milling Down Time Hours'!R36</f>
        <v>0</v>
      </c>
      <c r="M55" s="93">
        <v>1</v>
      </c>
      <c r="N55" s="91">
        <f t="shared" si="13"/>
        <v>0</v>
      </c>
      <c r="O55" s="94"/>
      <c r="P55" s="94"/>
      <c r="Q55" s="402"/>
      <c r="R55" s="402"/>
      <c r="S55" s="402"/>
      <c r="T55" s="404"/>
      <c r="U55" s="1049" t="str">
        <f t="shared" si="4"/>
        <v/>
      </c>
      <c r="V55" s="402"/>
      <c r="W55" s="402"/>
      <c r="X55" s="402"/>
      <c r="Y55" s="402"/>
      <c r="Z55" s="214"/>
      <c r="AA55" s="212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404"/>
      <c r="AQ55" s="402"/>
      <c r="AR55" s="74"/>
      <c r="AS55" s="74"/>
    </row>
    <row r="56" spans="1:45" ht="14.4" x14ac:dyDescent="0.3">
      <c r="A56" s="74"/>
      <c r="B56" s="405" t="s">
        <v>17</v>
      </c>
      <c r="C56" s="1043">
        <f>SUM(C7:C49)</f>
        <v>4558.8372000000008</v>
      </c>
      <c r="D56" s="1044"/>
      <c r="E56" s="1044"/>
      <c r="F56" s="1044"/>
      <c r="G56" s="1043">
        <f>SUM(G7:G49)</f>
        <v>3357.6483728381672</v>
      </c>
      <c r="H56" s="1045">
        <f>SUM(H7:H37)</f>
        <v>2.0809667837881678</v>
      </c>
      <c r="I56" s="416">
        <f>'Crushing Down Time Hours'!L45</f>
        <v>0</v>
      </c>
      <c r="J56" s="1043"/>
      <c r="K56" s="1046"/>
      <c r="L56" s="1047"/>
      <c r="M56" s="1047"/>
      <c r="N56" s="1046"/>
      <c r="O56" s="1047">
        <f t="shared" ref="O56:Y56" si="15">SUM(O7:O36)</f>
        <v>0</v>
      </c>
      <c r="P56" s="1047">
        <f>SUM(P7:P36)</f>
        <v>0</v>
      </c>
      <c r="Q56" s="407">
        <f t="shared" si="15"/>
        <v>0</v>
      </c>
      <c r="R56" s="407"/>
      <c r="S56" s="407"/>
      <c r="T56" s="413">
        <f t="shared" ref="T56" si="16">R56-S56</f>
        <v>0</v>
      </c>
      <c r="U56" s="406"/>
      <c r="V56" s="407">
        <f t="shared" si="15"/>
        <v>0</v>
      </c>
      <c r="W56" s="407">
        <f t="shared" si="15"/>
        <v>0</v>
      </c>
      <c r="X56" s="407">
        <f t="shared" si="15"/>
        <v>0</v>
      </c>
      <c r="Y56" s="407">
        <f t="shared" si="15"/>
        <v>0</v>
      </c>
      <c r="Z56" s="407">
        <f>SUM(Z7:Z49)</f>
        <v>3675</v>
      </c>
      <c r="AA56" s="407"/>
      <c r="AB56" s="408">
        <f>SUM(AB7:AB49)</f>
        <v>2500</v>
      </c>
      <c r="AC56" s="408">
        <f>SUM(AC7:AC49)</f>
        <v>3325</v>
      </c>
      <c r="AD56" s="408"/>
      <c r="AE56" s="408"/>
      <c r="AF56" s="407">
        <f>SUM(AF7:AF49)</f>
        <v>175</v>
      </c>
      <c r="AG56" s="407">
        <f>SUM(AG7:AG37)</f>
        <v>33194</v>
      </c>
      <c r="AH56" s="407"/>
      <c r="AI56" s="407"/>
      <c r="AJ56" s="407"/>
      <c r="AK56" s="407"/>
      <c r="AL56" s="407"/>
      <c r="AM56" s="407"/>
      <c r="AN56" s="408"/>
      <c r="AO56" s="407"/>
      <c r="AP56" s="407"/>
      <c r="AQ56" s="407"/>
      <c r="AR56" s="74"/>
      <c r="AS56" s="74"/>
    </row>
    <row r="57" spans="1:45" ht="14.4" x14ac:dyDescent="0.3">
      <c r="A57" s="74"/>
      <c r="B57" s="414" t="s">
        <v>121</v>
      </c>
      <c r="C57" s="409">
        <f>AVERAGE(C7:C15)</f>
        <v>155.81916666666666</v>
      </c>
      <c r="D57" s="409"/>
      <c r="E57" s="409">
        <f>AVERAGE(E7:E15)</f>
        <v>19.543654508617081</v>
      </c>
      <c r="F57" s="411">
        <f>AVERAGE(F7:F55)</f>
        <v>0.81829133980992264</v>
      </c>
      <c r="G57" s="409">
        <f>AVERAGE(G7:G37)</f>
        <v>67.127960767360221</v>
      </c>
      <c r="H57" s="409">
        <f>AVERAGE(H8:H36)</f>
        <v>6.6100473431119092E-2</v>
      </c>
      <c r="I57" s="409">
        <f>AVERAGE(I7:I15)</f>
        <v>9.1291666666666664</v>
      </c>
      <c r="J57" s="409"/>
      <c r="K57" s="412">
        <f>AVERAGE(K7:K17)</f>
        <v>0.6261904761904763</v>
      </c>
      <c r="L57" s="412">
        <f>AVERAGE(L8:L49)</f>
        <v>0.41653439153439153</v>
      </c>
      <c r="M57" s="412">
        <f>AVERAGE(M8:M36)</f>
        <v>1</v>
      </c>
      <c r="N57" s="412">
        <f>AVERAGE(N8:N45)</f>
        <v>0.37258771929824563</v>
      </c>
      <c r="O57" s="409" t="str">
        <f>IFERROR(AVERAGE(O8:O36),"")</f>
        <v/>
      </c>
      <c r="P57" s="409" t="str">
        <f>IFERROR(AVERAGE(P8:P36),"")</f>
        <v/>
      </c>
      <c r="Q57" s="409" t="str">
        <f>IFERROR(AVERAGE(Q8:Q36),"")</f>
        <v/>
      </c>
      <c r="R57" s="409"/>
      <c r="S57" s="409"/>
      <c r="T57" s="409"/>
      <c r="U57" s="415"/>
      <c r="V57" s="409" t="e">
        <f t="shared" ref="V57:AC57" si="17">AVERAGE(V8:V36)</f>
        <v>#DIV/0!</v>
      </c>
      <c r="W57" s="409" t="e">
        <f t="shared" si="17"/>
        <v>#DIV/0!</v>
      </c>
      <c r="X57" s="409" t="e">
        <f t="shared" si="17"/>
        <v>#DIV/0!</v>
      </c>
      <c r="Y57" s="409" t="e">
        <f t="shared" si="17"/>
        <v>#DIV/0!</v>
      </c>
      <c r="Z57" s="410">
        <f t="shared" si="17"/>
        <v>126.72413793103448</v>
      </c>
      <c r="AA57" s="409">
        <f t="shared" si="17"/>
        <v>1060.8620689655172</v>
      </c>
      <c r="AB57" s="409">
        <f t="shared" si="17"/>
        <v>86.206896551724142</v>
      </c>
      <c r="AC57" s="410">
        <f t="shared" si="17"/>
        <v>114.65517241379311</v>
      </c>
      <c r="AD57" s="410"/>
      <c r="AE57" s="410"/>
      <c r="AF57" s="409">
        <f>AVERAGE(AF8:AF36)</f>
        <v>6.0344827586206895</v>
      </c>
      <c r="AG57" s="409"/>
      <c r="AH57" s="409"/>
      <c r="AI57" s="409"/>
      <c r="AJ57" s="409"/>
      <c r="AK57" s="409"/>
      <c r="AL57" s="409"/>
      <c r="AM57" s="409"/>
      <c r="AN57" s="409"/>
      <c r="AO57" s="409"/>
      <c r="AP57" s="409"/>
      <c r="AQ57" s="409"/>
      <c r="AR57" s="74"/>
      <c r="AS57" s="74"/>
    </row>
    <row r="58" spans="1:45" ht="14.4" x14ac:dyDescent="0.3">
      <c r="C58" s="75"/>
      <c r="D58" s="76"/>
      <c r="E58" s="76"/>
      <c r="I58" s="75"/>
      <c r="J58" s="75"/>
      <c r="K58" s="76"/>
      <c r="L58" s="76"/>
      <c r="M58" s="76"/>
    </row>
    <row r="59" spans="1:45" ht="14.4" x14ac:dyDescent="0.3">
      <c r="C59" s="75"/>
      <c r="D59" s="76"/>
      <c r="E59" s="392" t="s">
        <v>201</v>
      </c>
      <c r="F59" s="391">
        <f>MEDIAN(F7:F49)</f>
        <v>0.70261111111111108</v>
      </c>
      <c r="I59" s="75"/>
      <c r="J59" s="75"/>
      <c r="K59" s="76"/>
      <c r="L59" s="76"/>
      <c r="M59" s="76"/>
    </row>
    <row r="60" spans="1:45" ht="14.4" x14ac:dyDescent="0.3">
      <c r="C60" s="75"/>
      <c r="D60" s="76"/>
      <c r="E60" s="392" t="s">
        <v>202</v>
      </c>
      <c r="F60" s="120">
        <f>MAX(F7:F17)</f>
        <v>1.45</v>
      </c>
      <c r="I60" s="75"/>
      <c r="J60" s="75"/>
      <c r="K60" s="76"/>
      <c r="L60" s="76"/>
      <c r="M60" s="76"/>
      <c r="W60" s="1272" t="s">
        <v>204</v>
      </c>
      <c r="X60" s="1272"/>
    </row>
    <row r="61" spans="1:45" ht="14.4" x14ac:dyDescent="0.3">
      <c r="C61" s="75"/>
      <c r="D61" s="76"/>
      <c r="E61" s="392" t="s">
        <v>203</v>
      </c>
      <c r="F61" s="120">
        <f>MIN(F7,F9:F19)</f>
        <v>0.442</v>
      </c>
      <c r="I61" s="75"/>
      <c r="J61" s="75"/>
      <c r="K61" s="76"/>
      <c r="L61" s="76"/>
      <c r="M61" s="76"/>
      <c r="W61" s="145" t="s">
        <v>205</v>
      </c>
      <c r="X61" s="146">
        <f>F59</f>
        <v>0.70261111111111108</v>
      </c>
    </row>
    <row r="62" spans="1:45" ht="43.2" x14ac:dyDescent="0.3">
      <c r="C62" s="75"/>
      <c r="D62" s="76"/>
      <c r="E62" s="76"/>
      <c r="G62" s="373" t="s">
        <v>195</v>
      </c>
      <c r="I62" s="75"/>
      <c r="J62" s="75"/>
      <c r="K62" s="76"/>
      <c r="L62" s="76"/>
      <c r="M62" s="76"/>
      <c r="W62" s="145" t="s">
        <v>121</v>
      </c>
      <c r="X62" s="146">
        <f>F57</f>
        <v>0.81829133980992264</v>
      </c>
      <c r="AI62">
        <f>0.6*1.4</f>
        <v>0.84</v>
      </c>
    </row>
    <row r="63" spans="1:45" ht="43.2" x14ac:dyDescent="0.3">
      <c r="C63" s="75"/>
      <c r="D63" s="76"/>
      <c r="E63" s="144"/>
      <c r="F63" s="393" t="s">
        <v>411</v>
      </c>
      <c r="G63" s="394">
        <f>G56/C56</f>
        <v>0.73651420867544171</v>
      </c>
      <c r="H63" s="1135"/>
      <c r="I63" s="75"/>
      <c r="J63" s="75"/>
      <c r="K63" s="76"/>
      <c r="L63" s="76"/>
      <c r="M63" s="76"/>
      <c r="W63" s="145" t="s">
        <v>203</v>
      </c>
      <c r="X63" s="146">
        <f>F61</f>
        <v>0.442</v>
      </c>
    </row>
    <row r="64" spans="1:45" ht="14.4" x14ac:dyDescent="0.3">
      <c r="C64" s="75"/>
      <c r="D64" s="76"/>
      <c r="E64" s="76"/>
      <c r="H64" s="1135"/>
      <c r="I64" s="75"/>
      <c r="J64" s="75"/>
      <c r="K64" s="76"/>
      <c r="L64" s="76"/>
      <c r="M64" s="76"/>
      <c r="W64" s="145" t="s">
        <v>202</v>
      </c>
      <c r="X64" s="146">
        <f>F60</f>
        <v>1.45</v>
      </c>
    </row>
    <row r="65" spans="3:24" ht="14.4" x14ac:dyDescent="0.3">
      <c r="C65" s="75"/>
      <c r="D65" s="76"/>
      <c r="E65" s="76"/>
      <c r="I65" s="75"/>
      <c r="J65" s="75"/>
      <c r="K65" s="76"/>
      <c r="L65" s="76"/>
      <c r="M65" s="76"/>
    </row>
    <row r="66" spans="3:24" ht="14.4" x14ac:dyDescent="0.3">
      <c r="C66" s="75"/>
      <c r="D66" s="144"/>
      <c r="E66" s="76"/>
      <c r="I66" s="75"/>
      <c r="J66" s="75"/>
      <c r="K66" s="76"/>
      <c r="L66" s="76"/>
      <c r="M66" s="76"/>
      <c r="W66" s="1272" t="s">
        <v>206</v>
      </c>
      <c r="X66" s="1272"/>
    </row>
    <row r="67" spans="3:24" ht="14.4" x14ac:dyDescent="0.3">
      <c r="C67" s="75"/>
      <c r="D67" s="76"/>
      <c r="E67" s="76"/>
      <c r="I67" s="75"/>
      <c r="J67" s="75"/>
      <c r="K67" s="76"/>
      <c r="L67" s="76"/>
      <c r="M67" s="76"/>
      <c r="W67" s="145" t="s">
        <v>207</v>
      </c>
      <c r="X67" s="113">
        <f>C57</f>
        <v>155.81916666666666</v>
      </c>
    </row>
    <row r="68" spans="3:24" ht="14.4" x14ac:dyDescent="0.3">
      <c r="C68" s="75"/>
      <c r="D68" s="76"/>
      <c r="E68" s="76"/>
      <c r="I68" s="75"/>
      <c r="J68" s="75"/>
      <c r="K68" s="76"/>
      <c r="L68" s="76"/>
      <c r="M68" s="76"/>
      <c r="W68" s="145" t="s">
        <v>36</v>
      </c>
      <c r="X68" s="113">
        <f>E57</f>
        <v>19.543654508617081</v>
      </c>
    </row>
    <row r="69" spans="3:24" ht="14.4" x14ac:dyDescent="0.3">
      <c r="C69" s="75"/>
      <c r="D69" s="76"/>
      <c r="E69" s="76"/>
      <c r="I69" s="75"/>
      <c r="J69" s="75"/>
      <c r="K69" s="76"/>
      <c r="L69" s="76"/>
      <c r="M69" s="76"/>
    </row>
    <row r="70" spans="3:24" ht="14.4" x14ac:dyDescent="0.3">
      <c r="C70" s="75"/>
      <c r="D70" s="76"/>
      <c r="E70" s="76"/>
      <c r="I70" s="75"/>
      <c r="J70" s="75"/>
      <c r="K70" s="76"/>
      <c r="L70" s="76"/>
      <c r="M70" s="76"/>
    </row>
    <row r="71" spans="3:24" ht="14.4" x14ac:dyDescent="0.3">
      <c r="C71" s="75"/>
      <c r="D71" s="76"/>
      <c r="E71" s="76"/>
      <c r="I71" s="75"/>
      <c r="J71" s="75"/>
      <c r="K71" s="76"/>
      <c r="L71" s="76"/>
      <c r="M71" s="76"/>
    </row>
    <row r="72" spans="3:24" ht="14.4" x14ac:dyDescent="0.3">
      <c r="C72" s="75"/>
      <c r="D72" s="76"/>
      <c r="E72" s="76"/>
      <c r="I72" s="75"/>
      <c r="J72" s="75"/>
      <c r="K72" s="76"/>
      <c r="L72" s="76"/>
      <c r="M72" s="76"/>
    </row>
    <row r="73" spans="3:24" ht="14.4" x14ac:dyDescent="0.3">
      <c r="C73" s="75"/>
      <c r="D73" s="76"/>
      <c r="E73" s="76"/>
      <c r="I73" s="75"/>
      <c r="J73" s="75"/>
      <c r="K73" s="76"/>
      <c r="L73" s="76"/>
      <c r="M73" s="76"/>
    </row>
    <row r="74" spans="3:24" ht="14.4" x14ac:dyDescent="0.3">
      <c r="C74" s="75"/>
      <c r="D74" s="76"/>
      <c r="E74" s="76"/>
      <c r="I74" s="75"/>
      <c r="J74" s="75"/>
      <c r="K74" s="76"/>
      <c r="L74" s="76"/>
      <c r="M74" s="76"/>
    </row>
    <row r="75" spans="3:24" ht="14.4" x14ac:dyDescent="0.3">
      <c r="C75" s="75"/>
      <c r="D75" s="76"/>
      <c r="E75" s="76"/>
      <c r="I75" s="75"/>
      <c r="J75" s="75"/>
      <c r="K75" s="76"/>
      <c r="L75" s="76"/>
      <c r="M75" s="76"/>
    </row>
    <row r="76" spans="3:24" ht="14.4" x14ac:dyDescent="0.3">
      <c r="C76" s="75"/>
      <c r="D76" s="76"/>
      <c r="E76" s="76"/>
      <c r="I76" s="75"/>
      <c r="J76" s="75"/>
      <c r="K76" s="76"/>
      <c r="L76" s="76"/>
      <c r="M76" s="76"/>
    </row>
    <row r="77" spans="3:24" ht="14.4" x14ac:dyDescent="0.3">
      <c r="C77" s="75"/>
      <c r="D77" s="76"/>
      <c r="E77" s="76"/>
      <c r="I77" s="75"/>
      <c r="J77" s="75"/>
      <c r="K77" s="76"/>
      <c r="L77" s="76"/>
      <c r="M77" s="76"/>
    </row>
    <row r="78" spans="3:24" ht="14.4" x14ac:dyDescent="0.3">
      <c r="C78" s="75"/>
      <c r="D78" s="76"/>
      <c r="E78" s="76"/>
      <c r="I78" s="75"/>
      <c r="J78" s="75"/>
      <c r="K78" s="76"/>
      <c r="L78" s="76"/>
      <c r="M78" s="76"/>
    </row>
    <row r="79" spans="3:24" ht="14.4" x14ac:dyDescent="0.3">
      <c r="C79" s="75"/>
      <c r="D79" s="76"/>
      <c r="E79" s="76"/>
      <c r="I79" s="75"/>
      <c r="J79" s="75"/>
      <c r="K79" s="76"/>
      <c r="L79" s="76"/>
      <c r="M79" s="76"/>
    </row>
    <row r="80" spans="3:24" ht="14.4" x14ac:dyDescent="0.3">
      <c r="C80" s="75"/>
      <c r="D80" s="76"/>
      <c r="E80" s="76"/>
      <c r="I80" s="75"/>
      <c r="J80" s="75"/>
      <c r="K80" s="76"/>
      <c r="L80" s="76"/>
      <c r="M80" s="76"/>
    </row>
    <row r="81" spans="3:13" ht="14.4" x14ac:dyDescent="0.3">
      <c r="C81" s="75"/>
      <c r="D81" s="76"/>
      <c r="E81" s="76"/>
      <c r="I81" s="75"/>
      <c r="J81" s="75"/>
      <c r="K81" s="76"/>
      <c r="L81" s="76"/>
      <c r="M81" s="76"/>
    </row>
    <row r="82" spans="3:13" ht="14.4" x14ac:dyDescent="0.3">
      <c r="C82" s="75"/>
      <c r="D82" s="76"/>
      <c r="E82" s="76"/>
      <c r="I82" s="75"/>
      <c r="J82" s="75"/>
      <c r="K82" s="76"/>
      <c r="L82" s="76"/>
      <c r="M82" s="76"/>
    </row>
    <row r="83" spans="3:13" ht="14.4" x14ac:dyDescent="0.3">
      <c r="C83" s="75"/>
      <c r="D83" s="76"/>
      <c r="E83" s="76"/>
      <c r="I83" s="75"/>
      <c r="J83" s="75"/>
      <c r="K83" s="76"/>
      <c r="L83" s="76"/>
      <c r="M83" s="76"/>
    </row>
    <row r="84" spans="3:13" ht="14.4" x14ac:dyDescent="0.3">
      <c r="C84" s="75"/>
      <c r="D84" s="76"/>
      <c r="E84" s="76"/>
      <c r="I84" s="75"/>
      <c r="J84" s="75"/>
      <c r="K84" s="76"/>
      <c r="L84" s="76"/>
      <c r="M84" s="76"/>
    </row>
    <row r="85" spans="3:13" ht="14.4" x14ac:dyDescent="0.3">
      <c r="C85" s="75"/>
      <c r="D85" s="76"/>
      <c r="E85" s="76"/>
      <c r="I85" s="75"/>
      <c r="J85" s="75"/>
      <c r="K85" s="76"/>
      <c r="L85" s="76"/>
      <c r="M85" s="76"/>
    </row>
    <row r="86" spans="3:13" ht="14.4" x14ac:dyDescent="0.3">
      <c r="C86" s="75"/>
      <c r="D86" s="76"/>
      <c r="E86" s="76"/>
      <c r="I86" s="75"/>
      <c r="J86" s="75"/>
      <c r="K86" s="76"/>
      <c r="L86" s="76"/>
      <c r="M86" s="76"/>
    </row>
    <row r="87" spans="3:13" ht="14.4" x14ac:dyDescent="0.3">
      <c r="C87" s="75"/>
      <c r="D87" s="76"/>
      <c r="E87" s="76"/>
      <c r="I87" s="75"/>
      <c r="J87" s="75"/>
      <c r="K87" s="76"/>
      <c r="L87" s="76"/>
      <c r="M87" s="76"/>
    </row>
    <row r="88" spans="3:13" ht="14.4" x14ac:dyDescent="0.3">
      <c r="C88" s="75"/>
      <c r="D88" s="76"/>
      <c r="E88" s="76"/>
      <c r="I88" s="75"/>
      <c r="J88" s="75"/>
      <c r="K88" s="76"/>
      <c r="L88" s="76"/>
      <c r="M88" s="76"/>
    </row>
    <row r="89" spans="3:13" ht="14.4" x14ac:dyDescent="0.3">
      <c r="C89" s="75"/>
      <c r="D89" s="76"/>
      <c r="E89" s="76"/>
      <c r="I89" s="75"/>
      <c r="J89" s="75"/>
      <c r="K89" s="76"/>
      <c r="L89" s="76"/>
      <c r="M89" s="76"/>
    </row>
    <row r="90" spans="3:13" ht="14.4" x14ac:dyDescent="0.3">
      <c r="C90" s="75"/>
      <c r="D90" s="76"/>
      <c r="E90" s="76"/>
      <c r="I90" s="75"/>
      <c r="J90" s="75"/>
      <c r="K90" s="76"/>
      <c r="L90" s="76"/>
      <c r="M90" s="76"/>
    </row>
    <row r="91" spans="3:13" ht="14.4" x14ac:dyDescent="0.3">
      <c r="C91" s="75"/>
      <c r="D91" s="76"/>
      <c r="E91" s="76"/>
      <c r="I91" s="75"/>
      <c r="J91" s="75"/>
      <c r="K91" s="76"/>
      <c r="L91" s="76"/>
      <c r="M91" s="76"/>
    </row>
    <row r="92" spans="3:13" ht="14.4" x14ac:dyDescent="0.3">
      <c r="C92" s="75"/>
      <c r="D92" s="76"/>
      <c r="E92" s="76"/>
      <c r="I92" s="75"/>
      <c r="J92" s="75"/>
      <c r="K92" s="76"/>
      <c r="L92" s="76"/>
      <c r="M92" s="76"/>
    </row>
    <row r="93" spans="3:13" ht="14.4" x14ac:dyDescent="0.3">
      <c r="C93" s="75"/>
      <c r="D93" s="76"/>
      <c r="E93" s="76"/>
      <c r="I93" s="75"/>
      <c r="J93" s="75"/>
      <c r="K93" s="76"/>
      <c r="L93" s="76"/>
      <c r="M93" s="76"/>
    </row>
    <row r="94" spans="3:13" ht="14.4" x14ac:dyDescent="0.3">
      <c r="C94" s="75"/>
      <c r="D94" s="76"/>
      <c r="E94" s="76"/>
      <c r="I94" s="75"/>
      <c r="J94" s="75"/>
      <c r="K94" s="76"/>
      <c r="L94" s="76"/>
      <c r="M94" s="76"/>
    </row>
    <row r="95" spans="3:13" ht="14.4" x14ac:dyDescent="0.3">
      <c r="C95" s="75"/>
      <c r="D95" s="76"/>
      <c r="E95" s="76"/>
      <c r="I95" s="75"/>
      <c r="J95" s="75"/>
      <c r="K95" s="76"/>
      <c r="L95" s="76"/>
      <c r="M95" s="76"/>
    </row>
    <row r="96" spans="3:13" ht="14.4" x14ac:dyDescent="0.3">
      <c r="C96" s="75"/>
      <c r="D96" s="76"/>
      <c r="E96" s="76"/>
      <c r="I96" s="75"/>
      <c r="J96" s="75"/>
      <c r="K96" s="76"/>
      <c r="L96" s="76"/>
      <c r="M96" s="76"/>
    </row>
    <row r="97" spans="3:13" ht="14.4" x14ac:dyDescent="0.3">
      <c r="C97" s="75"/>
      <c r="D97" s="76"/>
      <c r="E97" s="76"/>
      <c r="I97" s="75"/>
      <c r="J97" s="75"/>
      <c r="K97" s="76"/>
      <c r="L97" s="76"/>
      <c r="M97" s="76"/>
    </row>
    <row r="98" spans="3:13" ht="14.4" x14ac:dyDescent="0.3">
      <c r="C98" s="75"/>
      <c r="D98" s="76"/>
      <c r="E98" s="76"/>
      <c r="I98" s="75"/>
      <c r="J98" s="75"/>
      <c r="K98" s="76"/>
      <c r="L98" s="76"/>
      <c r="M98" s="76"/>
    </row>
    <row r="99" spans="3:13" ht="14.4" x14ac:dyDescent="0.3">
      <c r="C99" s="75"/>
      <c r="D99" s="76"/>
      <c r="E99" s="76"/>
      <c r="I99" s="75"/>
      <c r="J99" s="75"/>
      <c r="K99" s="76"/>
      <c r="L99" s="76"/>
      <c r="M99" s="76"/>
    </row>
    <row r="100" spans="3:13" ht="14.4" x14ac:dyDescent="0.3">
      <c r="C100" s="75"/>
      <c r="D100" s="76"/>
      <c r="E100" s="76"/>
      <c r="I100" s="75"/>
      <c r="J100" s="75"/>
      <c r="K100" s="76"/>
      <c r="L100" s="76"/>
      <c r="M100" s="76"/>
    </row>
    <row r="101" spans="3:13" ht="14.4" x14ac:dyDescent="0.3">
      <c r="C101" s="75"/>
      <c r="D101" s="76"/>
      <c r="E101" s="76"/>
      <c r="I101" s="75"/>
      <c r="J101" s="75"/>
      <c r="K101" s="76"/>
      <c r="L101" s="76"/>
      <c r="M101" s="76"/>
    </row>
    <row r="102" spans="3:13" ht="14.4" x14ac:dyDescent="0.3">
      <c r="C102" s="75"/>
      <c r="D102" s="76"/>
      <c r="E102" s="76"/>
      <c r="I102" s="75"/>
      <c r="J102" s="75"/>
      <c r="K102" s="76"/>
      <c r="L102" s="76"/>
      <c r="M102" s="76"/>
    </row>
    <row r="103" spans="3:13" ht="14.4" x14ac:dyDescent="0.3">
      <c r="C103" s="75"/>
      <c r="D103" s="76"/>
      <c r="E103" s="76"/>
      <c r="I103" s="75"/>
      <c r="J103" s="75"/>
      <c r="K103" s="76"/>
      <c r="L103" s="76"/>
      <c r="M103" s="76"/>
    </row>
    <row r="104" spans="3:13" ht="14.4" x14ac:dyDescent="0.3">
      <c r="C104" s="75"/>
      <c r="D104" s="76"/>
      <c r="E104" s="76"/>
      <c r="I104" s="75"/>
      <c r="J104" s="75"/>
      <c r="K104" s="76"/>
      <c r="L104" s="76"/>
      <c r="M104" s="76"/>
    </row>
    <row r="105" spans="3:13" ht="14.4" x14ac:dyDescent="0.3">
      <c r="C105" s="75"/>
      <c r="D105" s="76"/>
      <c r="E105" s="76"/>
      <c r="I105" s="75"/>
      <c r="J105" s="75"/>
      <c r="K105" s="76"/>
      <c r="L105" s="76"/>
      <c r="M105" s="76"/>
    </row>
    <row r="106" spans="3:13" ht="14.4" x14ac:dyDescent="0.3">
      <c r="C106" s="75"/>
      <c r="D106" s="76"/>
      <c r="E106" s="76"/>
      <c r="I106" s="75"/>
      <c r="J106" s="75"/>
      <c r="K106" s="76"/>
      <c r="L106" s="76"/>
      <c r="M106" s="76"/>
    </row>
    <row r="107" spans="3:13" ht="14.4" x14ac:dyDescent="0.3">
      <c r="C107" s="75"/>
      <c r="D107" s="76"/>
      <c r="E107" s="76"/>
      <c r="I107" s="75"/>
      <c r="J107" s="75"/>
      <c r="K107" s="76"/>
      <c r="L107" s="76"/>
      <c r="M107" s="76"/>
    </row>
    <row r="108" spans="3:13" ht="14.4" x14ac:dyDescent="0.3">
      <c r="C108" s="75"/>
      <c r="D108" s="76"/>
      <c r="E108" s="76"/>
      <c r="I108" s="75"/>
      <c r="J108" s="75"/>
      <c r="K108" s="76"/>
      <c r="L108" s="76"/>
      <c r="M108" s="76"/>
    </row>
    <row r="109" spans="3:13" ht="14.4" x14ac:dyDescent="0.3">
      <c r="C109" s="75"/>
      <c r="D109" s="76"/>
      <c r="E109" s="76"/>
      <c r="I109" s="75"/>
      <c r="J109" s="75"/>
      <c r="K109" s="76"/>
      <c r="L109" s="76"/>
      <c r="M109" s="76"/>
    </row>
    <row r="110" spans="3:13" ht="14.4" x14ac:dyDescent="0.3">
      <c r="C110" s="75"/>
      <c r="D110" s="76"/>
      <c r="E110" s="76"/>
      <c r="I110" s="75"/>
      <c r="J110" s="75"/>
      <c r="K110" s="76"/>
      <c r="L110" s="76"/>
      <c r="M110" s="76"/>
    </row>
    <row r="111" spans="3:13" ht="14.4" x14ac:dyDescent="0.3">
      <c r="C111" s="75"/>
      <c r="D111" s="76"/>
      <c r="E111" s="76"/>
      <c r="I111" s="75"/>
      <c r="J111" s="75"/>
      <c r="K111" s="76"/>
      <c r="L111" s="76"/>
      <c r="M111" s="76"/>
    </row>
    <row r="112" spans="3:13" ht="14.4" x14ac:dyDescent="0.3">
      <c r="C112" s="75"/>
      <c r="D112" s="76"/>
      <c r="E112" s="76"/>
      <c r="I112" s="75"/>
      <c r="J112" s="75"/>
      <c r="K112" s="76"/>
      <c r="L112" s="76"/>
      <c r="M112" s="76"/>
    </row>
    <row r="113" spans="3:13" ht="14.4" x14ac:dyDescent="0.3">
      <c r="C113" s="75"/>
      <c r="D113" s="76"/>
      <c r="E113" s="76"/>
      <c r="I113" s="75"/>
      <c r="J113" s="75"/>
      <c r="K113" s="76"/>
      <c r="L113" s="76"/>
      <c r="M113" s="76"/>
    </row>
    <row r="114" spans="3:13" ht="14.4" x14ac:dyDescent="0.3">
      <c r="C114" s="75"/>
      <c r="D114" s="76"/>
      <c r="E114" s="76"/>
      <c r="I114" s="75"/>
      <c r="J114" s="75"/>
      <c r="K114" s="76"/>
      <c r="L114" s="76"/>
      <c r="M114" s="76"/>
    </row>
    <row r="115" spans="3:13" ht="14.4" x14ac:dyDescent="0.3">
      <c r="C115" s="75"/>
      <c r="D115" s="76"/>
      <c r="E115" s="76"/>
      <c r="I115" s="75"/>
      <c r="J115" s="75"/>
      <c r="K115" s="76"/>
      <c r="L115" s="76"/>
      <c r="M115" s="76"/>
    </row>
    <row r="116" spans="3:13" ht="14.4" x14ac:dyDescent="0.3">
      <c r="C116" s="75"/>
      <c r="D116" s="76"/>
      <c r="E116" s="76"/>
      <c r="I116" s="75"/>
      <c r="J116" s="75"/>
      <c r="K116" s="76"/>
      <c r="L116" s="76"/>
      <c r="M116" s="76"/>
    </row>
    <row r="117" spans="3:13" ht="14.4" x14ac:dyDescent="0.3">
      <c r="C117" s="75"/>
      <c r="D117" s="76"/>
      <c r="E117" s="76"/>
      <c r="I117" s="75"/>
      <c r="J117" s="75"/>
      <c r="K117" s="76"/>
      <c r="L117" s="76"/>
      <c r="M117" s="76"/>
    </row>
    <row r="118" spans="3:13" ht="14.4" x14ac:dyDescent="0.3">
      <c r="C118" s="75"/>
      <c r="D118" s="76"/>
      <c r="E118" s="76"/>
      <c r="I118" s="75"/>
      <c r="J118" s="75"/>
      <c r="K118" s="76"/>
      <c r="L118" s="76"/>
      <c r="M118" s="76"/>
    </row>
    <row r="119" spans="3:13" ht="14.4" x14ac:dyDescent="0.3">
      <c r="C119" s="75"/>
      <c r="D119" s="76"/>
      <c r="E119" s="76"/>
      <c r="I119" s="75"/>
      <c r="J119" s="75"/>
      <c r="K119" s="76"/>
      <c r="L119" s="76"/>
      <c r="M119" s="76"/>
    </row>
    <row r="120" spans="3:13" ht="14.4" x14ac:dyDescent="0.3">
      <c r="C120" s="75"/>
      <c r="D120" s="76"/>
      <c r="E120" s="76"/>
      <c r="I120" s="75"/>
      <c r="J120" s="75"/>
      <c r="K120" s="76"/>
      <c r="L120" s="76"/>
      <c r="M120" s="76"/>
    </row>
    <row r="121" spans="3:13" ht="14.4" x14ac:dyDescent="0.3">
      <c r="C121" s="75"/>
      <c r="D121" s="76"/>
      <c r="E121" s="76"/>
      <c r="I121" s="75"/>
      <c r="J121" s="75"/>
      <c r="K121" s="76"/>
      <c r="L121" s="76"/>
      <c r="M121" s="76"/>
    </row>
    <row r="122" spans="3:13" ht="14.4" x14ac:dyDescent="0.3">
      <c r="C122" s="75"/>
      <c r="D122" s="76"/>
      <c r="E122" s="76"/>
      <c r="I122" s="75"/>
      <c r="J122" s="75"/>
      <c r="K122" s="76"/>
      <c r="L122" s="76"/>
      <c r="M122" s="76"/>
    </row>
    <row r="123" spans="3:13" ht="14.4" x14ac:dyDescent="0.3">
      <c r="C123" s="75"/>
      <c r="D123" s="76"/>
      <c r="E123" s="76"/>
      <c r="I123" s="75"/>
      <c r="J123" s="75"/>
      <c r="K123" s="76"/>
      <c r="L123" s="76"/>
      <c r="M123" s="76"/>
    </row>
    <row r="124" spans="3:13" ht="14.4" x14ac:dyDescent="0.3">
      <c r="C124" s="75"/>
      <c r="D124" s="76"/>
      <c r="E124" s="76"/>
      <c r="I124" s="75"/>
      <c r="J124" s="75"/>
      <c r="K124" s="76"/>
      <c r="L124" s="76"/>
      <c r="M124" s="76"/>
    </row>
    <row r="125" spans="3:13" ht="14.4" x14ac:dyDescent="0.3">
      <c r="C125" s="75"/>
      <c r="D125" s="76"/>
      <c r="E125" s="76"/>
      <c r="I125" s="75"/>
      <c r="J125" s="75"/>
      <c r="K125" s="76"/>
      <c r="L125" s="76"/>
      <c r="M125" s="76"/>
    </row>
    <row r="126" spans="3:13" ht="14.4" x14ac:dyDescent="0.3">
      <c r="C126" s="75"/>
      <c r="D126" s="76"/>
      <c r="E126" s="76"/>
      <c r="I126" s="75"/>
      <c r="J126" s="75"/>
      <c r="K126" s="76"/>
      <c r="L126" s="76"/>
      <c r="M126" s="76"/>
    </row>
    <row r="127" spans="3:13" ht="14.4" x14ac:dyDescent="0.3">
      <c r="C127" s="75"/>
      <c r="D127" s="76"/>
      <c r="E127" s="76"/>
      <c r="I127" s="75"/>
      <c r="J127" s="75"/>
      <c r="K127" s="76"/>
      <c r="L127" s="76"/>
      <c r="M127" s="76"/>
    </row>
    <row r="128" spans="3:13" ht="14.4" x14ac:dyDescent="0.3">
      <c r="C128" s="75"/>
      <c r="D128" s="76"/>
      <c r="E128" s="76"/>
      <c r="I128" s="75"/>
      <c r="J128" s="75"/>
      <c r="K128" s="76"/>
      <c r="L128" s="76"/>
      <c r="M128" s="76"/>
    </row>
    <row r="129" spans="3:13" ht="14.4" x14ac:dyDescent="0.3">
      <c r="C129" s="75"/>
      <c r="D129" s="76"/>
      <c r="E129" s="76"/>
      <c r="I129" s="75"/>
      <c r="J129" s="75"/>
      <c r="K129" s="76"/>
      <c r="L129" s="76"/>
      <c r="M129" s="76"/>
    </row>
    <row r="130" spans="3:13" ht="14.4" x14ac:dyDescent="0.3">
      <c r="C130" s="75"/>
      <c r="D130" s="76"/>
      <c r="E130" s="76"/>
      <c r="I130" s="75"/>
      <c r="J130" s="75"/>
      <c r="K130" s="76"/>
      <c r="L130" s="76"/>
      <c r="M130" s="76"/>
    </row>
    <row r="131" spans="3:13" ht="14.4" x14ac:dyDescent="0.3">
      <c r="C131" s="75"/>
      <c r="D131" s="76"/>
      <c r="E131" s="76"/>
      <c r="I131" s="75"/>
      <c r="J131" s="75"/>
      <c r="K131" s="76"/>
      <c r="L131" s="76"/>
      <c r="M131" s="76"/>
    </row>
    <row r="132" spans="3:13" ht="14.4" x14ac:dyDescent="0.3">
      <c r="C132" s="75"/>
      <c r="D132" s="76"/>
      <c r="E132" s="76"/>
      <c r="I132" s="75"/>
      <c r="J132" s="75"/>
      <c r="K132" s="76"/>
      <c r="L132" s="76"/>
      <c r="M132" s="76"/>
    </row>
    <row r="133" spans="3:13" ht="14.4" x14ac:dyDescent="0.3">
      <c r="C133" s="75"/>
      <c r="D133" s="76"/>
      <c r="E133" s="76"/>
      <c r="I133" s="75"/>
      <c r="J133" s="75"/>
      <c r="K133" s="76"/>
      <c r="L133" s="76"/>
      <c r="M133" s="76"/>
    </row>
    <row r="134" spans="3:13" ht="14.4" x14ac:dyDescent="0.3">
      <c r="C134" s="75"/>
      <c r="D134" s="76"/>
      <c r="E134" s="76"/>
      <c r="I134" s="75"/>
      <c r="J134" s="75"/>
      <c r="K134" s="76"/>
      <c r="L134" s="76"/>
      <c r="M134" s="76"/>
    </row>
    <row r="135" spans="3:13" ht="14.4" x14ac:dyDescent="0.3">
      <c r="C135" s="75"/>
      <c r="D135" s="76"/>
      <c r="E135" s="76"/>
      <c r="I135" s="75"/>
      <c r="J135" s="75"/>
      <c r="K135" s="76"/>
      <c r="L135" s="76"/>
      <c r="M135" s="76"/>
    </row>
    <row r="136" spans="3:13" ht="14.4" x14ac:dyDescent="0.3">
      <c r="C136" s="75"/>
      <c r="D136" s="76"/>
      <c r="E136" s="76"/>
      <c r="I136" s="75"/>
      <c r="J136" s="75"/>
      <c r="K136" s="76"/>
      <c r="L136" s="76"/>
      <c r="M136" s="76"/>
    </row>
    <row r="137" spans="3:13" ht="14.4" x14ac:dyDescent="0.3">
      <c r="C137" s="75"/>
      <c r="D137" s="76"/>
      <c r="E137" s="76"/>
      <c r="I137" s="75"/>
      <c r="J137" s="75"/>
      <c r="K137" s="76"/>
      <c r="L137" s="76"/>
      <c r="M137" s="76"/>
    </row>
    <row r="138" spans="3:13" ht="14.4" x14ac:dyDescent="0.3">
      <c r="C138" s="75"/>
      <c r="D138" s="76"/>
      <c r="E138" s="76"/>
      <c r="I138" s="75"/>
      <c r="J138" s="75"/>
      <c r="K138" s="76"/>
      <c r="L138" s="76"/>
      <c r="M138" s="76"/>
    </row>
    <row r="139" spans="3:13" ht="14.4" x14ac:dyDescent="0.3">
      <c r="C139" s="75"/>
      <c r="D139" s="76"/>
      <c r="E139" s="76"/>
      <c r="I139" s="75"/>
      <c r="J139" s="75"/>
      <c r="K139" s="76"/>
      <c r="L139" s="76"/>
      <c r="M139" s="76"/>
    </row>
    <row r="140" spans="3:13" ht="14.4" x14ac:dyDescent="0.3">
      <c r="C140" s="75"/>
      <c r="D140" s="76"/>
      <c r="E140" s="76"/>
      <c r="I140" s="75"/>
      <c r="J140" s="75"/>
      <c r="K140" s="76"/>
      <c r="L140" s="76"/>
      <c r="M140" s="76"/>
    </row>
    <row r="141" spans="3:13" ht="14.4" x14ac:dyDescent="0.3">
      <c r="C141" s="75"/>
      <c r="D141" s="76"/>
      <c r="E141" s="76"/>
      <c r="I141" s="75"/>
      <c r="J141" s="75"/>
      <c r="K141" s="76"/>
      <c r="L141" s="76"/>
      <c r="M141" s="76"/>
    </row>
    <row r="142" spans="3:13" ht="14.4" x14ac:dyDescent="0.3">
      <c r="C142" s="75"/>
      <c r="D142" s="76"/>
      <c r="E142" s="76"/>
      <c r="I142" s="75"/>
      <c r="J142" s="75"/>
      <c r="K142" s="76"/>
      <c r="L142" s="76"/>
      <c r="M142" s="76"/>
    </row>
    <row r="143" spans="3:13" ht="14.4" x14ac:dyDescent="0.3">
      <c r="C143" s="75"/>
      <c r="D143" s="76"/>
      <c r="E143" s="76"/>
      <c r="I143" s="75"/>
      <c r="J143" s="75"/>
      <c r="K143" s="76"/>
      <c r="L143" s="76"/>
      <c r="M143" s="76"/>
    </row>
    <row r="144" spans="3:13" ht="14.4" x14ac:dyDescent="0.3">
      <c r="C144" s="75"/>
      <c r="D144" s="76"/>
      <c r="E144" s="76"/>
      <c r="I144" s="75"/>
      <c r="J144" s="75"/>
      <c r="K144" s="76"/>
      <c r="L144" s="76"/>
      <c r="M144" s="76"/>
    </row>
    <row r="145" spans="3:13" ht="14.4" x14ac:dyDescent="0.3">
      <c r="C145" s="75"/>
      <c r="D145" s="76"/>
      <c r="E145" s="76"/>
      <c r="I145" s="75"/>
      <c r="J145" s="75"/>
      <c r="K145" s="76"/>
      <c r="L145" s="76"/>
      <c r="M145" s="76"/>
    </row>
    <row r="146" spans="3:13" ht="14.4" x14ac:dyDescent="0.3">
      <c r="C146" s="75"/>
      <c r="D146" s="76"/>
      <c r="E146" s="76"/>
      <c r="I146" s="75"/>
      <c r="J146" s="75"/>
      <c r="K146" s="76"/>
      <c r="L146" s="76"/>
      <c r="M146" s="76"/>
    </row>
    <row r="147" spans="3:13" ht="14.4" x14ac:dyDescent="0.3">
      <c r="C147" s="75"/>
      <c r="D147" s="76"/>
      <c r="E147" s="76"/>
      <c r="I147" s="75"/>
      <c r="J147" s="75"/>
      <c r="K147" s="76"/>
      <c r="L147" s="76"/>
      <c r="M147" s="76"/>
    </row>
    <row r="148" spans="3:13" ht="14.4" x14ac:dyDescent="0.3">
      <c r="C148" s="75"/>
      <c r="D148" s="76"/>
      <c r="E148" s="76"/>
      <c r="I148" s="75"/>
      <c r="J148" s="75"/>
      <c r="K148" s="76"/>
      <c r="L148" s="76"/>
      <c r="M148" s="76"/>
    </row>
    <row r="149" spans="3:13" ht="14.4" x14ac:dyDescent="0.3">
      <c r="C149" s="75"/>
      <c r="D149" s="76"/>
      <c r="E149" s="76"/>
      <c r="I149" s="75"/>
      <c r="J149" s="75"/>
      <c r="K149" s="76"/>
      <c r="L149" s="76"/>
      <c r="M149" s="76"/>
    </row>
    <row r="150" spans="3:13" ht="14.4" x14ac:dyDescent="0.3">
      <c r="C150" s="75"/>
      <c r="D150" s="76"/>
      <c r="E150" s="76"/>
      <c r="I150" s="75"/>
      <c r="J150" s="75"/>
      <c r="K150" s="76"/>
      <c r="L150" s="76"/>
      <c r="M150" s="76"/>
    </row>
    <row r="151" spans="3:13" ht="14.4" x14ac:dyDescent="0.3">
      <c r="C151" s="75"/>
      <c r="D151" s="76"/>
      <c r="E151" s="76"/>
      <c r="I151" s="75"/>
      <c r="J151" s="75"/>
      <c r="K151" s="76"/>
      <c r="L151" s="76"/>
      <c r="M151" s="76"/>
    </row>
    <row r="152" spans="3:13" ht="14.4" x14ac:dyDescent="0.3">
      <c r="C152" s="75"/>
      <c r="D152" s="76"/>
      <c r="E152" s="76"/>
      <c r="I152" s="75"/>
      <c r="J152" s="75"/>
      <c r="K152" s="76"/>
      <c r="L152" s="76"/>
      <c r="M152" s="76"/>
    </row>
    <row r="153" spans="3:13" ht="14.4" x14ac:dyDescent="0.3">
      <c r="C153" s="75"/>
      <c r="D153" s="76"/>
      <c r="E153" s="76"/>
      <c r="I153" s="75"/>
      <c r="J153" s="75"/>
      <c r="K153" s="76"/>
      <c r="L153" s="76"/>
      <c r="M153" s="76"/>
    </row>
    <row r="154" spans="3:13" ht="14.4" x14ac:dyDescent="0.3">
      <c r="C154" s="75"/>
      <c r="D154" s="76"/>
      <c r="E154" s="76"/>
      <c r="I154" s="75"/>
      <c r="J154" s="75"/>
      <c r="K154" s="76"/>
      <c r="L154" s="76"/>
      <c r="M154" s="76"/>
    </row>
    <row r="155" spans="3:13" ht="14.4" x14ac:dyDescent="0.3">
      <c r="C155" s="75"/>
      <c r="D155" s="76"/>
      <c r="E155" s="76"/>
      <c r="I155" s="75"/>
      <c r="J155" s="75"/>
      <c r="K155" s="76"/>
      <c r="L155" s="76"/>
      <c r="M155" s="76"/>
    </row>
    <row r="156" spans="3:13" ht="14.4" x14ac:dyDescent="0.3">
      <c r="C156" s="75"/>
      <c r="D156" s="76"/>
      <c r="E156" s="76"/>
      <c r="I156" s="75"/>
      <c r="J156" s="75"/>
      <c r="K156" s="76"/>
      <c r="L156" s="76"/>
      <c r="M156" s="76"/>
    </row>
    <row r="157" spans="3:13" ht="14.4" x14ac:dyDescent="0.3">
      <c r="C157" s="75"/>
      <c r="D157" s="76"/>
      <c r="E157" s="76"/>
      <c r="I157" s="75"/>
      <c r="J157" s="75"/>
      <c r="K157" s="76"/>
      <c r="L157" s="76"/>
      <c r="M157" s="76"/>
    </row>
    <row r="158" spans="3:13" ht="14.4" x14ac:dyDescent="0.3">
      <c r="C158" s="75"/>
      <c r="D158" s="76"/>
      <c r="E158" s="76"/>
      <c r="I158" s="75"/>
      <c r="J158" s="75"/>
      <c r="K158" s="76"/>
      <c r="L158" s="76"/>
      <c r="M158" s="76"/>
    </row>
    <row r="159" spans="3:13" ht="14.4" x14ac:dyDescent="0.3">
      <c r="C159" s="75"/>
      <c r="D159" s="76"/>
      <c r="E159" s="76"/>
      <c r="I159" s="75"/>
      <c r="J159" s="75"/>
      <c r="K159" s="76"/>
      <c r="L159" s="76"/>
      <c r="M159" s="76"/>
    </row>
    <row r="160" spans="3:13" ht="14.4" x14ac:dyDescent="0.3">
      <c r="C160" s="75"/>
      <c r="D160" s="76"/>
      <c r="E160" s="76"/>
      <c r="I160" s="75"/>
      <c r="J160" s="75"/>
      <c r="K160" s="76"/>
      <c r="L160" s="76"/>
      <c r="M160" s="76"/>
    </row>
    <row r="161" spans="3:13" ht="14.4" x14ac:dyDescent="0.3">
      <c r="C161" s="75"/>
      <c r="D161" s="76"/>
      <c r="E161" s="76"/>
      <c r="I161" s="75"/>
      <c r="J161" s="75"/>
      <c r="K161" s="76"/>
      <c r="L161" s="76"/>
      <c r="M161" s="76"/>
    </row>
    <row r="162" spans="3:13" ht="14.4" x14ac:dyDescent="0.3">
      <c r="C162" s="75"/>
      <c r="D162" s="76"/>
      <c r="E162" s="76"/>
      <c r="I162" s="75"/>
      <c r="J162" s="75"/>
      <c r="K162" s="76"/>
      <c r="L162" s="76"/>
      <c r="M162" s="76"/>
    </row>
    <row r="163" spans="3:13" ht="14.4" x14ac:dyDescent="0.3">
      <c r="C163" s="75"/>
      <c r="D163" s="76"/>
      <c r="E163" s="76"/>
      <c r="I163" s="75"/>
      <c r="J163" s="75"/>
      <c r="K163" s="76"/>
      <c r="L163" s="76"/>
      <c r="M163" s="76"/>
    </row>
    <row r="164" spans="3:13" ht="14.4" x14ac:dyDescent="0.3">
      <c r="C164" s="75"/>
      <c r="D164" s="76"/>
      <c r="E164" s="76"/>
      <c r="I164" s="75"/>
      <c r="J164" s="75"/>
      <c r="K164" s="76"/>
      <c r="L164" s="76"/>
      <c r="M164" s="76"/>
    </row>
    <row r="165" spans="3:13" ht="14.4" x14ac:dyDescent="0.3">
      <c r="C165" s="75"/>
      <c r="D165" s="76"/>
      <c r="E165" s="76"/>
      <c r="I165" s="75"/>
      <c r="J165" s="75"/>
      <c r="K165" s="76"/>
      <c r="L165" s="76"/>
      <c r="M165" s="76"/>
    </row>
    <row r="166" spans="3:13" ht="14.4" x14ac:dyDescent="0.3">
      <c r="C166" s="75"/>
      <c r="D166" s="76"/>
      <c r="E166" s="76"/>
      <c r="I166" s="75"/>
      <c r="J166" s="75"/>
      <c r="K166" s="76"/>
      <c r="L166" s="76"/>
      <c r="M166" s="76"/>
    </row>
    <row r="167" spans="3:13" ht="14.4" x14ac:dyDescent="0.3">
      <c r="C167" s="75"/>
      <c r="D167" s="76"/>
      <c r="E167" s="76"/>
      <c r="I167" s="75"/>
      <c r="J167" s="75"/>
      <c r="K167" s="76"/>
      <c r="L167" s="76"/>
      <c r="M167" s="76"/>
    </row>
    <row r="168" spans="3:13" ht="14.4" x14ac:dyDescent="0.3">
      <c r="C168" s="75"/>
      <c r="D168" s="76"/>
      <c r="E168" s="76"/>
      <c r="I168" s="75"/>
      <c r="J168" s="75"/>
      <c r="K168" s="76"/>
      <c r="L168" s="76"/>
      <c r="M168" s="76"/>
    </row>
    <row r="169" spans="3:13" ht="14.4" x14ac:dyDescent="0.3">
      <c r="C169" s="75"/>
      <c r="D169" s="76"/>
      <c r="E169" s="76"/>
      <c r="I169" s="75"/>
      <c r="J169" s="75"/>
      <c r="K169" s="76"/>
      <c r="L169" s="76"/>
      <c r="M169" s="76"/>
    </row>
    <row r="170" spans="3:13" ht="14.4" x14ac:dyDescent="0.3">
      <c r="C170" s="75"/>
      <c r="D170" s="76"/>
      <c r="E170" s="76"/>
      <c r="I170" s="75"/>
      <c r="J170" s="75"/>
      <c r="K170" s="76"/>
      <c r="L170" s="76"/>
      <c r="M170" s="76"/>
    </row>
    <row r="171" spans="3:13" ht="14.4" x14ac:dyDescent="0.3">
      <c r="C171" s="75"/>
      <c r="D171" s="76"/>
      <c r="E171" s="76"/>
      <c r="I171" s="75"/>
      <c r="J171" s="75"/>
      <c r="K171" s="76"/>
      <c r="L171" s="76"/>
      <c r="M171" s="76"/>
    </row>
    <row r="172" spans="3:13" ht="14.4" x14ac:dyDescent="0.3">
      <c r="C172" s="75"/>
      <c r="D172" s="76"/>
      <c r="E172" s="76"/>
      <c r="I172" s="75"/>
      <c r="J172" s="75"/>
      <c r="K172" s="76"/>
      <c r="L172" s="76"/>
      <c r="M172" s="76"/>
    </row>
    <row r="173" spans="3:13" ht="14.4" x14ac:dyDescent="0.3">
      <c r="C173" s="75"/>
      <c r="D173" s="76"/>
      <c r="E173" s="76"/>
      <c r="I173" s="75"/>
      <c r="J173" s="75"/>
      <c r="K173" s="76"/>
      <c r="L173" s="76"/>
      <c r="M173" s="76"/>
    </row>
    <row r="174" spans="3:13" ht="14.4" x14ac:dyDescent="0.3">
      <c r="C174" s="75"/>
      <c r="D174" s="76"/>
      <c r="E174" s="76"/>
      <c r="I174" s="75"/>
      <c r="J174" s="75"/>
      <c r="K174" s="76"/>
      <c r="L174" s="76"/>
      <c r="M174" s="76"/>
    </row>
    <row r="175" spans="3:13" ht="14.4" x14ac:dyDescent="0.3">
      <c r="C175" s="75"/>
      <c r="D175" s="76"/>
      <c r="E175" s="76"/>
      <c r="I175" s="75"/>
      <c r="J175" s="75"/>
      <c r="K175" s="76"/>
      <c r="L175" s="76"/>
      <c r="M175" s="76"/>
    </row>
    <row r="176" spans="3:13" ht="14.4" x14ac:dyDescent="0.3">
      <c r="C176" s="75"/>
      <c r="D176" s="76"/>
      <c r="E176" s="76"/>
      <c r="I176" s="75"/>
      <c r="J176" s="75"/>
      <c r="K176" s="76"/>
      <c r="L176" s="76"/>
      <c r="M176" s="76"/>
    </row>
    <row r="177" spans="3:13" ht="14.4" x14ac:dyDescent="0.3">
      <c r="C177" s="75"/>
      <c r="D177" s="76"/>
      <c r="E177" s="76"/>
      <c r="I177" s="75"/>
      <c r="J177" s="75"/>
      <c r="K177" s="76"/>
      <c r="L177" s="76"/>
      <c r="M177" s="76"/>
    </row>
    <row r="178" spans="3:13" ht="14.4" x14ac:dyDescent="0.3">
      <c r="C178" s="75"/>
      <c r="D178" s="76"/>
      <c r="E178" s="76"/>
      <c r="I178" s="75"/>
      <c r="J178" s="75"/>
      <c r="K178" s="76"/>
      <c r="L178" s="76"/>
      <c r="M178" s="76"/>
    </row>
    <row r="179" spans="3:13" ht="14.4" x14ac:dyDescent="0.3">
      <c r="C179" s="75"/>
      <c r="D179" s="76"/>
      <c r="E179" s="76"/>
      <c r="I179" s="75"/>
      <c r="J179" s="75"/>
      <c r="K179" s="76"/>
      <c r="L179" s="76"/>
      <c r="M179" s="76"/>
    </row>
    <row r="180" spans="3:13" ht="14.4" x14ac:dyDescent="0.3">
      <c r="C180" s="75"/>
      <c r="D180" s="76"/>
      <c r="E180" s="76"/>
      <c r="I180" s="75"/>
      <c r="J180" s="75"/>
      <c r="K180" s="76"/>
      <c r="L180" s="76"/>
      <c r="M180" s="76"/>
    </row>
    <row r="181" spans="3:13" ht="14.4" x14ac:dyDescent="0.3">
      <c r="C181" s="75"/>
      <c r="D181" s="76"/>
      <c r="E181" s="76"/>
      <c r="I181" s="75"/>
      <c r="J181" s="75"/>
      <c r="K181" s="76"/>
      <c r="L181" s="76"/>
      <c r="M181" s="76"/>
    </row>
    <row r="182" spans="3:13" ht="14.4" x14ac:dyDescent="0.3">
      <c r="C182" s="75"/>
      <c r="D182" s="76"/>
      <c r="E182" s="76"/>
      <c r="I182" s="75"/>
      <c r="J182" s="75"/>
      <c r="K182" s="76"/>
      <c r="L182" s="76"/>
      <c r="M182" s="76"/>
    </row>
    <row r="183" spans="3:13" ht="14.4" x14ac:dyDescent="0.3">
      <c r="C183" s="75"/>
      <c r="D183" s="76"/>
      <c r="E183" s="76"/>
      <c r="I183" s="75"/>
      <c r="J183" s="75"/>
      <c r="K183" s="76"/>
      <c r="L183" s="76"/>
      <c r="M183" s="76"/>
    </row>
    <row r="184" spans="3:13" ht="14.4" x14ac:dyDescent="0.3">
      <c r="C184" s="75"/>
      <c r="D184" s="76"/>
      <c r="E184" s="76"/>
      <c r="I184" s="75"/>
      <c r="J184" s="75"/>
      <c r="K184" s="76"/>
      <c r="L184" s="76"/>
      <c r="M184" s="76"/>
    </row>
    <row r="185" spans="3:13" ht="14.4" x14ac:dyDescent="0.3">
      <c r="C185" s="75"/>
      <c r="D185" s="76"/>
      <c r="E185" s="76"/>
      <c r="I185" s="75"/>
      <c r="J185" s="75"/>
      <c r="K185" s="76"/>
      <c r="L185" s="76"/>
      <c r="M185" s="76"/>
    </row>
    <row r="186" spans="3:13" ht="14.4" x14ac:dyDescent="0.3">
      <c r="C186" s="75"/>
      <c r="D186" s="76"/>
      <c r="E186" s="76"/>
      <c r="I186" s="75"/>
      <c r="J186" s="75"/>
      <c r="K186" s="76"/>
      <c r="L186" s="76"/>
      <c r="M186" s="76"/>
    </row>
    <row r="187" spans="3:13" ht="14.4" x14ac:dyDescent="0.3">
      <c r="C187" s="75"/>
      <c r="D187" s="76"/>
      <c r="E187" s="76"/>
      <c r="I187" s="75"/>
      <c r="J187" s="75"/>
      <c r="K187" s="76"/>
      <c r="L187" s="76"/>
      <c r="M187" s="76"/>
    </row>
    <row r="188" spans="3:13" ht="14.4" x14ac:dyDescent="0.3">
      <c r="C188" s="75"/>
      <c r="D188" s="76"/>
      <c r="E188" s="76"/>
      <c r="I188" s="75"/>
      <c r="J188" s="75"/>
      <c r="K188" s="76"/>
      <c r="L188" s="76"/>
      <c r="M188" s="76"/>
    </row>
    <row r="189" spans="3:13" ht="14.4" x14ac:dyDescent="0.3">
      <c r="C189" s="75"/>
      <c r="D189" s="76"/>
      <c r="E189" s="76"/>
      <c r="I189" s="75"/>
      <c r="J189" s="75"/>
      <c r="K189" s="76"/>
      <c r="L189" s="76"/>
      <c r="M189" s="76"/>
    </row>
    <row r="190" spans="3:13" ht="14.4" x14ac:dyDescent="0.3">
      <c r="C190" s="75"/>
      <c r="D190" s="76"/>
      <c r="E190" s="76"/>
      <c r="I190" s="75"/>
      <c r="J190" s="75"/>
      <c r="K190" s="76"/>
      <c r="L190" s="76"/>
      <c r="M190" s="76"/>
    </row>
    <row r="191" spans="3:13" ht="14.4" x14ac:dyDescent="0.3">
      <c r="C191" s="75"/>
      <c r="D191" s="76"/>
      <c r="E191" s="76"/>
      <c r="I191" s="75"/>
      <c r="J191" s="75"/>
      <c r="K191" s="76"/>
      <c r="L191" s="76"/>
      <c r="M191" s="76"/>
    </row>
    <row r="192" spans="3:13" ht="14.4" x14ac:dyDescent="0.3">
      <c r="C192" s="75"/>
      <c r="D192" s="76"/>
      <c r="E192" s="76"/>
      <c r="I192" s="75"/>
      <c r="J192" s="75"/>
      <c r="K192" s="76"/>
      <c r="L192" s="76"/>
      <c r="M192" s="76"/>
    </row>
    <row r="193" spans="3:13" ht="14.4" x14ac:dyDescent="0.3">
      <c r="C193" s="75"/>
      <c r="D193" s="76"/>
      <c r="E193" s="76"/>
      <c r="I193" s="75"/>
      <c r="J193" s="75"/>
      <c r="K193" s="76"/>
      <c r="L193" s="76"/>
      <c r="M193" s="76"/>
    </row>
    <row r="194" spans="3:13" ht="14.4" x14ac:dyDescent="0.3">
      <c r="C194" s="75"/>
      <c r="D194" s="76"/>
      <c r="E194" s="76"/>
      <c r="I194" s="75"/>
      <c r="J194" s="75"/>
      <c r="K194" s="76"/>
      <c r="L194" s="76"/>
      <c r="M194" s="76"/>
    </row>
    <row r="195" spans="3:13" ht="14.4" x14ac:dyDescent="0.3">
      <c r="C195" s="75"/>
      <c r="D195" s="76"/>
      <c r="E195" s="76"/>
      <c r="I195" s="75"/>
      <c r="J195" s="75"/>
      <c r="K195" s="76"/>
      <c r="L195" s="76"/>
      <c r="M195" s="76"/>
    </row>
    <row r="196" spans="3:13" ht="14.4" x14ac:dyDescent="0.3">
      <c r="C196" s="75"/>
      <c r="D196" s="76"/>
      <c r="E196" s="76"/>
      <c r="I196" s="75"/>
      <c r="J196" s="75"/>
      <c r="K196" s="76"/>
      <c r="L196" s="76"/>
      <c r="M196" s="76"/>
    </row>
    <row r="197" spans="3:13" ht="14.4" x14ac:dyDescent="0.3">
      <c r="C197" s="75"/>
      <c r="D197" s="76"/>
      <c r="E197" s="76"/>
      <c r="I197" s="75"/>
      <c r="J197" s="75"/>
      <c r="K197" s="76"/>
      <c r="L197" s="76"/>
      <c r="M197" s="76"/>
    </row>
    <row r="198" spans="3:13" ht="14.4" x14ac:dyDescent="0.3">
      <c r="C198" s="75"/>
      <c r="D198" s="76"/>
      <c r="E198" s="76"/>
      <c r="I198" s="75"/>
      <c r="J198" s="75"/>
      <c r="K198" s="76"/>
      <c r="L198" s="76"/>
      <c r="M198" s="76"/>
    </row>
    <row r="199" spans="3:13" ht="14.4" x14ac:dyDescent="0.3">
      <c r="C199" s="75"/>
      <c r="D199" s="76"/>
      <c r="E199" s="76"/>
      <c r="I199" s="75"/>
      <c r="J199" s="75"/>
      <c r="K199" s="76"/>
      <c r="L199" s="76"/>
      <c r="M199" s="76"/>
    </row>
    <row r="200" spans="3:13" ht="14.4" x14ac:dyDescent="0.3">
      <c r="C200" s="75"/>
      <c r="D200" s="76"/>
      <c r="E200" s="76"/>
      <c r="I200" s="75"/>
      <c r="J200" s="75"/>
      <c r="K200" s="76"/>
      <c r="L200" s="76"/>
      <c r="M200" s="76"/>
    </row>
    <row r="201" spans="3:13" ht="14.4" x14ac:dyDescent="0.3">
      <c r="C201" s="75"/>
      <c r="D201" s="76"/>
      <c r="E201" s="76"/>
      <c r="I201" s="75"/>
      <c r="J201" s="75"/>
      <c r="K201" s="76"/>
      <c r="L201" s="76"/>
      <c r="M201" s="76"/>
    </row>
    <row r="202" spans="3:13" ht="14.4" x14ac:dyDescent="0.3">
      <c r="C202" s="75"/>
      <c r="D202" s="76"/>
      <c r="E202" s="76"/>
      <c r="I202" s="75"/>
      <c r="J202" s="75"/>
      <c r="K202" s="76"/>
      <c r="L202" s="76"/>
      <c r="M202" s="76"/>
    </row>
    <row r="203" spans="3:13" ht="14.4" x14ac:dyDescent="0.3">
      <c r="C203" s="75"/>
      <c r="D203" s="76"/>
      <c r="E203" s="76"/>
      <c r="I203" s="75"/>
      <c r="J203" s="75"/>
      <c r="K203" s="76"/>
      <c r="L203" s="76"/>
      <c r="M203" s="76"/>
    </row>
    <row r="204" spans="3:13" ht="14.4" x14ac:dyDescent="0.3">
      <c r="C204" s="75"/>
      <c r="D204" s="76"/>
      <c r="E204" s="76"/>
      <c r="I204" s="75"/>
      <c r="J204" s="75"/>
      <c r="K204" s="76"/>
      <c r="L204" s="76"/>
      <c r="M204" s="76"/>
    </row>
    <row r="205" spans="3:13" ht="14.4" x14ac:dyDescent="0.3">
      <c r="C205" s="75"/>
      <c r="D205" s="76"/>
      <c r="E205" s="76"/>
      <c r="I205" s="75"/>
      <c r="J205" s="75"/>
      <c r="K205" s="76"/>
      <c r="L205" s="76"/>
      <c r="M205" s="76"/>
    </row>
    <row r="206" spans="3:13" ht="14.4" x14ac:dyDescent="0.3">
      <c r="C206" s="75"/>
      <c r="D206" s="76"/>
      <c r="E206" s="76"/>
      <c r="I206" s="75"/>
      <c r="J206" s="75"/>
      <c r="K206" s="76"/>
      <c r="L206" s="76"/>
      <c r="M206" s="76"/>
    </row>
    <row r="207" spans="3:13" ht="14.4" x14ac:dyDescent="0.3">
      <c r="C207" s="75"/>
      <c r="D207" s="76"/>
      <c r="E207" s="76"/>
      <c r="I207" s="75"/>
      <c r="J207" s="75"/>
      <c r="K207" s="76"/>
      <c r="L207" s="76"/>
      <c r="M207" s="76"/>
    </row>
    <row r="208" spans="3:13" ht="14.4" x14ac:dyDescent="0.3">
      <c r="C208" s="75"/>
      <c r="D208" s="76"/>
      <c r="E208" s="76"/>
      <c r="I208" s="75"/>
      <c r="J208" s="75"/>
      <c r="K208" s="76"/>
      <c r="L208" s="76"/>
      <c r="M208" s="76"/>
    </row>
    <row r="209" spans="3:13" ht="14.4" x14ac:dyDescent="0.3">
      <c r="C209" s="75"/>
      <c r="D209" s="76"/>
      <c r="E209" s="76"/>
      <c r="I209" s="75"/>
      <c r="J209" s="75"/>
      <c r="K209" s="76"/>
      <c r="L209" s="76"/>
      <c r="M209" s="76"/>
    </row>
    <row r="210" spans="3:13" ht="14.4" x14ac:dyDescent="0.3">
      <c r="C210" s="75"/>
      <c r="D210" s="76"/>
      <c r="E210" s="76"/>
      <c r="I210" s="75"/>
      <c r="J210" s="75"/>
      <c r="K210" s="76"/>
      <c r="L210" s="76"/>
      <c r="M210" s="76"/>
    </row>
    <row r="211" spans="3:13" ht="14.4" x14ac:dyDescent="0.3">
      <c r="C211" s="75"/>
      <c r="D211" s="76"/>
      <c r="E211" s="76"/>
      <c r="I211" s="75"/>
      <c r="J211" s="75"/>
      <c r="K211" s="76"/>
      <c r="L211" s="76"/>
      <c r="M211" s="76"/>
    </row>
    <row r="212" spans="3:13" ht="14.4" x14ac:dyDescent="0.3">
      <c r="C212" s="75"/>
      <c r="D212" s="76"/>
      <c r="E212" s="76"/>
      <c r="I212" s="75"/>
      <c r="J212" s="75"/>
      <c r="K212" s="76"/>
      <c r="L212" s="76"/>
      <c r="M212" s="76"/>
    </row>
    <row r="213" spans="3:13" ht="14.4" x14ac:dyDescent="0.3">
      <c r="C213" s="75"/>
      <c r="D213" s="76"/>
      <c r="E213" s="76"/>
      <c r="I213" s="75"/>
      <c r="J213" s="75"/>
      <c r="K213" s="76"/>
      <c r="L213" s="76"/>
      <c r="M213" s="76"/>
    </row>
    <row r="214" spans="3:13" ht="14.4" x14ac:dyDescent="0.3">
      <c r="C214" s="75"/>
      <c r="D214" s="76"/>
      <c r="E214" s="76"/>
      <c r="I214" s="75"/>
      <c r="J214" s="75"/>
      <c r="K214" s="76"/>
      <c r="L214" s="76"/>
      <c r="M214" s="76"/>
    </row>
    <row r="215" spans="3:13" ht="14.4" x14ac:dyDescent="0.3">
      <c r="C215" s="75"/>
      <c r="D215" s="76"/>
      <c r="E215" s="76"/>
      <c r="I215" s="75"/>
      <c r="J215" s="75"/>
      <c r="K215" s="76"/>
      <c r="L215" s="76"/>
      <c r="M215" s="76"/>
    </row>
    <row r="216" spans="3:13" ht="14.4" x14ac:dyDescent="0.3">
      <c r="C216" s="75"/>
      <c r="D216" s="76"/>
      <c r="E216" s="76"/>
      <c r="I216" s="75"/>
      <c r="J216" s="75"/>
      <c r="K216" s="76"/>
      <c r="L216" s="76"/>
      <c r="M216" s="76"/>
    </row>
    <row r="217" spans="3:13" ht="14.4" x14ac:dyDescent="0.3">
      <c r="C217" s="75"/>
      <c r="D217" s="76"/>
      <c r="E217" s="76"/>
      <c r="I217" s="75"/>
      <c r="J217" s="75"/>
      <c r="K217" s="76"/>
      <c r="L217" s="76"/>
      <c r="M217" s="76"/>
    </row>
    <row r="218" spans="3:13" ht="14.4" x14ac:dyDescent="0.3">
      <c r="C218" s="75"/>
      <c r="D218" s="76"/>
      <c r="E218" s="76"/>
      <c r="I218" s="75"/>
      <c r="J218" s="75"/>
      <c r="K218" s="76"/>
      <c r="L218" s="76"/>
      <c r="M218" s="76"/>
    </row>
    <row r="219" spans="3:13" ht="14.4" x14ac:dyDescent="0.3">
      <c r="C219" s="75"/>
      <c r="D219" s="76"/>
      <c r="E219" s="76"/>
      <c r="I219" s="75"/>
      <c r="J219" s="75"/>
      <c r="K219" s="76"/>
      <c r="L219" s="76"/>
      <c r="M219" s="76"/>
    </row>
    <row r="220" spans="3:13" ht="14.4" x14ac:dyDescent="0.3">
      <c r="C220" s="75"/>
      <c r="D220" s="76"/>
      <c r="E220" s="76"/>
      <c r="I220" s="75"/>
      <c r="J220" s="75"/>
      <c r="K220" s="76"/>
      <c r="L220" s="76"/>
      <c r="M220" s="76"/>
    </row>
    <row r="221" spans="3:13" ht="14.4" x14ac:dyDescent="0.3">
      <c r="C221" s="75"/>
      <c r="D221" s="76"/>
      <c r="E221" s="76"/>
      <c r="I221" s="75"/>
      <c r="J221" s="75"/>
      <c r="K221" s="76"/>
      <c r="L221" s="76"/>
      <c r="M221" s="76"/>
    </row>
    <row r="222" spans="3:13" ht="14.4" x14ac:dyDescent="0.3">
      <c r="C222" s="75"/>
      <c r="D222" s="76"/>
      <c r="E222" s="76"/>
      <c r="I222" s="75"/>
      <c r="J222" s="75"/>
      <c r="K222" s="76"/>
      <c r="L222" s="76"/>
      <c r="M222" s="76"/>
    </row>
    <row r="223" spans="3:13" ht="14.4" x14ac:dyDescent="0.3">
      <c r="C223" s="75"/>
      <c r="D223" s="76"/>
      <c r="E223" s="76"/>
      <c r="I223" s="75"/>
      <c r="J223" s="75"/>
      <c r="K223" s="76"/>
      <c r="L223" s="76"/>
      <c r="M223" s="76"/>
    </row>
    <row r="224" spans="3:13" ht="14.4" x14ac:dyDescent="0.3">
      <c r="C224" s="75"/>
      <c r="D224" s="76"/>
      <c r="E224" s="76"/>
      <c r="I224" s="75"/>
      <c r="J224" s="75"/>
      <c r="K224" s="76"/>
      <c r="L224" s="76"/>
      <c r="M224" s="76"/>
    </row>
    <row r="225" spans="3:13" ht="14.4" x14ac:dyDescent="0.3">
      <c r="C225" s="75"/>
      <c r="D225" s="76"/>
      <c r="E225" s="76"/>
      <c r="I225" s="75"/>
      <c r="J225" s="75"/>
      <c r="K225" s="76"/>
      <c r="L225" s="76"/>
      <c r="M225" s="76"/>
    </row>
    <row r="226" spans="3:13" ht="14.4" x14ac:dyDescent="0.3">
      <c r="C226" s="75"/>
      <c r="D226" s="76"/>
      <c r="E226" s="76"/>
      <c r="I226" s="75"/>
      <c r="J226" s="75"/>
      <c r="K226" s="76"/>
      <c r="L226" s="76"/>
      <c r="M226" s="76"/>
    </row>
    <row r="227" spans="3:13" ht="14.4" x14ac:dyDescent="0.3">
      <c r="C227" s="75"/>
      <c r="D227" s="76"/>
      <c r="E227" s="76"/>
      <c r="I227" s="75"/>
      <c r="J227" s="75"/>
      <c r="K227" s="76"/>
      <c r="L227" s="76"/>
      <c r="M227" s="76"/>
    </row>
    <row r="228" spans="3:13" ht="14.4" x14ac:dyDescent="0.3">
      <c r="C228" s="75"/>
      <c r="D228" s="76"/>
      <c r="E228" s="76"/>
      <c r="I228" s="75"/>
      <c r="J228" s="75"/>
      <c r="K228" s="76"/>
      <c r="L228" s="76"/>
      <c r="M228" s="76"/>
    </row>
    <row r="229" spans="3:13" ht="14.4" x14ac:dyDescent="0.3">
      <c r="C229" s="75"/>
      <c r="D229" s="76"/>
      <c r="E229" s="76"/>
      <c r="I229" s="75"/>
      <c r="J229" s="75"/>
      <c r="K229" s="76"/>
      <c r="L229" s="76"/>
      <c r="M229" s="76"/>
    </row>
    <row r="230" spans="3:13" ht="14.4" x14ac:dyDescent="0.3">
      <c r="C230" s="75"/>
      <c r="D230" s="76"/>
      <c r="E230" s="76"/>
      <c r="I230" s="75"/>
      <c r="J230" s="75"/>
      <c r="K230" s="76"/>
      <c r="L230" s="76"/>
      <c r="M230" s="76"/>
    </row>
    <row r="231" spans="3:13" ht="14.4" x14ac:dyDescent="0.3">
      <c r="C231" s="75"/>
      <c r="D231" s="76"/>
      <c r="E231" s="76"/>
      <c r="I231" s="75"/>
      <c r="J231" s="75"/>
      <c r="K231" s="76"/>
      <c r="L231" s="76"/>
      <c r="M231" s="76"/>
    </row>
    <row r="232" spans="3:13" ht="14.4" x14ac:dyDescent="0.3">
      <c r="C232" s="75"/>
      <c r="D232" s="76"/>
      <c r="E232" s="76"/>
      <c r="I232" s="75"/>
      <c r="J232" s="75"/>
      <c r="K232" s="76"/>
      <c r="L232" s="76"/>
      <c r="M232" s="76"/>
    </row>
    <row r="233" spans="3:13" ht="14.4" x14ac:dyDescent="0.3">
      <c r="C233" s="75"/>
      <c r="D233" s="76"/>
      <c r="E233" s="76"/>
      <c r="I233" s="75"/>
      <c r="J233" s="75"/>
      <c r="K233" s="76"/>
      <c r="L233" s="76"/>
      <c r="M233" s="76"/>
    </row>
    <row r="234" spans="3:13" ht="14.4" x14ac:dyDescent="0.3">
      <c r="C234" s="75"/>
      <c r="D234" s="76"/>
      <c r="E234" s="76"/>
      <c r="I234" s="75"/>
      <c r="J234" s="75"/>
      <c r="K234" s="76"/>
      <c r="L234" s="76"/>
      <c r="M234" s="76"/>
    </row>
    <row r="235" spans="3:13" ht="14.4" x14ac:dyDescent="0.3">
      <c r="C235" s="75"/>
      <c r="D235" s="76"/>
      <c r="E235" s="76"/>
      <c r="I235" s="75"/>
      <c r="J235" s="75"/>
      <c r="K235" s="76"/>
      <c r="L235" s="76"/>
      <c r="M235" s="76"/>
    </row>
    <row r="236" spans="3:13" ht="14.4" x14ac:dyDescent="0.3">
      <c r="C236" s="75"/>
      <c r="D236" s="76"/>
      <c r="E236" s="76"/>
      <c r="I236" s="75"/>
      <c r="J236" s="75"/>
      <c r="K236" s="76"/>
      <c r="L236" s="76"/>
      <c r="M236" s="76"/>
    </row>
    <row r="237" spans="3:13" ht="14.4" x14ac:dyDescent="0.3">
      <c r="C237" s="75"/>
      <c r="D237" s="76"/>
      <c r="E237" s="76"/>
      <c r="I237" s="75"/>
      <c r="J237" s="75"/>
      <c r="K237" s="76"/>
      <c r="L237" s="76"/>
      <c r="M237" s="76"/>
    </row>
    <row r="238" spans="3:13" ht="14.4" x14ac:dyDescent="0.3">
      <c r="C238" s="75"/>
      <c r="D238" s="76"/>
      <c r="E238" s="76"/>
      <c r="I238" s="75"/>
      <c r="J238" s="75"/>
      <c r="K238" s="76"/>
      <c r="L238" s="76"/>
      <c r="M238" s="76"/>
    </row>
    <row r="239" spans="3:13" ht="14.4" x14ac:dyDescent="0.3">
      <c r="C239" s="75"/>
      <c r="D239" s="76"/>
      <c r="E239" s="76"/>
      <c r="I239" s="75"/>
      <c r="J239" s="75"/>
      <c r="K239" s="76"/>
      <c r="L239" s="76"/>
      <c r="M239" s="76"/>
    </row>
    <row r="240" spans="3:13" ht="14.4" x14ac:dyDescent="0.3">
      <c r="C240" s="75"/>
      <c r="D240" s="76"/>
      <c r="E240" s="76"/>
      <c r="I240" s="75"/>
      <c r="J240" s="75"/>
      <c r="K240" s="76"/>
      <c r="L240" s="76"/>
      <c r="M240" s="76"/>
    </row>
    <row r="241" spans="3:13" ht="14.4" x14ac:dyDescent="0.3">
      <c r="C241" s="75"/>
      <c r="D241" s="76"/>
      <c r="E241" s="76"/>
      <c r="I241" s="75"/>
      <c r="J241" s="75"/>
      <c r="K241" s="76"/>
      <c r="L241" s="76"/>
      <c r="M241" s="76"/>
    </row>
    <row r="242" spans="3:13" ht="14.4" x14ac:dyDescent="0.3">
      <c r="C242" s="75"/>
      <c r="D242" s="76"/>
      <c r="E242" s="76"/>
      <c r="I242" s="75"/>
      <c r="J242" s="75"/>
      <c r="K242" s="76"/>
      <c r="L242" s="76"/>
      <c r="M242" s="76"/>
    </row>
    <row r="243" spans="3:13" ht="14.4" x14ac:dyDescent="0.3">
      <c r="C243" s="75"/>
      <c r="D243" s="76"/>
      <c r="E243" s="76"/>
      <c r="I243" s="75"/>
      <c r="J243" s="75"/>
      <c r="K243" s="76"/>
      <c r="L243" s="76"/>
      <c r="M243" s="76"/>
    </row>
    <row r="244" spans="3:13" ht="14.4" x14ac:dyDescent="0.3">
      <c r="C244" s="75"/>
      <c r="D244" s="76"/>
      <c r="E244" s="76"/>
      <c r="I244" s="75"/>
      <c r="J244" s="75"/>
      <c r="K244" s="76"/>
      <c r="L244" s="76"/>
      <c r="M244" s="76"/>
    </row>
    <row r="245" spans="3:13" ht="14.4" x14ac:dyDescent="0.3">
      <c r="C245" s="75"/>
      <c r="D245" s="76"/>
      <c r="E245" s="76"/>
      <c r="I245" s="75"/>
      <c r="J245" s="75"/>
      <c r="K245" s="76"/>
      <c r="L245" s="76"/>
      <c r="M245" s="76"/>
    </row>
    <row r="246" spans="3:13" ht="14.4" x14ac:dyDescent="0.3">
      <c r="C246" s="75"/>
      <c r="D246" s="76"/>
      <c r="E246" s="76"/>
      <c r="I246" s="75"/>
      <c r="J246" s="75"/>
      <c r="K246" s="76"/>
      <c r="L246" s="76"/>
      <c r="M246" s="76"/>
    </row>
    <row r="247" spans="3:13" ht="14.4" x14ac:dyDescent="0.3">
      <c r="C247" s="75"/>
      <c r="D247" s="76"/>
      <c r="E247" s="76"/>
      <c r="I247" s="75"/>
      <c r="J247" s="75"/>
      <c r="K247" s="76"/>
      <c r="L247" s="76"/>
      <c r="M247" s="76"/>
    </row>
    <row r="248" spans="3:13" ht="14.4" x14ac:dyDescent="0.3">
      <c r="C248" s="75"/>
      <c r="D248" s="76"/>
      <c r="E248" s="76"/>
      <c r="I248" s="75"/>
      <c r="J248" s="75"/>
      <c r="K248" s="76"/>
      <c r="L248" s="76"/>
      <c r="M248" s="76"/>
    </row>
    <row r="249" spans="3:13" ht="14.4" x14ac:dyDescent="0.3">
      <c r="C249" s="75"/>
      <c r="D249" s="76"/>
      <c r="E249" s="76"/>
      <c r="I249" s="75"/>
      <c r="J249" s="75"/>
      <c r="K249" s="76"/>
      <c r="L249" s="76"/>
      <c r="M249" s="76"/>
    </row>
    <row r="250" spans="3:13" ht="14.4" x14ac:dyDescent="0.3">
      <c r="C250" s="75"/>
      <c r="D250" s="76"/>
      <c r="E250" s="76"/>
      <c r="I250" s="75"/>
      <c r="J250" s="75"/>
      <c r="K250" s="76"/>
      <c r="L250" s="76"/>
      <c r="M250" s="76"/>
    </row>
    <row r="251" spans="3:13" ht="14.4" x14ac:dyDescent="0.3">
      <c r="C251" s="75"/>
      <c r="D251" s="76"/>
      <c r="E251" s="76"/>
      <c r="I251" s="75"/>
      <c r="J251" s="75"/>
      <c r="K251" s="76"/>
      <c r="L251" s="76"/>
      <c r="M251" s="76"/>
    </row>
    <row r="252" spans="3:13" ht="14.4" x14ac:dyDescent="0.3">
      <c r="C252" s="75"/>
      <c r="D252" s="76"/>
      <c r="E252" s="76"/>
      <c r="I252" s="75"/>
      <c r="J252" s="75"/>
      <c r="K252" s="76"/>
      <c r="L252" s="76"/>
      <c r="M252" s="76"/>
    </row>
    <row r="253" spans="3:13" ht="14.4" x14ac:dyDescent="0.3">
      <c r="C253" s="75"/>
      <c r="D253" s="76"/>
      <c r="E253" s="76"/>
      <c r="I253" s="75"/>
      <c r="J253" s="75"/>
      <c r="K253" s="76"/>
      <c r="L253" s="76"/>
      <c r="M253" s="76"/>
    </row>
    <row r="254" spans="3:13" ht="14.4" x14ac:dyDescent="0.3">
      <c r="C254" s="75"/>
      <c r="D254" s="76"/>
      <c r="E254" s="76"/>
      <c r="I254" s="75"/>
      <c r="J254" s="75"/>
      <c r="K254" s="76"/>
      <c r="L254" s="76"/>
      <c r="M254" s="76"/>
    </row>
    <row r="255" spans="3:13" ht="14.4" x14ac:dyDescent="0.3">
      <c r="C255" s="75"/>
      <c r="D255" s="76"/>
      <c r="E255" s="76"/>
      <c r="I255" s="75"/>
      <c r="J255" s="75"/>
      <c r="K255" s="76"/>
      <c r="L255" s="76"/>
      <c r="M255" s="76"/>
    </row>
    <row r="256" spans="3:13" ht="14.4" x14ac:dyDescent="0.3">
      <c r="C256" s="75"/>
      <c r="D256" s="76"/>
      <c r="E256" s="76"/>
      <c r="I256" s="75"/>
      <c r="J256" s="75"/>
      <c r="K256" s="76"/>
      <c r="L256" s="76"/>
      <c r="M256" s="76"/>
    </row>
    <row r="257" spans="3:13" ht="14.4" x14ac:dyDescent="0.3">
      <c r="C257" s="75"/>
      <c r="D257" s="76"/>
      <c r="E257" s="76"/>
      <c r="I257" s="75"/>
      <c r="J257" s="75"/>
      <c r="K257" s="76"/>
      <c r="L257" s="76"/>
      <c r="M257" s="76"/>
    </row>
    <row r="258" spans="3:13" ht="14.4" x14ac:dyDescent="0.3">
      <c r="C258" s="75"/>
      <c r="D258" s="76"/>
      <c r="E258" s="76"/>
      <c r="I258" s="75"/>
      <c r="J258" s="75"/>
      <c r="K258" s="76"/>
      <c r="L258" s="76"/>
      <c r="M258" s="76"/>
    </row>
    <row r="259" spans="3:13" ht="14.4" x14ac:dyDescent="0.3">
      <c r="C259" s="75"/>
      <c r="D259" s="76"/>
      <c r="E259" s="76"/>
      <c r="I259" s="75"/>
      <c r="J259" s="75"/>
      <c r="K259" s="76"/>
      <c r="L259" s="76"/>
      <c r="M259" s="76"/>
    </row>
    <row r="260" spans="3:13" ht="14.4" x14ac:dyDescent="0.3">
      <c r="C260" s="75"/>
      <c r="D260" s="76"/>
      <c r="E260" s="76"/>
      <c r="I260" s="75"/>
      <c r="J260" s="75"/>
      <c r="K260" s="76"/>
      <c r="L260" s="76"/>
      <c r="M260" s="76"/>
    </row>
    <row r="261" spans="3:13" ht="14.4" x14ac:dyDescent="0.3">
      <c r="C261" s="75"/>
      <c r="D261" s="76"/>
      <c r="E261" s="76"/>
      <c r="I261" s="75"/>
      <c r="J261" s="75"/>
      <c r="K261" s="76"/>
      <c r="L261" s="76"/>
      <c r="M261" s="76"/>
    </row>
    <row r="262" spans="3:13" ht="14.4" x14ac:dyDescent="0.3">
      <c r="C262" s="75"/>
      <c r="D262" s="76"/>
      <c r="E262" s="76"/>
      <c r="I262" s="75"/>
      <c r="J262" s="75"/>
      <c r="K262" s="76"/>
      <c r="L262" s="76"/>
      <c r="M262" s="76"/>
    </row>
    <row r="263" spans="3:13" ht="14.4" x14ac:dyDescent="0.3">
      <c r="C263" s="75"/>
      <c r="D263" s="76"/>
      <c r="E263" s="76"/>
      <c r="I263" s="75"/>
      <c r="J263" s="75"/>
      <c r="K263" s="76"/>
      <c r="L263" s="76"/>
      <c r="M263" s="76"/>
    </row>
    <row r="264" spans="3:13" ht="14.4" x14ac:dyDescent="0.3">
      <c r="C264" s="75"/>
      <c r="D264" s="76"/>
      <c r="E264" s="76"/>
      <c r="I264" s="75"/>
      <c r="J264" s="75"/>
      <c r="K264" s="76"/>
      <c r="L264" s="76"/>
      <c r="M264" s="76"/>
    </row>
    <row r="265" spans="3:13" ht="14.4" x14ac:dyDescent="0.3">
      <c r="C265" s="75"/>
      <c r="D265" s="76"/>
      <c r="E265" s="76"/>
      <c r="I265" s="75"/>
      <c r="J265" s="75"/>
      <c r="K265" s="76"/>
      <c r="L265" s="76"/>
      <c r="M265" s="76"/>
    </row>
    <row r="266" spans="3:13" ht="14.4" x14ac:dyDescent="0.3">
      <c r="C266" s="75"/>
      <c r="D266" s="76"/>
      <c r="E266" s="76"/>
      <c r="I266" s="75"/>
      <c r="J266" s="75"/>
      <c r="K266" s="76"/>
      <c r="L266" s="76"/>
      <c r="M266" s="76"/>
    </row>
    <row r="267" spans="3:13" ht="14.4" x14ac:dyDescent="0.3">
      <c r="C267" s="75"/>
      <c r="D267" s="76"/>
      <c r="E267" s="76"/>
      <c r="I267" s="75"/>
      <c r="J267" s="75"/>
      <c r="K267" s="76"/>
      <c r="L267" s="76"/>
      <c r="M267" s="76"/>
    </row>
    <row r="268" spans="3:13" ht="14.4" x14ac:dyDescent="0.3">
      <c r="C268" s="75"/>
      <c r="D268" s="76"/>
      <c r="E268" s="76"/>
      <c r="I268" s="75"/>
      <c r="J268" s="75"/>
      <c r="K268" s="76"/>
      <c r="L268" s="76"/>
      <c r="M268" s="76"/>
    </row>
    <row r="269" spans="3:13" ht="14.4" x14ac:dyDescent="0.3">
      <c r="C269" s="75"/>
      <c r="D269" s="76"/>
      <c r="E269" s="76"/>
      <c r="I269" s="75"/>
      <c r="J269" s="75"/>
      <c r="K269" s="76"/>
      <c r="L269" s="76"/>
      <c r="M269" s="76"/>
    </row>
    <row r="270" spans="3:13" ht="14.4" x14ac:dyDescent="0.3">
      <c r="C270" s="75"/>
      <c r="D270" s="76"/>
      <c r="E270" s="76"/>
      <c r="I270" s="75"/>
      <c r="J270" s="75"/>
      <c r="K270" s="76"/>
      <c r="L270" s="76"/>
      <c r="M270" s="76"/>
    </row>
    <row r="271" spans="3:13" ht="14.4" x14ac:dyDescent="0.3">
      <c r="C271" s="75"/>
      <c r="D271" s="76"/>
      <c r="E271" s="76"/>
      <c r="I271" s="75"/>
      <c r="J271" s="75"/>
      <c r="K271" s="76"/>
      <c r="L271" s="76"/>
      <c r="M271" s="76"/>
    </row>
    <row r="272" spans="3:13" ht="14.4" x14ac:dyDescent="0.3">
      <c r="C272" s="75"/>
      <c r="D272" s="76"/>
      <c r="E272" s="76"/>
      <c r="I272" s="75"/>
      <c r="J272" s="75"/>
      <c r="K272" s="76"/>
      <c r="L272" s="76"/>
      <c r="M272" s="76"/>
    </row>
    <row r="273" spans="3:13" ht="14.4" x14ac:dyDescent="0.3">
      <c r="C273" s="75"/>
      <c r="D273" s="76"/>
      <c r="E273" s="76"/>
      <c r="I273" s="75"/>
      <c r="J273" s="75"/>
      <c r="K273" s="76"/>
      <c r="L273" s="76"/>
      <c r="M273" s="76"/>
    </row>
    <row r="274" spans="3:13" ht="14.4" x14ac:dyDescent="0.3">
      <c r="C274" s="75"/>
      <c r="D274" s="76"/>
      <c r="E274" s="76"/>
      <c r="I274" s="75"/>
      <c r="J274" s="75"/>
      <c r="K274" s="76"/>
      <c r="L274" s="76"/>
      <c r="M274" s="76"/>
    </row>
    <row r="275" spans="3:13" ht="14.4" x14ac:dyDescent="0.3">
      <c r="C275" s="75"/>
      <c r="D275" s="76"/>
      <c r="E275" s="76"/>
      <c r="I275" s="75"/>
      <c r="J275" s="75"/>
      <c r="K275" s="76"/>
      <c r="L275" s="76"/>
      <c r="M275" s="76"/>
    </row>
    <row r="276" spans="3:13" ht="14.4" x14ac:dyDescent="0.3">
      <c r="C276" s="75"/>
      <c r="D276" s="76"/>
      <c r="E276" s="76"/>
      <c r="I276" s="75"/>
      <c r="J276" s="75"/>
      <c r="K276" s="76"/>
      <c r="L276" s="76"/>
      <c r="M276" s="76"/>
    </row>
    <row r="277" spans="3:13" ht="14.4" x14ac:dyDescent="0.3">
      <c r="C277" s="75"/>
      <c r="D277" s="76"/>
      <c r="E277" s="76"/>
      <c r="I277" s="75"/>
      <c r="J277" s="75"/>
      <c r="K277" s="76"/>
      <c r="L277" s="76"/>
      <c r="M277" s="76"/>
    </row>
    <row r="278" spans="3:13" ht="14.4" x14ac:dyDescent="0.3">
      <c r="C278" s="75"/>
      <c r="D278" s="76"/>
      <c r="E278" s="76"/>
      <c r="I278" s="75"/>
      <c r="J278" s="75"/>
      <c r="K278" s="76"/>
      <c r="L278" s="76"/>
      <c r="M278" s="76"/>
    </row>
    <row r="279" spans="3:13" ht="14.4" x14ac:dyDescent="0.3">
      <c r="C279" s="75"/>
      <c r="D279" s="76"/>
      <c r="E279" s="76"/>
      <c r="I279" s="75"/>
      <c r="J279" s="75"/>
      <c r="K279" s="76"/>
      <c r="L279" s="76"/>
      <c r="M279" s="76"/>
    </row>
    <row r="280" spans="3:13" ht="14.4" x14ac:dyDescent="0.3">
      <c r="C280" s="75"/>
      <c r="D280" s="76"/>
      <c r="E280" s="76"/>
      <c r="I280" s="75"/>
      <c r="J280" s="75"/>
      <c r="K280" s="76"/>
      <c r="L280" s="76"/>
      <c r="M280" s="76"/>
    </row>
    <row r="281" spans="3:13" ht="14.4" x14ac:dyDescent="0.3">
      <c r="C281" s="75"/>
      <c r="D281" s="76"/>
      <c r="E281" s="76"/>
      <c r="I281" s="75"/>
      <c r="J281" s="75"/>
      <c r="K281" s="76"/>
      <c r="L281" s="76"/>
      <c r="M281" s="76"/>
    </row>
    <row r="282" spans="3:13" ht="14.4" x14ac:dyDescent="0.3">
      <c r="C282" s="75"/>
      <c r="D282" s="76"/>
      <c r="E282" s="76"/>
      <c r="I282" s="75"/>
      <c r="J282" s="75"/>
      <c r="K282" s="76"/>
      <c r="L282" s="76"/>
      <c r="M282" s="76"/>
    </row>
    <row r="283" spans="3:13" ht="14.4" x14ac:dyDescent="0.3">
      <c r="C283" s="75"/>
      <c r="D283" s="76"/>
      <c r="E283" s="76"/>
      <c r="I283" s="75"/>
      <c r="J283" s="75"/>
      <c r="K283" s="76"/>
      <c r="L283" s="76"/>
      <c r="M283" s="76"/>
    </row>
    <row r="284" spans="3:13" ht="14.4" x14ac:dyDescent="0.3">
      <c r="C284" s="75"/>
      <c r="D284" s="76"/>
      <c r="E284" s="76"/>
      <c r="I284" s="75"/>
      <c r="J284" s="75"/>
      <c r="K284" s="76"/>
      <c r="L284" s="76"/>
      <c r="M284" s="76"/>
    </row>
    <row r="285" spans="3:13" ht="14.4" x14ac:dyDescent="0.3">
      <c r="C285" s="75"/>
      <c r="D285" s="76"/>
      <c r="E285" s="76"/>
      <c r="I285" s="75"/>
      <c r="J285" s="75"/>
      <c r="K285" s="76"/>
      <c r="L285" s="76"/>
      <c r="M285" s="76"/>
    </row>
    <row r="286" spans="3:13" ht="14.4" x14ac:dyDescent="0.3">
      <c r="C286" s="75"/>
      <c r="D286" s="76"/>
      <c r="E286" s="76"/>
      <c r="I286" s="75"/>
      <c r="J286" s="75"/>
      <c r="K286" s="76"/>
      <c r="L286" s="76"/>
      <c r="M286" s="76"/>
    </row>
    <row r="287" spans="3:13" ht="14.4" x14ac:dyDescent="0.3">
      <c r="C287" s="75"/>
      <c r="D287" s="76"/>
      <c r="E287" s="76"/>
      <c r="I287" s="75"/>
      <c r="J287" s="75"/>
      <c r="K287" s="76"/>
      <c r="L287" s="76"/>
      <c r="M287" s="76"/>
    </row>
    <row r="288" spans="3:13" ht="14.4" x14ac:dyDescent="0.3">
      <c r="C288" s="75"/>
      <c r="D288" s="76"/>
      <c r="E288" s="76"/>
      <c r="I288" s="75"/>
      <c r="J288" s="75"/>
      <c r="K288" s="76"/>
      <c r="L288" s="76"/>
      <c r="M288" s="76"/>
    </row>
    <row r="289" spans="3:13" ht="14.4" x14ac:dyDescent="0.3">
      <c r="C289" s="75"/>
      <c r="D289" s="76"/>
      <c r="E289" s="76"/>
      <c r="I289" s="75"/>
      <c r="J289" s="75"/>
      <c r="K289" s="76"/>
      <c r="L289" s="76"/>
      <c r="M289" s="76"/>
    </row>
    <row r="290" spans="3:13" ht="14.4" x14ac:dyDescent="0.3">
      <c r="C290" s="75"/>
      <c r="D290" s="76"/>
      <c r="E290" s="76"/>
      <c r="I290" s="75"/>
      <c r="J290" s="75"/>
      <c r="K290" s="76"/>
      <c r="L290" s="76"/>
      <c r="M290" s="76"/>
    </row>
    <row r="291" spans="3:13" ht="14.4" x14ac:dyDescent="0.3">
      <c r="C291" s="75"/>
      <c r="D291" s="76"/>
      <c r="E291" s="76"/>
      <c r="I291" s="75"/>
      <c r="J291" s="75"/>
      <c r="K291" s="76"/>
      <c r="L291" s="76"/>
      <c r="M291" s="76"/>
    </row>
    <row r="292" spans="3:13" ht="14.4" x14ac:dyDescent="0.3">
      <c r="C292" s="75"/>
      <c r="D292" s="76"/>
      <c r="E292" s="76"/>
      <c r="I292" s="75"/>
      <c r="J292" s="75"/>
      <c r="K292" s="76"/>
      <c r="L292" s="76"/>
      <c r="M292" s="76"/>
    </row>
    <row r="293" spans="3:13" ht="14.4" x14ac:dyDescent="0.3">
      <c r="C293" s="75"/>
      <c r="D293" s="76"/>
      <c r="E293" s="76"/>
      <c r="I293" s="75"/>
      <c r="J293" s="75"/>
      <c r="K293" s="76"/>
      <c r="L293" s="76"/>
      <c r="M293" s="76"/>
    </row>
    <row r="294" spans="3:13" ht="14.4" x14ac:dyDescent="0.3">
      <c r="C294" s="75"/>
      <c r="D294" s="76"/>
      <c r="E294" s="76"/>
      <c r="I294" s="75"/>
      <c r="J294" s="75"/>
      <c r="K294" s="76"/>
      <c r="L294" s="76"/>
      <c r="M294" s="76"/>
    </row>
    <row r="295" spans="3:13" ht="14.4" x14ac:dyDescent="0.3">
      <c r="C295" s="75"/>
      <c r="D295" s="76"/>
      <c r="E295" s="76"/>
      <c r="I295" s="75"/>
      <c r="J295" s="75"/>
      <c r="K295" s="76"/>
      <c r="L295" s="76"/>
      <c r="M295" s="76"/>
    </row>
    <row r="296" spans="3:13" ht="14.4" x14ac:dyDescent="0.3">
      <c r="C296" s="75"/>
      <c r="D296" s="76"/>
      <c r="E296" s="76"/>
      <c r="I296" s="75"/>
      <c r="J296" s="75"/>
      <c r="K296" s="76"/>
      <c r="L296" s="76"/>
      <c r="M296" s="76"/>
    </row>
    <row r="297" spans="3:13" ht="14.4" x14ac:dyDescent="0.3">
      <c r="C297" s="75"/>
      <c r="D297" s="76"/>
      <c r="E297" s="76"/>
      <c r="I297" s="75"/>
      <c r="J297" s="75"/>
      <c r="K297" s="76"/>
      <c r="L297" s="76"/>
      <c r="M297" s="76"/>
    </row>
    <row r="298" spans="3:13" ht="14.4" x14ac:dyDescent="0.3">
      <c r="C298" s="75"/>
      <c r="D298" s="76"/>
      <c r="E298" s="76"/>
      <c r="I298" s="75"/>
      <c r="J298" s="75"/>
      <c r="K298" s="76"/>
      <c r="L298" s="76"/>
      <c r="M298" s="76"/>
    </row>
    <row r="299" spans="3:13" ht="14.4" x14ac:dyDescent="0.3">
      <c r="C299" s="75"/>
      <c r="D299" s="76"/>
      <c r="E299" s="76"/>
      <c r="I299" s="75"/>
      <c r="J299" s="75"/>
      <c r="K299" s="76"/>
      <c r="L299" s="76"/>
      <c r="M299" s="76"/>
    </row>
    <row r="300" spans="3:13" ht="14.4" x14ac:dyDescent="0.3">
      <c r="C300" s="75"/>
      <c r="D300" s="76"/>
      <c r="E300" s="76"/>
      <c r="I300" s="75"/>
      <c r="J300" s="75"/>
      <c r="K300" s="76"/>
      <c r="L300" s="76"/>
      <c r="M300" s="76"/>
    </row>
    <row r="301" spans="3:13" ht="14.4" x14ac:dyDescent="0.3">
      <c r="C301" s="75"/>
      <c r="D301" s="76"/>
      <c r="E301" s="76"/>
      <c r="I301" s="75"/>
      <c r="J301" s="75"/>
      <c r="K301" s="76"/>
      <c r="L301" s="76"/>
      <c r="M301" s="76"/>
    </row>
    <row r="302" spans="3:13" ht="14.4" x14ac:dyDescent="0.3">
      <c r="C302" s="75"/>
      <c r="D302" s="76"/>
      <c r="E302" s="76"/>
      <c r="I302" s="75"/>
      <c r="J302" s="75"/>
      <c r="K302" s="76"/>
      <c r="L302" s="76"/>
      <c r="M302" s="76"/>
    </row>
    <row r="303" spans="3:13" ht="14.4" x14ac:dyDescent="0.3">
      <c r="C303" s="75"/>
      <c r="D303" s="76"/>
      <c r="E303" s="76"/>
      <c r="I303" s="75"/>
      <c r="J303" s="75"/>
      <c r="K303" s="76"/>
      <c r="L303" s="76"/>
      <c r="M303" s="76"/>
    </row>
    <row r="304" spans="3:13" ht="14.4" x14ac:dyDescent="0.3">
      <c r="C304" s="75"/>
      <c r="D304" s="76"/>
      <c r="E304" s="76"/>
      <c r="I304" s="75"/>
      <c r="J304" s="75"/>
      <c r="K304" s="76"/>
      <c r="L304" s="76"/>
      <c r="M304" s="76"/>
    </row>
    <row r="305" spans="3:13" ht="14.4" x14ac:dyDescent="0.3">
      <c r="C305" s="75"/>
      <c r="D305" s="76"/>
      <c r="E305" s="76"/>
      <c r="I305" s="75"/>
      <c r="J305" s="75"/>
      <c r="K305" s="76"/>
      <c r="L305" s="76"/>
      <c r="M305" s="76"/>
    </row>
    <row r="306" spans="3:13" ht="14.4" x14ac:dyDescent="0.3">
      <c r="C306" s="75"/>
      <c r="D306" s="76"/>
      <c r="E306" s="76"/>
      <c r="I306" s="75"/>
      <c r="J306" s="75"/>
      <c r="K306" s="76"/>
      <c r="L306" s="76"/>
      <c r="M306" s="76"/>
    </row>
    <row r="307" spans="3:13" ht="14.4" x14ac:dyDescent="0.3">
      <c r="C307" s="75"/>
      <c r="D307" s="76"/>
      <c r="E307" s="76"/>
      <c r="I307" s="75"/>
      <c r="J307" s="75"/>
      <c r="K307" s="76"/>
      <c r="L307" s="76"/>
      <c r="M307" s="76"/>
    </row>
    <row r="308" spans="3:13" ht="14.4" x14ac:dyDescent="0.3">
      <c r="C308" s="75"/>
      <c r="D308" s="76"/>
      <c r="E308" s="76"/>
      <c r="I308" s="75"/>
      <c r="J308" s="75"/>
      <c r="K308" s="76"/>
      <c r="L308" s="76"/>
      <c r="M308" s="76"/>
    </row>
    <row r="309" spans="3:13" ht="14.4" x14ac:dyDescent="0.3">
      <c r="C309" s="75"/>
      <c r="D309" s="76"/>
      <c r="E309" s="76"/>
      <c r="I309" s="75"/>
      <c r="J309" s="75"/>
      <c r="K309" s="76"/>
      <c r="L309" s="76"/>
      <c r="M309" s="76"/>
    </row>
    <row r="310" spans="3:13" ht="14.4" x14ac:dyDescent="0.3">
      <c r="C310" s="75"/>
      <c r="D310" s="76"/>
      <c r="E310" s="76"/>
      <c r="I310" s="75"/>
      <c r="J310" s="75"/>
      <c r="K310" s="76"/>
      <c r="L310" s="76"/>
      <c r="M310" s="76"/>
    </row>
    <row r="311" spans="3:13" ht="14.4" x14ac:dyDescent="0.3">
      <c r="C311" s="75"/>
      <c r="D311" s="76"/>
      <c r="E311" s="76"/>
      <c r="I311" s="75"/>
      <c r="J311" s="75"/>
      <c r="K311" s="76"/>
      <c r="L311" s="76"/>
      <c r="M311" s="76"/>
    </row>
    <row r="312" spans="3:13" ht="14.4" x14ac:dyDescent="0.3">
      <c r="C312" s="75"/>
      <c r="D312" s="76"/>
      <c r="E312" s="76"/>
      <c r="I312" s="75"/>
      <c r="J312" s="75"/>
      <c r="K312" s="76"/>
      <c r="L312" s="76"/>
      <c r="M312" s="76"/>
    </row>
    <row r="313" spans="3:13" ht="14.4" x14ac:dyDescent="0.3">
      <c r="C313" s="75"/>
      <c r="D313" s="76"/>
      <c r="E313" s="76"/>
      <c r="I313" s="75"/>
      <c r="J313" s="75"/>
      <c r="K313" s="76"/>
      <c r="L313" s="76"/>
      <c r="M313" s="76"/>
    </row>
    <row r="314" spans="3:13" ht="14.4" x14ac:dyDescent="0.3">
      <c r="C314" s="75"/>
      <c r="D314" s="76"/>
      <c r="E314" s="76"/>
      <c r="I314" s="75"/>
      <c r="J314" s="75"/>
      <c r="K314" s="76"/>
      <c r="L314" s="76"/>
      <c r="M314" s="76"/>
    </row>
    <row r="315" spans="3:13" ht="14.4" x14ac:dyDescent="0.3">
      <c r="C315" s="75"/>
      <c r="D315" s="76"/>
      <c r="E315" s="76"/>
      <c r="I315" s="75"/>
      <c r="J315" s="75"/>
      <c r="K315" s="76"/>
      <c r="L315" s="76"/>
      <c r="M315" s="76"/>
    </row>
    <row r="316" spans="3:13" ht="14.4" x14ac:dyDescent="0.3">
      <c r="C316" s="75"/>
      <c r="D316" s="76"/>
      <c r="E316" s="76"/>
      <c r="I316" s="75"/>
      <c r="J316" s="75"/>
      <c r="K316" s="76"/>
      <c r="L316" s="76"/>
      <c r="M316" s="76"/>
    </row>
    <row r="317" spans="3:13" ht="14.4" x14ac:dyDescent="0.3">
      <c r="C317" s="75"/>
      <c r="D317" s="76"/>
      <c r="E317" s="76"/>
      <c r="I317" s="75"/>
      <c r="J317" s="75"/>
      <c r="K317" s="76"/>
      <c r="L317" s="76"/>
      <c r="M317" s="76"/>
    </row>
    <row r="318" spans="3:13" ht="14.4" x14ac:dyDescent="0.3">
      <c r="C318" s="75"/>
      <c r="D318" s="76"/>
      <c r="E318" s="76"/>
      <c r="I318" s="75"/>
      <c r="J318" s="75"/>
      <c r="K318" s="76"/>
      <c r="L318" s="76"/>
      <c r="M318" s="76"/>
    </row>
    <row r="319" spans="3:13" ht="14.4" x14ac:dyDescent="0.3">
      <c r="C319" s="75"/>
      <c r="D319" s="76"/>
      <c r="E319" s="76"/>
      <c r="I319" s="75"/>
      <c r="J319" s="75"/>
      <c r="K319" s="76"/>
      <c r="L319" s="76"/>
      <c r="M319" s="76"/>
    </row>
    <row r="320" spans="3:13" ht="14.4" x14ac:dyDescent="0.3">
      <c r="C320" s="75"/>
      <c r="D320" s="76"/>
      <c r="E320" s="76"/>
      <c r="I320" s="75"/>
      <c r="J320" s="75"/>
      <c r="K320" s="76"/>
      <c r="L320" s="76"/>
      <c r="M320" s="76"/>
    </row>
    <row r="321" spans="3:13" ht="14.4" x14ac:dyDescent="0.3">
      <c r="C321" s="75"/>
      <c r="D321" s="76"/>
      <c r="E321" s="76"/>
      <c r="I321" s="75"/>
      <c r="J321" s="75"/>
      <c r="K321" s="76"/>
      <c r="L321" s="76"/>
      <c r="M321" s="76"/>
    </row>
    <row r="322" spans="3:13" ht="14.4" x14ac:dyDescent="0.3">
      <c r="C322" s="75"/>
      <c r="D322" s="76"/>
      <c r="E322" s="76"/>
      <c r="I322" s="75"/>
      <c r="J322" s="75"/>
      <c r="K322" s="76"/>
      <c r="L322" s="76"/>
      <c r="M322" s="76"/>
    </row>
    <row r="323" spans="3:13" ht="14.4" x14ac:dyDescent="0.3">
      <c r="C323" s="75"/>
      <c r="D323" s="76"/>
      <c r="E323" s="76"/>
      <c r="I323" s="75"/>
      <c r="J323" s="75"/>
      <c r="K323" s="76"/>
      <c r="L323" s="76"/>
      <c r="M323" s="76"/>
    </row>
    <row r="324" spans="3:13" ht="14.4" x14ac:dyDescent="0.3">
      <c r="C324" s="75"/>
      <c r="D324" s="76"/>
      <c r="E324" s="76"/>
      <c r="I324" s="75"/>
      <c r="J324" s="75"/>
      <c r="K324" s="76"/>
      <c r="L324" s="76"/>
      <c r="M324" s="76"/>
    </row>
    <row r="325" spans="3:13" ht="14.4" x14ac:dyDescent="0.3">
      <c r="C325" s="75"/>
      <c r="D325" s="76"/>
      <c r="E325" s="76"/>
      <c r="I325" s="75"/>
      <c r="J325" s="75"/>
      <c r="K325" s="76"/>
      <c r="L325" s="76"/>
      <c r="M325" s="76"/>
    </row>
    <row r="326" spans="3:13" ht="14.4" x14ac:dyDescent="0.3">
      <c r="C326" s="75"/>
      <c r="D326" s="76"/>
      <c r="E326" s="76"/>
      <c r="I326" s="75"/>
      <c r="J326" s="75"/>
      <c r="K326" s="76"/>
      <c r="L326" s="76"/>
      <c r="M326" s="76"/>
    </row>
    <row r="327" spans="3:13" ht="14.4" x14ac:dyDescent="0.3">
      <c r="C327" s="75"/>
      <c r="D327" s="76"/>
      <c r="E327" s="76"/>
      <c r="I327" s="75"/>
      <c r="J327" s="75"/>
      <c r="K327" s="76"/>
      <c r="L327" s="76"/>
      <c r="M327" s="76"/>
    </row>
    <row r="328" spans="3:13" ht="14.4" x14ac:dyDescent="0.3">
      <c r="C328" s="75"/>
      <c r="D328" s="76"/>
      <c r="E328" s="76"/>
      <c r="I328" s="75"/>
      <c r="J328" s="75"/>
      <c r="K328" s="76"/>
      <c r="L328" s="76"/>
      <c r="M328" s="76"/>
    </row>
    <row r="329" spans="3:13" ht="14.4" x14ac:dyDescent="0.3">
      <c r="C329" s="75"/>
      <c r="D329" s="76"/>
      <c r="E329" s="76"/>
      <c r="I329" s="75"/>
      <c r="J329" s="75"/>
      <c r="K329" s="76"/>
      <c r="L329" s="76"/>
      <c r="M329" s="76"/>
    </row>
    <row r="330" spans="3:13" ht="14.4" x14ac:dyDescent="0.3">
      <c r="C330" s="75"/>
      <c r="D330" s="76"/>
      <c r="E330" s="76"/>
      <c r="I330" s="75"/>
      <c r="J330" s="75"/>
      <c r="K330" s="76"/>
      <c r="L330" s="76"/>
      <c r="M330" s="76"/>
    </row>
    <row r="331" spans="3:13" ht="14.4" x14ac:dyDescent="0.3">
      <c r="C331" s="75"/>
      <c r="D331" s="76"/>
      <c r="E331" s="76"/>
      <c r="I331" s="75"/>
      <c r="J331" s="75"/>
      <c r="K331" s="76"/>
      <c r="L331" s="76"/>
      <c r="M331" s="76"/>
    </row>
    <row r="332" spans="3:13" ht="14.4" x14ac:dyDescent="0.3">
      <c r="C332" s="75"/>
      <c r="D332" s="76"/>
      <c r="E332" s="76"/>
      <c r="I332" s="75"/>
      <c r="J332" s="75"/>
      <c r="K332" s="76"/>
      <c r="L332" s="76"/>
      <c r="M332" s="76"/>
    </row>
    <row r="333" spans="3:13" ht="14.4" x14ac:dyDescent="0.3">
      <c r="C333" s="75"/>
      <c r="D333" s="76"/>
      <c r="E333" s="76"/>
      <c r="I333" s="75"/>
      <c r="J333" s="75"/>
      <c r="K333" s="76"/>
      <c r="L333" s="76"/>
      <c r="M333" s="76"/>
    </row>
    <row r="334" spans="3:13" ht="14.4" x14ac:dyDescent="0.3">
      <c r="C334" s="75"/>
      <c r="D334" s="76"/>
      <c r="E334" s="76"/>
      <c r="I334" s="75"/>
      <c r="J334" s="75"/>
      <c r="K334" s="76"/>
      <c r="L334" s="76"/>
      <c r="M334" s="76"/>
    </row>
    <row r="335" spans="3:13" ht="14.4" x14ac:dyDescent="0.3">
      <c r="C335" s="75"/>
      <c r="D335" s="76"/>
      <c r="E335" s="76"/>
      <c r="I335" s="75"/>
      <c r="J335" s="75"/>
      <c r="K335" s="76"/>
      <c r="L335" s="76"/>
      <c r="M335" s="76"/>
    </row>
    <row r="336" spans="3:13" ht="14.4" x14ac:dyDescent="0.3">
      <c r="C336" s="75"/>
      <c r="D336" s="76"/>
      <c r="E336" s="76"/>
      <c r="I336" s="75"/>
      <c r="J336" s="75"/>
      <c r="K336" s="76"/>
      <c r="L336" s="76"/>
      <c r="M336" s="76"/>
    </row>
    <row r="337" spans="3:13" ht="14.4" x14ac:dyDescent="0.3">
      <c r="C337" s="75"/>
      <c r="D337" s="76"/>
      <c r="E337" s="76"/>
      <c r="I337" s="75"/>
      <c r="J337" s="75"/>
      <c r="K337" s="76"/>
      <c r="L337" s="76"/>
      <c r="M337" s="76"/>
    </row>
    <row r="338" spans="3:13" ht="14.4" x14ac:dyDescent="0.3">
      <c r="C338" s="75"/>
      <c r="D338" s="76"/>
      <c r="E338" s="76"/>
      <c r="I338" s="75"/>
      <c r="J338" s="75"/>
      <c r="K338" s="76"/>
      <c r="L338" s="76"/>
      <c r="M338" s="76"/>
    </row>
    <row r="339" spans="3:13" ht="14.4" x14ac:dyDescent="0.3">
      <c r="C339" s="75"/>
      <c r="D339" s="76"/>
      <c r="E339" s="76"/>
      <c r="I339" s="75"/>
      <c r="J339" s="75"/>
      <c r="K339" s="76"/>
      <c r="L339" s="76"/>
      <c r="M339" s="76"/>
    </row>
    <row r="340" spans="3:13" ht="14.4" x14ac:dyDescent="0.3">
      <c r="C340" s="75"/>
      <c r="D340" s="76"/>
      <c r="E340" s="76"/>
      <c r="I340" s="75"/>
      <c r="J340" s="75"/>
      <c r="K340" s="76"/>
      <c r="L340" s="76"/>
      <c r="M340" s="76"/>
    </row>
    <row r="341" spans="3:13" ht="14.4" x14ac:dyDescent="0.3">
      <c r="C341" s="75"/>
      <c r="D341" s="76"/>
      <c r="E341" s="76"/>
      <c r="I341" s="75"/>
      <c r="J341" s="75"/>
      <c r="K341" s="76"/>
      <c r="L341" s="76"/>
      <c r="M341" s="76"/>
    </row>
    <row r="342" spans="3:13" ht="14.4" x14ac:dyDescent="0.3">
      <c r="C342" s="75"/>
      <c r="D342" s="76"/>
      <c r="E342" s="76"/>
      <c r="I342" s="75"/>
      <c r="J342" s="75"/>
      <c r="K342" s="76"/>
      <c r="L342" s="76"/>
      <c r="M342" s="76"/>
    </row>
    <row r="343" spans="3:13" ht="14.4" x14ac:dyDescent="0.3">
      <c r="C343" s="75"/>
      <c r="D343" s="76"/>
      <c r="E343" s="76"/>
      <c r="I343" s="75"/>
      <c r="J343" s="75"/>
      <c r="K343" s="76"/>
      <c r="L343" s="76"/>
      <c r="M343" s="76"/>
    </row>
    <row r="344" spans="3:13" ht="14.4" x14ac:dyDescent="0.3">
      <c r="C344" s="75"/>
      <c r="D344" s="76"/>
      <c r="E344" s="76"/>
      <c r="I344" s="75"/>
      <c r="J344" s="75"/>
      <c r="K344" s="76"/>
      <c r="L344" s="76"/>
      <c r="M344" s="76"/>
    </row>
    <row r="345" spans="3:13" ht="14.4" x14ac:dyDescent="0.3">
      <c r="C345" s="75"/>
      <c r="D345" s="76"/>
      <c r="E345" s="76"/>
      <c r="I345" s="75"/>
      <c r="J345" s="75"/>
      <c r="K345" s="76"/>
      <c r="L345" s="76"/>
      <c r="M345" s="76"/>
    </row>
    <row r="346" spans="3:13" ht="14.4" x14ac:dyDescent="0.3">
      <c r="C346" s="75"/>
      <c r="D346" s="76"/>
      <c r="E346" s="76"/>
      <c r="I346" s="75"/>
      <c r="J346" s="75"/>
      <c r="K346" s="76"/>
      <c r="L346" s="76"/>
      <c r="M346" s="76"/>
    </row>
    <row r="347" spans="3:13" ht="14.4" x14ac:dyDescent="0.3">
      <c r="C347" s="75"/>
      <c r="D347" s="76"/>
      <c r="E347" s="76"/>
      <c r="I347" s="75"/>
      <c r="J347" s="75"/>
      <c r="K347" s="76"/>
      <c r="L347" s="76"/>
      <c r="M347" s="76"/>
    </row>
    <row r="348" spans="3:13" ht="14.4" x14ac:dyDescent="0.3">
      <c r="C348" s="75"/>
      <c r="D348" s="76"/>
      <c r="E348" s="76"/>
      <c r="I348" s="75"/>
      <c r="J348" s="75"/>
      <c r="K348" s="76"/>
      <c r="L348" s="76"/>
      <c r="M348" s="76"/>
    </row>
    <row r="349" spans="3:13" ht="14.4" x14ac:dyDescent="0.3">
      <c r="C349" s="75"/>
      <c r="D349" s="76"/>
      <c r="E349" s="76"/>
      <c r="I349" s="75"/>
      <c r="J349" s="75"/>
      <c r="K349" s="76"/>
      <c r="L349" s="76"/>
      <c r="M349" s="76"/>
    </row>
    <row r="350" spans="3:13" ht="14.4" x14ac:dyDescent="0.3">
      <c r="C350" s="75"/>
      <c r="D350" s="76"/>
      <c r="E350" s="76"/>
      <c r="I350" s="75"/>
      <c r="J350" s="75"/>
      <c r="K350" s="76"/>
      <c r="L350" s="76"/>
      <c r="M350" s="76"/>
    </row>
    <row r="351" spans="3:13" ht="14.4" x14ac:dyDescent="0.3">
      <c r="C351" s="75"/>
      <c r="D351" s="76"/>
      <c r="E351" s="76"/>
      <c r="I351" s="75"/>
      <c r="J351" s="75"/>
      <c r="K351" s="76"/>
      <c r="L351" s="76"/>
      <c r="M351" s="76"/>
    </row>
    <row r="352" spans="3:13" ht="14.4" x14ac:dyDescent="0.3">
      <c r="C352" s="75"/>
      <c r="D352" s="76"/>
      <c r="E352" s="76"/>
      <c r="I352" s="75"/>
      <c r="J352" s="75"/>
      <c r="K352" s="76"/>
      <c r="L352" s="76"/>
      <c r="M352" s="76"/>
    </row>
    <row r="353" spans="3:13" ht="14.4" x14ac:dyDescent="0.3">
      <c r="C353" s="75"/>
      <c r="D353" s="76"/>
      <c r="E353" s="76"/>
      <c r="I353" s="75"/>
      <c r="J353" s="75"/>
      <c r="K353" s="76"/>
      <c r="L353" s="76"/>
      <c r="M353" s="76"/>
    </row>
    <row r="354" spans="3:13" ht="14.4" x14ac:dyDescent="0.3">
      <c r="C354" s="75"/>
      <c r="D354" s="76"/>
      <c r="E354" s="76"/>
      <c r="I354" s="75"/>
      <c r="J354" s="75"/>
      <c r="K354" s="76"/>
      <c r="L354" s="76"/>
      <c r="M354" s="76"/>
    </row>
    <row r="355" spans="3:13" ht="14.4" x14ac:dyDescent="0.3">
      <c r="C355" s="75"/>
      <c r="D355" s="76"/>
      <c r="E355" s="76"/>
      <c r="I355" s="75"/>
      <c r="J355" s="75"/>
      <c r="K355" s="76"/>
      <c r="L355" s="76"/>
      <c r="M355" s="76"/>
    </row>
    <row r="356" spans="3:13" ht="14.4" x14ac:dyDescent="0.3">
      <c r="C356" s="75"/>
      <c r="D356" s="76"/>
      <c r="E356" s="76"/>
      <c r="I356" s="75"/>
      <c r="J356" s="75"/>
      <c r="K356" s="76"/>
      <c r="L356" s="76"/>
      <c r="M356" s="76"/>
    </row>
    <row r="357" spans="3:13" ht="14.4" x14ac:dyDescent="0.3">
      <c r="C357" s="75"/>
      <c r="D357" s="76"/>
      <c r="E357" s="76"/>
      <c r="I357" s="75"/>
      <c r="J357" s="75"/>
      <c r="K357" s="76"/>
      <c r="L357" s="76"/>
      <c r="M357" s="76"/>
    </row>
    <row r="358" spans="3:13" ht="14.4" x14ac:dyDescent="0.3">
      <c r="C358" s="75"/>
      <c r="D358" s="76"/>
      <c r="E358" s="76"/>
      <c r="I358" s="75"/>
      <c r="J358" s="75"/>
      <c r="K358" s="76"/>
      <c r="L358" s="76"/>
      <c r="M358" s="76"/>
    </row>
    <row r="359" spans="3:13" ht="14.4" x14ac:dyDescent="0.3">
      <c r="C359" s="75"/>
      <c r="D359" s="76"/>
      <c r="E359" s="76"/>
      <c r="I359" s="75"/>
      <c r="J359" s="75"/>
      <c r="K359" s="76"/>
      <c r="L359" s="76"/>
      <c r="M359" s="76"/>
    </row>
    <row r="360" spans="3:13" ht="14.4" x14ac:dyDescent="0.3">
      <c r="C360" s="75"/>
      <c r="D360" s="76"/>
      <c r="E360" s="76"/>
      <c r="I360" s="75"/>
      <c r="J360" s="75"/>
      <c r="K360" s="76"/>
      <c r="L360" s="76"/>
      <c r="M360" s="76"/>
    </row>
    <row r="361" spans="3:13" ht="14.4" x14ac:dyDescent="0.3">
      <c r="C361" s="75"/>
      <c r="D361" s="76"/>
      <c r="E361" s="76"/>
      <c r="I361" s="75"/>
      <c r="J361" s="75"/>
      <c r="K361" s="76"/>
      <c r="L361" s="76"/>
      <c r="M361" s="76"/>
    </row>
    <row r="362" spans="3:13" ht="14.4" x14ac:dyDescent="0.3">
      <c r="C362" s="75"/>
      <c r="D362" s="76"/>
      <c r="E362" s="76"/>
      <c r="I362" s="75"/>
      <c r="J362" s="75"/>
      <c r="K362" s="76"/>
      <c r="L362" s="76"/>
      <c r="M362" s="76"/>
    </row>
    <row r="363" spans="3:13" ht="14.4" x14ac:dyDescent="0.3">
      <c r="C363" s="75"/>
      <c r="D363" s="76"/>
      <c r="E363" s="76"/>
      <c r="I363" s="75"/>
      <c r="J363" s="75"/>
      <c r="K363" s="76"/>
      <c r="L363" s="76"/>
      <c r="M363" s="76"/>
    </row>
    <row r="364" spans="3:13" ht="14.4" x14ac:dyDescent="0.3">
      <c r="C364" s="75"/>
      <c r="D364" s="76"/>
      <c r="E364" s="76"/>
      <c r="I364" s="75"/>
      <c r="J364" s="75"/>
      <c r="K364" s="76"/>
      <c r="L364" s="76"/>
      <c r="M364" s="76"/>
    </row>
    <row r="365" spans="3:13" ht="14.4" x14ac:dyDescent="0.3">
      <c r="C365" s="75"/>
      <c r="D365" s="76"/>
      <c r="E365" s="76"/>
      <c r="I365" s="75"/>
      <c r="J365" s="75"/>
      <c r="K365" s="76"/>
      <c r="L365" s="76"/>
      <c r="M365" s="76"/>
    </row>
    <row r="366" spans="3:13" ht="14.4" x14ac:dyDescent="0.3">
      <c r="C366" s="75"/>
      <c r="D366" s="76"/>
      <c r="E366" s="76"/>
      <c r="I366" s="75"/>
      <c r="J366" s="75"/>
      <c r="K366" s="76"/>
      <c r="L366" s="76"/>
      <c r="M366" s="76"/>
    </row>
    <row r="367" spans="3:13" ht="14.4" x14ac:dyDescent="0.3">
      <c r="C367" s="75"/>
      <c r="D367" s="76"/>
      <c r="E367" s="76"/>
      <c r="I367" s="75"/>
      <c r="J367" s="75"/>
      <c r="K367" s="76"/>
      <c r="L367" s="76"/>
      <c r="M367" s="76"/>
    </row>
    <row r="368" spans="3:13" ht="14.4" x14ac:dyDescent="0.3">
      <c r="C368" s="75"/>
      <c r="D368" s="76"/>
      <c r="E368" s="76"/>
      <c r="I368" s="75"/>
      <c r="J368" s="75"/>
      <c r="K368" s="76"/>
      <c r="L368" s="76"/>
      <c r="M368" s="76"/>
    </row>
    <row r="369" spans="3:13" ht="14.4" x14ac:dyDescent="0.3">
      <c r="C369" s="75"/>
      <c r="D369" s="76"/>
      <c r="E369" s="76"/>
      <c r="I369" s="75"/>
      <c r="J369" s="75"/>
      <c r="K369" s="76"/>
      <c r="L369" s="76"/>
      <c r="M369" s="76"/>
    </row>
    <row r="370" spans="3:13" ht="14.4" x14ac:dyDescent="0.3">
      <c r="C370" s="75"/>
      <c r="D370" s="76"/>
      <c r="E370" s="76"/>
      <c r="I370" s="75"/>
      <c r="J370" s="75"/>
      <c r="K370" s="76"/>
      <c r="L370" s="76"/>
      <c r="M370" s="76"/>
    </row>
    <row r="371" spans="3:13" ht="14.4" x14ac:dyDescent="0.3">
      <c r="C371" s="75"/>
      <c r="D371" s="76"/>
      <c r="E371" s="76"/>
      <c r="I371" s="75"/>
      <c r="J371" s="75"/>
      <c r="K371" s="76"/>
      <c r="L371" s="76"/>
      <c r="M371" s="76"/>
    </row>
    <row r="372" spans="3:13" ht="14.4" x14ac:dyDescent="0.3">
      <c r="C372" s="75"/>
      <c r="D372" s="76"/>
      <c r="E372" s="76"/>
      <c r="I372" s="75"/>
      <c r="J372" s="75"/>
      <c r="K372" s="76"/>
      <c r="L372" s="76"/>
      <c r="M372" s="76"/>
    </row>
    <row r="373" spans="3:13" ht="14.4" x14ac:dyDescent="0.3">
      <c r="C373" s="75"/>
      <c r="D373" s="76"/>
      <c r="E373" s="76"/>
      <c r="I373" s="75"/>
      <c r="J373" s="75"/>
      <c r="K373" s="76"/>
      <c r="L373" s="76"/>
      <c r="M373" s="76"/>
    </row>
    <row r="374" spans="3:13" ht="14.4" x14ac:dyDescent="0.3">
      <c r="C374" s="75"/>
      <c r="D374" s="76"/>
      <c r="E374" s="76"/>
      <c r="I374" s="75"/>
      <c r="J374" s="75"/>
      <c r="K374" s="76"/>
      <c r="L374" s="76"/>
      <c r="M374" s="76"/>
    </row>
    <row r="375" spans="3:13" ht="14.4" x14ac:dyDescent="0.3">
      <c r="C375" s="75"/>
      <c r="D375" s="76"/>
      <c r="E375" s="76"/>
      <c r="I375" s="75"/>
      <c r="J375" s="75"/>
      <c r="K375" s="76"/>
      <c r="L375" s="76"/>
      <c r="M375" s="76"/>
    </row>
    <row r="376" spans="3:13" ht="14.4" x14ac:dyDescent="0.3">
      <c r="C376" s="75"/>
      <c r="D376" s="76"/>
      <c r="E376" s="76"/>
      <c r="I376" s="75"/>
      <c r="J376" s="75"/>
      <c r="K376" s="76"/>
      <c r="L376" s="76"/>
      <c r="M376" s="76"/>
    </row>
    <row r="377" spans="3:13" ht="14.4" x14ac:dyDescent="0.3">
      <c r="C377" s="75"/>
      <c r="D377" s="76"/>
      <c r="E377" s="76"/>
      <c r="I377" s="75"/>
      <c r="J377" s="75"/>
      <c r="K377" s="76"/>
      <c r="L377" s="76"/>
      <c r="M377" s="76"/>
    </row>
    <row r="378" spans="3:13" ht="14.4" x14ac:dyDescent="0.3">
      <c r="C378" s="75"/>
      <c r="D378" s="76"/>
      <c r="E378" s="76"/>
      <c r="I378" s="75"/>
      <c r="J378" s="75"/>
      <c r="K378" s="76"/>
      <c r="L378" s="76"/>
      <c r="M378" s="76"/>
    </row>
    <row r="379" spans="3:13" ht="14.4" x14ac:dyDescent="0.3">
      <c r="C379" s="75"/>
      <c r="D379" s="76"/>
      <c r="E379" s="76"/>
      <c r="I379" s="75"/>
      <c r="J379" s="75"/>
      <c r="K379" s="76"/>
      <c r="L379" s="76"/>
      <c r="M379" s="76"/>
    </row>
    <row r="380" spans="3:13" ht="14.4" x14ac:dyDescent="0.3">
      <c r="C380" s="75"/>
      <c r="D380" s="76"/>
      <c r="E380" s="76"/>
      <c r="I380" s="75"/>
      <c r="J380" s="75"/>
      <c r="K380" s="76"/>
      <c r="L380" s="76"/>
      <c r="M380" s="76"/>
    </row>
    <row r="381" spans="3:13" ht="14.4" x14ac:dyDescent="0.3">
      <c r="C381" s="75"/>
      <c r="D381" s="76"/>
      <c r="E381" s="76"/>
      <c r="I381" s="75"/>
      <c r="J381" s="75"/>
      <c r="K381" s="76"/>
      <c r="L381" s="76"/>
      <c r="M381" s="76"/>
    </row>
    <row r="382" spans="3:13" ht="14.4" x14ac:dyDescent="0.3">
      <c r="C382" s="75"/>
      <c r="D382" s="76"/>
      <c r="E382" s="76"/>
      <c r="I382" s="75"/>
      <c r="J382" s="75"/>
      <c r="K382" s="76"/>
      <c r="L382" s="76"/>
      <c r="M382" s="76"/>
    </row>
    <row r="383" spans="3:13" ht="14.4" x14ac:dyDescent="0.3">
      <c r="C383" s="75"/>
      <c r="D383" s="76"/>
      <c r="E383" s="76"/>
      <c r="I383" s="75"/>
      <c r="J383" s="75"/>
      <c r="K383" s="76"/>
      <c r="L383" s="76"/>
      <c r="M383" s="76"/>
    </row>
    <row r="384" spans="3:13" ht="14.4" x14ac:dyDescent="0.3">
      <c r="C384" s="75"/>
      <c r="D384" s="76"/>
      <c r="E384" s="76"/>
      <c r="I384" s="75"/>
      <c r="J384" s="75"/>
      <c r="K384" s="76"/>
      <c r="L384" s="76"/>
      <c r="M384" s="76"/>
    </row>
    <row r="385" spans="3:13" ht="14.4" x14ac:dyDescent="0.3">
      <c r="C385" s="75"/>
      <c r="D385" s="76"/>
      <c r="E385" s="76"/>
      <c r="I385" s="75"/>
      <c r="J385" s="75"/>
      <c r="K385" s="76"/>
      <c r="L385" s="76"/>
      <c r="M385" s="76"/>
    </row>
    <row r="386" spans="3:13" ht="14.4" x14ac:dyDescent="0.3">
      <c r="C386" s="75"/>
      <c r="D386" s="76"/>
      <c r="E386" s="76"/>
      <c r="I386" s="75"/>
      <c r="J386" s="75"/>
      <c r="K386" s="76"/>
      <c r="L386" s="76"/>
      <c r="M386" s="76"/>
    </row>
    <row r="387" spans="3:13" ht="14.4" x14ac:dyDescent="0.3">
      <c r="C387" s="75"/>
      <c r="D387" s="76"/>
      <c r="E387" s="76"/>
      <c r="I387" s="75"/>
      <c r="J387" s="75"/>
      <c r="K387" s="76"/>
      <c r="L387" s="76"/>
      <c r="M387" s="76"/>
    </row>
    <row r="388" spans="3:13" ht="14.4" x14ac:dyDescent="0.3">
      <c r="C388" s="75"/>
      <c r="D388" s="76"/>
      <c r="E388" s="76"/>
      <c r="I388" s="75"/>
      <c r="J388" s="75"/>
      <c r="K388" s="76"/>
      <c r="L388" s="76"/>
      <c r="M388" s="76"/>
    </row>
    <row r="389" spans="3:13" ht="14.4" x14ac:dyDescent="0.3">
      <c r="C389" s="75"/>
      <c r="D389" s="76"/>
      <c r="E389" s="76"/>
      <c r="I389" s="75"/>
      <c r="J389" s="75"/>
      <c r="K389" s="76"/>
      <c r="L389" s="76"/>
      <c r="M389" s="76"/>
    </row>
    <row r="390" spans="3:13" ht="14.4" x14ac:dyDescent="0.3">
      <c r="C390" s="75"/>
      <c r="D390" s="76"/>
      <c r="E390" s="76"/>
      <c r="I390" s="75"/>
      <c r="J390" s="75"/>
      <c r="K390" s="76"/>
      <c r="L390" s="76"/>
      <c r="M390" s="76"/>
    </row>
    <row r="391" spans="3:13" ht="14.4" x14ac:dyDescent="0.3">
      <c r="C391" s="75"/>
      <c r="D391" s="76"/>
      <c r="E391" s="76"/>
      <c r="I391" s="75"/>
      <c r="J391" s="75"/>
      <c r="K391" s="76"/>
      <c r="L391" s="76"/>
      <c r="M391" s="76"/>
    </row>
    <row r="392" spans="3:13" ht="14.4" x14ac:dyDescent="0.3">
      <c r="C392" s="75"/>
      <c r="D392" s="76"/>
      <c r="E392" s="76"/>
      <c r="I392" s="75"/>
      <c r="J392" s="75"/>
      <c r="K392" s="76"/>
      <c r="L392" s="76"/>
      <c r="M392" s="76"/>
    </row>
    <row r="393" spans="3:13" ht="14.4" x14ac:dyDescent="0.3">
      <c r="C393" s="75"/>
      <c r="D393" s="76"/>
      <c r="E393" s="76"/>
      <c r="I393" s="75"/>
      <c r="J393" s="75"/>
      <c r="K393" s="76"/>
      <c r="L393" s="76"/>
      <c r="M393" s="76"/>
    </row>
    <row r="394" spans="3:13" ht="14.4" x14ac:dyDescent="0.3">
      <c r="C394" s="75"/>
      <c r="D394" s="76"/>
      <c r="E394" s="76"/>
      <c r="I394" s="75"/>
      <c r="J394" s="75"/>
      <c r="K394" s="76"/>
      <c r="L394" s="76"/>
      <c r="M394" s="76"/>
    </row>
    <row r="395" spans="3:13" ht="14.4" x14ac:dyDescent="0.3">
      <c r="C395" s="75"/>
      <c r="D395" s="76"/>
      <c r="E395" s="76"/>
      <c r="I395" s="75"/>
      <c r="J395" s="75"/>
      <c r="K395" s="76"/>
      <c r="L395" s="76"/>
      <c r="M395" s="76"/>
    </row>
    <row r="396" spans="3:13" ht="14.4" x14ac:dyDescent="0.3">
      <c r="C396" s="75"/>
      <c r="D396" s="76"/>
      <c r="E396" s="76"/>
      <c r="I396" s="75"/>
      <c r="J396" s="75"/>
      <c r="K396" s="76"/>
      <c r="L396" s="76"/>
      <c r="M396" s="76"/>
    </row>
    <row r="397" spans="3:13" ht="14.4" x14ac:dyDescent="0.3">
      <c r="C397" s="75"/>
      <c r="D397" s="76"/>
      <c r="E397" s="76"/>
      <c r="I397" s="75"/>
      <c r="J397" s="75"/>
      <c r="K397" s="76"/>
      <c r="L397" s="76"/>
      <c r="M397" s="76"/>
    </row>
    <row r="398" spans="3:13" ht="14.4" x14ac:dyDescent="0.3">
      <c r="C398" s="75"/>
      <c r="D398" s="76"/>
      <c r="E398" s="76"/>
      <c r="I398" s="75"/>
      <c r="J398" s="75"/>
      <c r="K398" s="76"/>
      <c r="L398" s="76"/>
      <c r="M398" s="76"/>
    </row>
    <row r="399" spans="3:13" ht="14.4" x14ac:dyDescent="0.3">
      <c r="C399" s="75"/>
      <c r="D399" s="76"/>
      <c r="E399" s="76"/>
      <c r="I399" s="75"/>
      <c r="J399" s="75"/>
      <c r="K399" s="76"/>
      <c r="L399" s="76"/>
      <c r="M399" s="76"/>
    </row>
    <row r="400" spans="3:13" ht="14.4" x14ac:dyDescent="0.3">
      <c r="C400" s="75"/>
      <c r="D400" s="76"/>
      <c r="E400" s="76"/>
      <c r="I400" s="75"/>
      <c r="J400" s="75"/>
      <c r="K400" s="76"/>
      <c r="L400" s="76"/>
      <c r="M400" s="76"/>
    </row>
    <row r="401" spans="3:13" ht="14.4" x14ac:dyDescent="0.3">
      <c r="C401" s="75"/>
      <c r="D401" s="76"/>
      <c r="E401" s="76"/>
      <c r="I401" s="75"/>
      <c r="J401" s="75"/>
      <c r="K401" s="76"/>
      <c r="L401" s="76"/>
      <c r="M401" s="76"/>
    </row>
    <row r="402" spans="3:13" ht="14.4" x14ac:dyDescent="0.3">
      <c r="C402" s="75"/>
      <c r="D402" s="76"/>
      <c r="E402" s="76"/>
      <c r="I402" s="75"/>
      <c r="J402" s="75"/>
      <c r="K402" s="76"/>
      <c r="L402" s="76"/>
      <c r="M402" s="76"/>
    </row>
    <row r="403" spans="3:13" ht="14.4" x14ac:dyDescent="0.3">
      <c r="C403" s="75"/>
      <c r="D403" s="76"/>
      <c r="E403" s="76"/>
      <c r="I403" s="75"/>
      <c r="J403" s="75"/>
      <c r="K403" s="76"/>
      <c r="L403" s="76"/>
      <c r="M403" s="76"/>
    </row>
    <row r="404" spans="3:13" ht="14.4" x14ac:dyDescent="0.3">
      <c r="C404" s="75"/>
      <c r="D404" s="76"/>
      <c r="E404" s="76"/>
      <c r="I404" s="75"/>
      <c r="J404" s="75"/>
      <c r="K404" s="76"/>
      <c r="L404" s="76"/>
      <c r="M404" s="76"/>
    </row>
    <row r="405" spans="3:13" ht="14.4" x14ac:dyDescent="0.3">
      <c r="C405" s="75"/>
      <c r="D405" s="76"/>
      <c r="E405" s="76"/>
      <c r="I405" s="75"/>
      <c r="J405" s="75"/>
      <c r="K405" s="76"/>
      <c r="L405" s="76"/>
      <c r="M405" s="76"/>
    </row>
    <row r="406" spans="3:13" ht="14.4" x14ac:dyDescent="0.3">
      <c r="C406" s="75"/>
      <c r="D406" s="76"/>
      <c r="E406" s="76"/>
      <c r="I406" s="75"/>
      <c r="J406" s="75"/>
      <c r="K406" s="76"/>
      <c r="L406" s="76"/>
      <c r="M406" s="76"/>
    </row>
    <row r="407" spans="3:13" ht="14.4" x14ac:dyDescent="0.3">
      <c r="C407" s="75"/>
      <c r="D407" s="76"/>
      <c r="E407" s="76"/>
      <c r="I407" s="75"/>
      <c r="J407" s="75"/>
      <c r="K407" s="76"/>
      <c r="L407" s="76"/>
      <c r="M407" s="76"/>
    </row>
    <row r="408" spans="3:13" ht="14.4" x14ac:dyDescent="0.3">
      <c r="C408" s="75"/>
      <c r="D408" s="76"/>
      <c r="E408" s="76"/>
      <c r="I408" s="75"/>
      <c r="J408" s="75"/>
      <c r="K408" s="76"/>
      <c r="L408" s="76"/>
      <c r="M408" s="76"/>
    </row>
    <row r="409" spans="3:13" ht="14.4" x14ac:dyDescent="0.3">
      <c r="C409" s="75"/>
      <c r="D409" s="76"/>
      <c r="E409" s="76"/>
      <c r="I409" s="75"/>
      <c r="J409" s="75"/>
      <c r="K409" s="76"/>
      <c r="L409" s="76"/>
      <c r="M409" s="76"/>
    </row>
    <row r="410" spans="3:13" ht="14.4" x14ac:dyDescent="0.3">
      <c r="C410" s="75"/>
      <c r="D410" s="76"/>
      <c r="E410" s="76"/>
      <c r="I410" s="75"/>
      <c r="J410" s="75"/>
      <c r="K410" s="76"/>
      <c r="L410" s="76"/>
      <c r="M410" s="76"/>
    </row>
    <row r="411" spans="3:13" ht="14.4" x14ac:dyDescent="0.3">
      <c r="C411" s="75"/>
      <c r="D411" s="76"/>
      <c r="E411" s="76"/>
      <c r="I411" s="75"/>
      <c r="J411" s="75"/>
      <c r="K411" s="76"/>
      <c r="L411" s="76"/>
      <c r="M411" s="76"/>
    </row>
    <row r="412" spans="3:13" ht="14.4" x14ac:dyDescent="0.3">
      <c r="C412" s="75"/>
      <c r="D412" s="76"/>
      <c r="E412" s="76"/>
      <c r="I412" s="75"/>
      <c r="J412" s="75"/>
      <c r="K412" s="76"/>
      <c r="L412" s="76"/>
      <c r="M412" s="76"/>
    </row>
    <row r="413" spans="3:13" ht="14.4" x14ac:dyDescent="0.3">
      <c r="C413" s="75"/>
      <c r="D413" s="76"/>
      <c r="E413" s="76"/>
      <c r="I413" s="75"/>
      <c r="J413" s="75"/>
      <c r="K413" s="76"/>
      <c r="L413" s="76"/>
      <c r="M413" s="76"/>
    </row>
    <row r="414" spans="3:13" ht="14.4" x14ac:dyDescent="0.3">
      <c r="C414" s="75"/>
      <c r="D414" s="76"/>
      <c r="E414" s="76"/>
      <c r="I414" s="75"/>
      <c r="J414" s="75"/>
      <c r="K414" s="76"/>
      <c r="L414" s="76"/>
      <c r="M414" s="76"/>
    </row>
    <row r="415" spans="3:13" ht="14.4" x14ac:dyDescent="0.3">
      <c r="C415" s="75"/>
      <c r="D415" s="76"/>
      <c r="E415" s="76"/>
      <c r="I415" s="75"/>
      <c r="J415" s="75"/>
      <c r="K415" s="76"/>
      <c r="L415" s="76"/>
      <c r="M415" s="76"/>
    </row>
    <row r="416" spans="3:13" ht="14.4" x14ac:dyDescent="0.3">
      <c r="C416" s="75"/>
      <c r="D416" s="76"/>
      <c r="E416" s="76"/>
      <c r="I416" s="75"/>
      <c r="J416" s="75"/>
      <c r="K416" s="76"/>
      <c r="L416" s="76"/>
      <c r="M416" s="76"/>
    </row>
    <row r="417" spans="3:13" ht="14.4" x14ac:dyDescent="0.3">
      <c r="C417" s="75"/>
      <c r="D417" s="76"/>
      <c r="E417" s="76"/>
      <c r="I417" s="75"/>
      <c r="J417" s="75"/>
      <c r="K417" s="76"/>
      <c r="L417" s="76"/>
      <c r="M417" s="76"/>
    </row>
    <row r="418" spans="3:13" ht="14.4" x14ac:dyDescent="0.3">
      <c r="C418" s="75"/>
      <c r="D418" s="76"/>
      <c r="E418" s="76"/>
      <c r="I418" s="75"/>
      <c r="J418" s="75"/>
      <c r="K418" s="76"/>
      <c r="L418" s="76"/>
      <c r="M418" s="76"/>
    </row>
    <row r="419" spans="3:13" ht="14.4" x14ac:dyDescent="0.3">
      <c r="C419" s="75"/>
      <c r="D419" s="76"/>
      <c r="E419" s="76"/>
      <c r="I419" s="75"/>
      <c r="J419" s="75"/>
      <c r="K419" s="76"/>
      <c r="L419" s="76"/>
      <c r="M419" s="76"/>
    </row>
    <row r="420" spans="3:13" ht="14.4" x14ac:dyDescent="0.3">
      <c r="C420" s="75"/>
      <c r="D420" s="76"/>
      <c r="E420" s="76"/>
      <c r="I420" s="75"/>
      <c r="J420" s="75"/>
      <c r="K420" s="76"/>
      <c r="L420" s="76"/>
      <c r="M420" s="76"/>
    </row>
    <row r="421" spans="3:13" ht="14.4" x14ac:dyDescent="0.3">
      <c r="C421" s="75"/>
      <c r="D421" s="76"/>
      <c r="E421" s="76"/>
      <c r="I421" s="75"/>
      <c r="J421" s="75"/>
      <c r="K421" s="76"/>
      <c r="L421" s="76"/>
      <c r="M421" s="76"/>
    </row>
    <row r="422" spans="3:13" ht="14.4" x14ac:dyDescent="0.3">
      <c r="C422" s="75"/>
      <c r="D422" s="76"/>
      <c r="E422" s="76"/>
      <c r="I422" s="75"/>
      <c r="J422" s="75"/>
      <c r="K422" s="76"/>
      <c r="L422" s="76"/>
      <c r="M422" s="76"/>
    </row>
    <row r="423" spans="3:13" ht="14.4" x14ac:dyDescent="0.3">
      <c r="C423" s="75"/>
      <c r="D423" s="76"/>
      <c r="E423" s="76"/>
      <c r="I423" s="75"/>
      <c r="J423" s="75"/>
      <c r="K423" s="76"/>
      <c r="L423" s="76"/>
      <c r="M423" s="76"/>
    </row>
    <row r="424" spans="3:13" ht="14.4" x14ac:dyDescent="0.3">
      <c r="C424" s="75"/>
      <c r="D424" s="76"/>
      <c r="E424" s="76"/>
      <c r="I424" s="75"/>
      <c r="J424" s="75"/>
      <c r="K424" s="76"/>
      <c r="L424" s="76"/>
      <c r="M424" s="76"/>
    </row>
    <row r="425" spans="3:13" ht="14.4" x14ac:dyDescent="0.3">
      <c r="C425" s="75"/>
      <c r="D425" s="76"/>
      <c r="E425" s="76"/>
      <c r="I425" s="75"/>
      <c r="J425" s="75"/>
      <c r="K425" s="76"/>
      <c r="L425" s="76"/>
      <c r="M425" s="76"/>
    </row>
    <row r="426" spans="3:13" ht="14.4" x14ac:dyDescent="0.3">
      <c r="C426" s="75"/>
      <c r="D426" s="76"/>
      <c r="E426" s="76"/>
      <c r="I426" s="75"/>
      <c r="J426" s="75"/>
      <c r="K426" s="76"/>
      <c r="L426" s="76"/>
      <c r="M426" s="76"/>
    </row>
    <row r="427" spans="3:13" ht="14.4" x14ac:dyDescent="0.3">
      <c r="C427" s="75"/>
      <c r="D427" s="76"/>
      <c r="E427" s="76"/>
      <c r="I427" s="75"/>
      <c r="J427" s="75"/>
      <c r="K427" s="76"/>
      <c r="L427" s="76"/>
      <c r="M427" s="76"/>
    </row>
    <row r="428" spans="3:13" ht="14.4" x14ac:dyDescent="0.3">
      <c r="C428" s="75"/>
      <c r="D428" s="76"/>
      <c r="E428" s="76"/>
      <c r="I428" s="75"/>
      <c r="J428" s="75"/>
      <c r="K428" s="76"/>
      <c r="L428" s="76"/>
      <c r="M428" s="76"/>
    </row>
    <row r="429" spans="3:13" ht="14.4" x14ac:dyDescent="0.3">
      <c r="C429" s="75"/>
      <c r="D429" s="76"/>
      <c r="E429" s="76"/>
      <c r="I429" s="75"/>
      <c r="J429" s="75"/>
      <c r="K429" s="76"/>
      <c r="L429" s="76"/>
      <c r="M429" s="76"/>
    </row>
    <row r="430" spans="3:13" ht="14.4" x14ac:dyDescent="0.3">
      <c r="C430" s="75"/>
      <c r="D430" s="76"/>
      <c r="E430" s="76"/>
      <c r="I430" s="75"/>
      <c r="J430" s="75"/>
      <c r="K430" s="76"/>
      <c r="L430" s="76"/>
      <c r="M430" s="76"/>
    </row>
    <row r="431" spans="3:13" ht="14.4" x14ac:dyDescent="0.3">
      <c r="C431" s="75"/>
      <c r="D431" s="76"/>
      <c r="E431" s="76"/>
      <c r="I431" s="75"/>
      <c r="J431" s="75"/>
      <c r="K431" s="76"/>
      <c r="L431" s="76"/>
      <c r="M431" s="76"/>
    </row>
    <row r="432" spans="3:13" ht="14.4" x14ac:dyDescent="0.3">
      <c r="C432" s="75"/>
      <c r="D432" s="76"/>
      <c r="E432" s="76"/>
      <c r="I432" s="75"/>
      <c r="J432" s="75"/>
      <c r="K432" s="76"/>
      <c r="L432" s="76"/>
      <c r="M432" s="76"/>
    </row>
    <row r="433" spans="3:13" ht="14.4" x14ac:dyDescent="0.3">
      <c r="C433" s="75"/>
      <c r="D433" s="76"/>
      <c r="E433" s="76"/>
      <c r="I433" s="75"/>
      <c r="J433" s="75"/>
      <c r="K433" s="76"/>
      <c r="L433" s="76"/>
      <c r="M433" s="76"/>
    </row>
    <row r="434" spans="3:13" ht="14.4" x14ac:dyDescent="0.3">
      <c r="C434" s="75"/>
      <c r="D434" s="76"/>
      <c r="E434" s="76"/>
      <c r="I434" s="75"/>
      <c r="J434" s="75"/>
      <c r="K434" s="76"/>
      <c r="L434" s="76"/>
      <c r="M434" s="76"/>
    </row>
    <row r="435" spans="3:13" ht="14.4" x14ac:dyDescent="0.3">
      <c r="C435" s="75"/>
      <c r="D435" s="76"/>
      <c r="E435" s="76"/>
      <c r="I435" s="75"/>
      <c r="J435" s="75"/>
      <c r="K435" s="76"/>
      <c r="L435" s="76"/>
      <c r="M435" s="76"/>
    </row>
    <row r="436" spans="3:13" ht="14.4" x14ac:dyDescent="0.3">
      <c r="C436" s="75"/>
      <c r="D436" s="76"/>
      <c r="E436" s="76"/>
      <c r="I436" s="75"/>
      <c r="J436" s="75"/>
      <c r="K436" s="76"/>
      <c r="L436" s="76"/>
      <c r="M436" s="76"/>
    </row>
    <row r="437" spans="3:13" ht="14.4" x14ac:dyDescent="0.3">
      <c r="C437" s="75"/>
      <c r="D437" s="76"/>
      <c r="E437" s="76"/>
      <c r="I437" s="75"/>
      <c r="J437" s="75"/>
      <c r="K437" s="76"/>
      <c r="L437" s="76"/>
      <c r="M437" s="76"/>
    </row>
    <row r="438" spans="3:13" ht="14.4" x14ac:dyDescent="0.3">
      <c r="C438" s="75"/>
      <c r="D438" s="76"/>
      <c r="E438" s="76"/>
      <c r="I438" s="75"/>
      <c r="J438" s="75"/>
      <c r="K438" s="76"/>
      <c r="L438" s="76"/>
      <c r="M438" s="76"/>
    </row>
    <row r="439" spans="3:13" ht="14.4" x14ac:dyDescent="0.3">
      <c r="C439" s="75"/>
      <c r="D439" s="76"/>
      <c r="E439" s="76"/>
      <c r="I439" s="75"/>
      <c r="J439" s="75"/>
      <c r="K439" s="76"/>
      <c r="L439" s="76"/>
      <c r="M439" s="76"/>
    </row>
    <row r="440" spans="3:13" ht="14.4" x14ac:dyDescent="0.3">
      <c r="C440" s="75"/>
      <c r="D440" s="76"/>
      <c r="E440" s="76"/>
      <c r="I440" s="75"/>
      <c r="J440" s="75"/>
      <c r="K440" s="76"/>
      <c r="L440" s="76"/>
      <c r="M440" s="76"/>
    </row>
    <row r="441" spans="3:13" ht="14.4" x14ac:dyDescent="0.3">
      <c r="C441" s="75"/>
      <c r="D441" s="76"/>
      <c r="E441" s="76"/>
      <c r="I441" s="75"/>
      <c r="J441" s="75"/>
      <c r="K441" s="76"/>
      <c r="L441" s="76"/>
      <c r="M441" s="76"/>
    </row>
    <row r="442" spans="3:13" ht="14.4" x14ac:dyDescent="0.3">
      <c r="C442" s="75"/>
      <c r="D442" s="76"/>
      <c r="E442" s="76"/>
      <c r="I442" s="75"/>
      <c r="J442" s="75"/>
      <c r="K442" s="76"/>
      <c r="L442" s="76"/>
      <c r="M442" s="76"/>
    </row>
    <row r="443" spans="3:13" ht="14.4" x14ac:dyDescent="0.3">
      <c r="C443" s="75"/>
      <c r="D443" s="76"/>
      <c r="E443" s="76"/>
      <c r="I443" s="75"/>
      <c r="J443" s="75"/>
      <c r="K443" s="76"/>
      <c r="L443" s="76"/>
      <c r="M443" s="76"/>
    </row>
    <row r="444" spans="3:13" ht="14.4" x14ac:dyDescent="0.3">
      <c r="C444" s="75"/>
      <c r="D444" s="76"/>
      <c r="E444" s="76"/>
      <c r="I444" s="75"/>
      <c r="J444" s="75"/>
      <c r="K444" s="76"/>
      <c r="L444" s="76"/>
      <c r="M444" s="76"/>
    </row>
    <row r="445" spans="3:13" ht="14.4" x14ac:dyDescent="0.3">
      <c r="C445" s="75"/>
      <c r="D445" s="76"/>
      <c r="E445" s="76"/>
      <c r="I445" s="75"/>
      <c r="J445" s="75"/>
      <c r="K445" s="76"/>
      <c r="L445" s="76"/>
      <c r="M445" s="76"/>
    </row>
    <row r="446" spans="3:13" ht="14.4" x14ac:dyDescent="0.3">
      <c r="C446" s="75"/>
      <c r="D446" s="76"/>
      <c r="E446" s="76"/>
      <c r="I446" s="75"/>
      <c r="J446" s="75"/>
      <c r="K446" s="76"/>
      <c r="L446" s="76"/>
      <c r="M446" s="76"/>
    </row>
    <row r="447" spans="3:13" ht="14.4" x14ac:dyDescent="0.3">
      <c r="C447" s="75"/>
      <c r="D447" s="76"/>
      <c r="E447" s="76"/>
      <c r="I447" s="75"/>
      <c r="J447" s="75"/>
      <c r="K447" s="76"/>
      <c r="L447" s="76"/>
      <c r="M447" s="76"/>
    </row>
    <row r="448" spans="3:13" ht="14.4" x14ac:dyDescent="0.3">
      <c r="C448" s="75"/>
      <c r="D448" s="76"/>
      <c r="E448" s="76"/>
      <c r="I448" s="75"/>
      <c r="J448" s="75"/>
      <c r="K448" s="76"/>
      <c r="L448" s="76"/>
      <c r="M448" s="76"/>
    </row>
    <row r="449" spans="3:13" ht="14.4" x14ac:dyDescent="0.3">
      <c r="C449" s="75"/>
      <c r="D449" s="76"/>
      <c r="E449" s="76"/>
      <c r="I449" s="75"/>
      <c r="J449" s="75"/>
      <c r="K449" s="76"/>
      <c r="L449" s="76"/>
      <c r="M449" s="76"/>
    </row>
    <row r="450" spans="3:13" ht="14.4" x14ac:dyDescent="0.3">
      <c r="C450" s="75"/>
      <c r="D450" s="76"/>
      <c r="E450" s="76"/>
      <c r="I450" s="75"/>
      <c r="J450" s="75"/>
      <c r="K450" s="76"/>
      <c r="L450" s="76"/>
      <c r="M450" s="76"/>
    </row>
    <row r="451" spans="3:13" ht="14.4" x14ac:dyDescent="0.3">
      <c r="C451" s="75"/>
      <c r="D451" s="76"/>
      <c r="E451" s="76"/>
      <c r="I451" s="75"/>
      <c r="J451" s="75"/>
      <c r="K451" s="76"/>
      <c r="L451" s="76"/>
      <c r="M451" s="76"/>
    </row>
    <row r="452" spans="3:13" ht="14.4" x14ac:dyDescent="0.3">
      <c r="C452" s="75"/>
      <c r="D452" s="76"/>
      <c r="E452" s="76"/>
      <c r="I452" s="75"/>
      <c r="J452" s="75"/>
      <c r="K452" s="76"/>
      <c r="L452" s="76"/>
      <c r="M452" s="76"/>
    </row>
    <row r="453" spans="3:13" ht="14.4" x14ac:dyDescent="0.3">
      <c r="C453" s="75"/>
      <c r="D453" s="76"/>
      <c r="E453" s="76"/>
      <c r="I453" s="75"/>
      <c r="J453" s="75"/>
      <c r="K453" s="76"/>
      <c r="L453" s="76"/>
      <c r="M453" s="76"/>
    </row>
    <row r="454" spans="3:13" ht="14.4" x14ac:dyDescent="0.3">
      <c r="C454" s="75"/>
      <c r="D454" s="76"/>
      <c r="E454" s="76"/>
      <c r="I454" s="75"/>
      <c r="J454" s="75"/>
      <c r="K454" s="76"/>
      <c r="L454" s="76"/>
      <c r="M454" s="76"/>
    </row>
    <row r="455" spans="3:13" ht="14.4" x14ac:dyDescent="0.3">
      <c r="C455" s="75"/>
      <c r="D455" s="76"/>
      <c r="E455" s="76"/>
      <c r="I455" s="75"/>
      <c r="J455" s="75"/>
      <c r="K455" s="76"/>
      <c r="L455" s="76"/>
      <c r="M455" s="76"/>
    </row>
    <row r="456" spans="3:13" ht="14.4" x14ac:dyDescent="0.3">
      <c r="C456" s="75"/>
      <c r="D456" s="76"/>
      <c r="E456" s="76"/>
      <c r="I456" s="75"/>
      <c r="J456" s="75"/>
      <c r="K456" s="76"/>
      <c r="L456" s="76"/>
      <c r="M456" s="76"/>
    </row>
    <row r="457" spans="3:13" ht="14.4" x14ac:dyDescent="0.3">
      <c r="C457" s="75"/>
      <c r="D457" s="76"/>
      <c r="E457" s="76"/>
      <c r="I457" s="75"/>
      <c r="J457" s="75"/>
      <c r="K457" s="76"/>
      <c r="L457" s="76"/>
      <c r="M457" s="76"/>
    </row>
    <row r="458" spans="3:13" ht="14.4" x14ac:dyDescent="0.3">
      <c r="C458" s="75"/>
      <c r="D458" s="76"/>
      <c r="E458" s="76"/>
      <c r="I458" s="75"/>
      <c r="J458" s="75"/>
      <c r="K458" s="76"/>
      <c r="L458" s="76"/>
      <c r="M458" s="76"/>
    </row>
    <row r="459" spans="3:13" ht="14.4" x14ac:dyDescent="0.3">
      <c r="C459" s="75"/>
      <c r="D459" s="76"/>
      <c r="E459" s="76"/>
      <c r="I459" s="75"/>
      <c r="J459" s="75"/>
      <c r="K459" s="76"/>
      <c r="L459" s="76"/>
      <c r="M459" s="76"/>
    </row>
    <row r="460" spans="3:13" ht="14.4" x14ac:dyDescent="0.3">
      <c r="C460" s="75"/>
      <c r="D460" s="76"/>
      <c r="E460" s="76"/>
      <c r="I460" s="75"/>
      <c r="J460" s="75"/>
      <c r="K460" s="76"/>
      <c r="L460" s="76"/>
      <c r="M460" s="76"/>
    </row>
    <row r="461" spans="3:13" ht="14.4" x14ac:dyDescent="0.3">
      <c r="C461" s="75"/>
      <c r="D461" s="76"/>
      <c r="E461" s="76"/>
      <c r="I461" s="75"/>
      <c r="J461" s="75"/>
      <c r="K461" s="76"/>
      <c r="L461" s="76"/>
      <c r="M461" s="76"/>
    </row>
    <row r="462" spans="3:13" ht="14.4" x14ac:dyDescent="0.3">
      <c r="C462" s="75"/>
      <c r="D462" s="76"/>
      <c r="E462" s="76"/>
      <c r="I462" s="75"/>
      <c r="J462" s="75"/>
      <c r="K462" s="76"/>
      <c r="L462" s="76"/>
      <c r="M462" s="76"/>
    </row>
    <row r="463" spans="3:13" ht="14.4" x14ac:dyDescent="0.3">
      <c r="C463" s="75"/>
      <c r="D463" s="76"/>
      <c r="E463" s="76"/>
      <c r="I463" s="75"/>
      <c r="J463" s="75"/>
      <c r="K463" s="76"/>
      <c r="L463" s="76"/>
      <c r="M463" s="76"/>
    </row>
    <row r="464" spans="3:13" ht="14.4" x14ac:dyDescent="0.3">
      <c r="C464" s="75"/>
      <c r="D464" s="76"/>
      <c r="E464" s="76"/>
      <c r="I464" s="75"/>
      <c r="J464" s="75"/>
      <c r="K464" s="76"/>
      <c r="L464" s="76"/>
      <c r="M464" s="76"/>
    </row>
    <row r="465" spans="3:13" ht="14.4" x14ac:dyDescent="0.3">
      <c r="C465" s="75"/>
      <c r="D465" s="76"/>
      <c r="E465" s="76"/>
      <c r="I465" s="75"/>
      <c r="J465" s="75"/>
      <c r="K465" s="76"/>
      <c r="L465" s="76"/>
      <c r="M465" s="76"/>
    </row>
    <row r="466" spans="3:13" ht="14.4" x14ac:dyDescent="0.3">
      <c r="C466" s="75"/>
      <c r="D466" s="76"/>
      <c r="E466" s="76"/>
      <c r="I466" s="75"/>
      <c r="J466" s="75"/>
      <c r="K466" s="76"/>
      <c r="L466" s="76"/>
      <c r="M466" s="76"/>
    </row>
    <row r="467" spans="3:13" ht="14.4" x14ac:dyDescent="0.3">
      <c r="C467" s="75"/>
      <c r="D467" s="76"/>
      <c r="E467" s="76"/>
      <c r="I467" s="75"/>
      <c r="J467" s="75"/>
      <c r="K467" s="76"/>
      <c r="L467" s="76"/>
      <c r="M467" s="76"/>
    </row>
    <row r="468" spans="3:13" ht="14.4" x14ac:dyDescent="0.3">
      <c r="C468" s="75"/>
      <c r="D468" s="76"/>
      <c r="E468" s="76"/>
      <c r="I468" s="75"/>
      <c r="J468" s="75"/>
      <c r="K468" s="76"/>
      <c r="L468" s="76"/>
      <c r="M468" s="76"/>
    </row>
    <row r="469" spans="3:13" ht="14.4" x14ac:dyDescent="0.3">
      <c r="C469" s="75"/>
      <c r="D469" s="76"/>
      <c r="E469" s="76"/>
      <c r="I469" s="75"/>
      <c r="J469" s="75"/>
      <c r="K469" s="76"/>
      <c r="L469" s="76"/>
      <c r="M469" s="76"/>
    </row>
    <row r="470" spans="3:13" ht="14.4" x14ac:dyDescent="0.3">
      <c r="C470" s="75"/>
      <c r="D470" s="76"/>
      <c r="E470" s="76"/>
      <c r="I470" s="75"/>
      <c r="J470" s="75"/>
      <c r="K470" s="76"/>
      <c r="L470" s="76"/>
      <c r="M470" s="76"/>
    </row>
    <row r="471" spans="3:13" ht="14.4" x14ac:dyDescent="0.3">
      <c r="C471" s="75"/>
      <c r="D471" s="76"/>
      <c r="E471" s="76"/>
      <c r="I471" s="75"/>
      <c r="J471" s="75"/>
      <c r="K471" s="76"/>
      <c r="L471" s="76"/>
      <c r="M471" s="76"/>
    </row>
    <row r="472" spans="3:13" ht="14.4" x14ac:dyDescent="0.3">
      <c r="C472" s="75"/>
      <c r="D472" s="76"/>
      <c r="E472" s="76"/>
      <c r="I472" s="75"/>
      <c r="J472" s="75"/>
      <c r="K472" s="76"/>
      <c r="L472" s="76"/>
      <c r="M472" s="76"/>
    </row>
    <row r="473" spans="3:13" ht="14.4" x14ac:dyDescent="0.3">
      <c r="C473" s="75"/>
      <c r="D473" s="76"/>
      <c r="E473" s="76"/>
      <c r="I473" s="75"/>
      <c r="J473" s="75"/>
      <c r="K473" s="76"/>
      <c r="L473" s="76"/>
      <c r="M473" s="76"/>
    </row>
    <row r="474" spans="3:13" ht="14.4" x14ac:dyDescent="0.3">
      <c r="C474" s="75"/>
      <c r="D474" s="76"/>
      <c r="E474" s="76"/>
      <c r="I474" s="75"/>
      <c r="J474" s="75"/>
      <c r="K474" s="76"/>
      <c r="L474" s="76"/>
      <c r="M474" s="76"/>
    </row>
    <row r="475" spans="3:13" ht="14.4" x14ac:dyDescent="0.3">
      <c r="C475" s="75"/>
      <c r="D475" s="76"/>
      <c r="E475" s="76"/>
      <c r="I475" s="75"/>
      <c r="J475" s="75"/>
      <c r="K475" s="76"/>
      <c r="L475" s="76"/>
      <c r="M475" s="76"/>
    </row>
    <row r="476" spans="3:13" ht="14.4" x14ac:dyDescent="0.3">
      <c r="C476" s="75"/>
      <c r="D476" s="76"/>
      <c r="E476" s="76"/>
      <c r="I476" s="75"/>
      <c r="J476" s="75"/>
      <c r="K476" s="76"/>
      <c r="L476" s="76"/>
      <c r="M476" s="76"/>
    </row>
    <row r="477" spans="3:13" ht="14.4" x14ac:dyDescent="0.3">
      <c r="C477" s="75"/>
      <c r="D477" s="76"/>
      <c r="E477" s="76"/>
      <c r="I477" s="75"/>
      <c r="J477" s="75"/>
      <c r="K477" s="76"/>
      <c r="L477" s="76"/>
      <c r="M477" s="76"/>
    </row>
    <row r="478" spans="3:13" ht="14.4" x14ac:dyDescent="0.3">
      <c r="C478" s="75"/>
      <c r="D478" s="76"/>
      <c r="E478" s="76"/>
      <c r="I478" s="75"/>
      <c r="J478" s="75"/>
      <c r="K478" s="76"/>
      <c r="L478" s="76"/>
      <c r="M478" s="76"/>
    </row>
    <row r="479" spans="3:13" ht="14.4" x14ac:dyDescent="0.3">
      <c r="C479" s="75"/>
      <c r="D479" s="76"/>
      <c r="E479" s="76"/>
      <c r="I479" s="75"/>
      <c r="J479" s="75"/>
      <c r="K479" s="76"/>
      <c r="L479" s="76"/>
      <c r="M479" s="76"/>
    </row>
    <row r="480" spans="3:13" ht="14.4" x14ac:dyDescent="0.3">
      <c r="C480" s="75"/>
      <c r="D480" s="76"/>
      <c r="E480" s="76"/>
      <c r="I480" s="75"/>
      <c r="J480" s="75"/>
      <c r="K480" s="76"/>
      <c r="L480" s="76"/>
      <c r="M480" s="76"/>
    </row>
    <row r="481" spans="3:13" ht="14.4" x14ac:dyDescent="0.3">
      <c r="C481" s="75"/>
      <c r="D481" s="76"/>
      <c r="E481" s="76"/>
      <c r="I481" s="75"/>
      <c r="J481" s="75"/>
      <c r="K481" s="76"/>
      <c r="L481" s="76"/>
      <c r="M481" s="76"/>
    </row>
    <row r="482" spans="3:13" ht="14.4" x14ac:dyDescent="0.3">
      <c r="C482" s="75"/>
      <c r="D482" s="76"/>
      <c r="E482" s="76"/>
      <c r="I482" s="75"/>
      <c r="J482" s="75"/>
      <c r="K482" s="76"/>
      <c r="L482" s="76"/>
      <c r="M482" s="76"/>
    </row>
    <row r="483" spans="3:13" ht="14.4" x14ac:dyDescent="0.3">
      <c r="C483" s="75"/>
      <c r="D483" s="76"/>
      <c r="E483" s="76"/>
      <c r="I483" s="75"/>
      <c r="J483" s="75"/>
      <c r="K483" s="76"/>
      <c r="L483" s="76"/>
      <c r="M483" s="76"/>
    </row>
    <row r="484" spans="3:13" ht="14.4" x14ac:dyDescent="0.3">
      <c r="C484" s="75"/>
      <c r="D484" s="76"/>
      <c r="E484" s="76"/>
      <c r="I484" s="75"/>
      <c r="J484" s="75"/>
      <c r="K484" s="76"/>
      <c r="L484" s="76"/>
      <c r="M484" s="76"/>
    </row>
    <row r="485" spans="3:13" ht="14.4" x14ac:dyDescent="0.3">
      <c r="C485" s="75"/>
      <c r="D485" s="76"/>
      <c r="E485" s="76"/>
      <c r="I485" s="75"/>
      <c r="J485" s="75"/>
      <c r="K485" s="76"/>
      <c r="L485" s="76"/>
      <c r="M485" s="76"/>
    </row>
    <row r="486" spans="3:13" ht="14.4" x14ac:dyDescent="0.3">
      <c r="C486" s="75"/>
      <c r="D486" s="76"/>
      <c r="E486" s="76"/>
      <c r="I486" s="75"/>
      <c r="J486" s="75"/>
      <c r="K486" s="76"/>
      <c r="L486" s="76"/>
      <c r="M486" s="76"/>
    </row>
    <row r="487" spans="3:13" ht="14.4" x14ac:dyDescent="0.3">
      <c r="C487" s="75"/>
      <c r="D487" s="76"/>
      <c r="E487" s="76"/>
      <c r="I487" s="75"/>
      <c r="J487" s="75"/>
      <c r="K487" s="76"/>
      <c r="L487" s="76"/>
      <c r="M487" s="76"/>
    </row>
    <row r="488" spans="3:13" ht="14.4" x14ac:dyDescent="0.3">
      <c r="C488" s="75"/>
      <c r="D488" s="76"/>
      <c r="E488" s="76"/>
      <c r="I488" s="75"/>
      <c r="J488" s="75"/>
      <c r="K488" s="76"/>
      <c r="L488" s="76"/>
      <c r="M488" s="76"/>
    </row>
    <row r="489" spans="3:13" ht="14.4" x14ac:dyDescent="0.3">
      <c r="C489" s="75"/>
      <c r="D489" s="76"/>
      <c r="E489" s="76"/>
      <c r="I489" s="75"/>
      <c r="J489" s="75"/>
      <c r="K489" s="76"/>
      <c r="L489" s="76"/>
      <c r="M489" s="76"/>
    </row>
    <row r="490" spans="3:13" ht="14.4" x14ac:dyDescent="0.3">
      <c r="C490" s="75"/>
      <c r="D490" s="76"/>
      <c r="E490" s="76"/>
      <c r="I490" s="75"/>
      <c r="J490" s="75"/>
      <c r="K490" s="76"/>
      <c r="L490" s="76"/>
      <c r="M490" s="76"/>
    </row>
    <row r="491" spans="3:13" ht="14.4" x14ac:dyDescent="0.3">
      <c r="C491" s="75"/>
      <c r="D491" s="76"/>
      <c r="E491" s="76"/>
      <c r="I491" s="75"/>
      <c r="J491" s="75"/>
      <c r="K491" s="76"/>
      <c r="L491" s="76"/>
      <c r="M491" s="76"/>
    </row>
    <row r="492" spans="3:13" ht="14.4" x14ac:dyDescent="0.3">
      <c r="C492" s="75"/>
      <c r="D492" s="76"/>
      <c r="E492" s="76"/>
      <c r="I492" s="75"/>
      <c r="J492" s="75"/>
      <c r="K492" s="76"/>
      <c r="L492" s="76"/>
      <c r="M492" s="76"/>
    </row>
    <row r="493" spans="3:13" ht="14.4" x14ac:dyDescent="0.3">
      <c r="C493" s="75"/>
      <c r="D493" s="76"/>
      <c r="E493" s="76"/>
      <c r="I493" s="75"/>
      <c r="J493" s="75"/>
      <c r="K493" s="76"/>
      <c r="L493" s="76"/>
      <c r="M493" s="76"/>
    </row>
    <row r="494" spans="3:13" ht="14.4" x14ac:dyDescent="0.3">
      <c r="C494" s="75"/>
      <c r="D494" s="76"/>
      <c r="E494" s="76"/>
      <c r="I494" s="75"/>
      <c r="J494" s="75"/>
      <c r="K494" s="76"/>
      <c r="L494" s="76"/>
      <c r="M494" s="76"/>
    </row>
    <row r="495" spans="3:13" ht="14.4" x14ac:dyDescent="0.3">
      <c r="C495" s="75"/>
      <c r="D495" s="76"/>
      <c r="E495" s="76"/>
      <c r="I495" s="75"/>
      <c r="J495" s="75"/>
      <c r="K495" s="76"/>
      <c r="L495" s="76"/>
      <c r="M495" s="76"/>
    </row>
    <row r="496" spans="3:13" ht="14.4" x14ac:dyDescent="0.3">
      <c r="C496" s="75"/>
      <c r="D496" s="76"/>
      <c r="E496" s="76"/>
      <c r="I496" s="75"/>
      <c r="J496" s="75"/>
      <c r="K496" s="76"/>
      <c r="L496" s="76"/>
      <c r="M496" s="76"/>
    </row>
    <row r="497" spans="3:13" ht="14.4" x14ac:dyDescent="0.3">
      <c r="C497" s="75"/>
      <c r="D497" s="76"/>
      <c r="E497" s="76"/>
      <c r="I497" s="75"/>
      <c r="J497" s="75"/>
      <c r="K497" s="76"/>
      <c r="L497" s="76"/>
      <c r="M497" s="76"/>
    </row>
    <row r="498" spans="3:13" ht="14.4" x14ac:dyDescent="0.3">
      <c r="C498" s="75"/>
      <c r="D498" s="76"/>
      <c r="E498" s="76"/>
      <c r="I498" s="75"/>
      <c r="J498" s="75"/>
      <c r="K498" s="76"/>
      <c r="L498" s="76"/>
      <c r="M498" s="76"/>
    </row>
    <row r="499" spans="3:13" ht="14.4" x14ac:dyDescent="0.3">
      <c r="C499" s="75"/>
      <c r="D499" s="76"/>
      <c r="E499" s="76"/>
      <c r="I499" s="75"/>
      <c r="J499" s="75"/>
      <c r="K499" s="76"/>
      <c r="L499" s="76"/>
      <c r="M499" s="76"/>
    </row>
    <row r="500" spans="3:13" ht="14.4" x14ac:dyDescent="0.3">
      <c r="C500" s="75"/>
      <c r="D500" s="76"/>
      <c r="E500" s="76"/>
      <c r="I500" s="75"/>
      <c r="J500" s="75"/>
      <c r="K500" s="76"/>
      <c r="L500" s="76"/>
      <c r="M500" s="76"/>
    </row>
    <row r="501" spans="3:13" ht="14.4" x14ac:dyDescent="0.3">
      <c r="C501" s="75"/>
      <c r="D501" s="76"/>
      <c r="E501" s="76"/>
      <c r="I501" s="75"/>
      <c r="J501" s="75"/>
      <c r="K501" s="76"/>
      <c r="L501" s="76"/>
      <c r="M501" s="76"/>
    </row>
    <row r="502" spans="3:13" ht="14.4" x14ac:dyDescent="0.3">
      <c r="C502" s="75"/>
      <c r="D502" s="76"/>
      <c r="E502" s="76"/>
      <c r="I502" s="75"/>
      <c r="J502" s="75"/>
      <c r="K502" s="76"/>
      <c r="L502" s="76"/>
      <c r="M502" s="76"/>
    </row>
    <row r="503" spans="3:13" ht="14.4" x14ac:dyDescent="0.3">
      <c r="C503" s="75"/>
      <c r="D503" s="76"/>
      <c r="E503" s="76"/>
      <c r="I503" s="75"/>
      <c r="J503" s="75"/>
      <c r="K503" s="76"/>
      <c r="L503" s="76"/>
      <c r="M503" s="76"/>
    </row>
    <row r="504" spans="3:13" ht="14.4" x14ac:dyDescent="0.3">
      <c r="C504" s="75"/>
      <c r="D504" s="76"/>
      <c r="E504" s="76"/>
      <c r="I504" s="75"/>
      <c r="J504" s="75"/>
      <c r="K504" s="76"/>
      <c r="L504" s="76"/>
      <c r="M504" s="76"/>
    </row>
    <row r="505" spans="3:13" ht="14.4" x14ac:dyDescent="0.3">
      <c r="C505" s="75"/>
      <c r="D505" s="76"/>
      <c r="E505" s="76"/>
      <c r="I505" s="75"/>
      <c r="J505" s="75"/>
      <c r="K505" s="76"/>
      <c r="L505" s="76"/>
      <c r="M505" s="76"/>
    </row>
    <row r="506" spans="3:13" ht="14.4" x14ac:dyDescent="0.3">
      <c r="C506" s="75"/>
      <c r="D506" s="76"/>
      <c r="E506" s="76"/>
      <c r="I506" s="75"/>
      <c r="J506" s="75"/>
      <c r="K506" s="76"/>
      <c r="L506" s="76"/>
      <c r="M506" s="76"/>
    </row>
    <row r="507" spans="3:13" ht="14.4" x14ac:dyDescent="0.3">
      <c r="C507" s="75"/>
      <c r="D507" s="76"/>
      <c r="E507" s="76"/>
      <c r="I507" s="75"/>
      <c r="J507" s="75"/>
      <c r="K507" s="76"/>
      <c r="L507" s="76"/>
      <c r="M507" s="76"/>
    </row>
    <row r="508" spans="3:13" ht="14.4" x14ac:dyDescent="0.3">
      <c r="C508" s="75"/>
      <c r="D508" s="76"/>
      <c r="E508" s="76"/>
      <c r="I508" s="75"/>
      <c r="J508" s="75"/>
      <c r="K508" s="76"/>
      <c r="L508" s="76"/>
      <c r="M508" s="76"/>
    </row>
    <row r="509" spans="3:13" ht="14.4" x14ac:dyDescent="0.3">
      <c r="C509" s="75"/>
      <c r="D509" s="76"/>
      <c r="E509" s="76"/>
      <c r="I509" s="75"/>
      <c r="J509" s="75"/>
      <c r="K509" s="76"/>
      <c r="L509" s="76"/>
      <c r="M509" s="76"/>
    </row>
    <row r="510" spans="3:13" ht="14.4" x14ac:dyDescent="0.3">
      <c r="C510" s="75"/>
      <c r="D510" s="76"/>
      <c r="E510" s="76"/>
      <c r="I510" s="75"/>
      <c r="J510" s="75"/>
      <c r="K510" s="76"/>
      <c r="L510" s="76"/>
      <c r="M510" s="76"/>
    </row>
    <row r="511" spans="3:13" ht="14.4" x14ac:dyDescent="0.3">
      <c r="C511" s="75"/>
      <c r="D511" s="76"/>
      <c r="E511" s="76"/>
      <c r="I511" s="75"/>
      <c r="J511" s="75"/>
      <c r="K511" s="76"/>
      <c r="L511" s="76"/>
      <c r="M511" s="76"/>
    </row>
    <row r="512" spans="3:13" ht="14.4" x14ac:dyDescent="0.3">
      <c r="C512" s="75"/>
      <c r="D512" s="76"/>
      <c r="E512" s="76"/>
      <c r="I512" s="75"/>
      <c r="J512" s="75"/>
      <c r="K512" s="76"/>
      <c r="L512" s="76"/>
      <c r="M512" s="76"/>
    </row>
    <row r="513" spans="3:13" ht="14.4" x14ac:dyDescent="0.3">
      <c r="C513" s="75"/>
      <c r="D513" s="76"/>
      <c r="E513" s="76"/>
      <c r="I513" s="75"/>
      <c r="J513" s="75"/>
      <c r="K513" s="76"/>
      <c r="L513" s="76"/>
      <c r="M513" s="76"/>
    </row>
    <row r="514" spans="3:13" ht="14.4" x14ac:dyDescent="0.3">
      <c r="C514" s="75"/>
      <c r="D514" s="76"/>
      <c r="E514" s="76"/>
      <c r="I514" s="75"/>
      <c r="J514" s="75"/>
      <c r="K514" s="76"/>
      <c r="L514" s="76"/>
      <c r="M514" s="76"/>
    </row>
    <row r="515" spans="3:13" ht="14.4" x14ac:dyDescent="0.3">
      <c r="C515" s="75"/>
      <c r="D515" s="76"/>
      <c r="E515" s="76"/>
      <c r="I515" s="75"/>
      <c r="J515" s="75"/>
      <c r="K515" s="76"/>
      <c r="L515" s="76"/>
      <c r="M515" s="76"/>
    </row>
    <row r="516" spans="3:13" ht="14.4" x14ac:dyDescent="0.3">
      <c r="C516" s="75"/>
      <c r="D516" s="76"/>
      <c r="E516" s="76"/>
      <c r="I516" s="75"/>
      <c r="J516" s="75"/>
      <c r="K516" s="76"/>
      <c r="L516" s="76"/>
      <c r="M516" s="76"/>
    </row>
    <row r="517" spans="3:13" ht="14.4" x14ac:dyDescent="0.3">
      <c r="C517" s="75"/>
      <c r="D517" s="76"/>
      <c r="E517" s="76"/>
      <c r="I517" s="75"/>
      <c r="J517" s="75"/>
      <c r="K517" s="76"/>
      <c r="L517" s="76"/>
      <c r="M517" s="76"/>
    </row>
    <row r="518" spans="3:13" ht="14.4" x14ac:dyDescent="0.3">
      <c r="C518" s="75"/>
      <c r="D518" s="76"/>
      <c r="E518" s="76"/>
      <c r="I518" s="75"/>
      <c r="J518" s="75"/>
      <c r="K518" s="76"/>
      <c r="L518" s="76"/>
      <c r="M518" s="76"/>
    </row>
    <row r="519" spans="3:13" ht="14.4" x14ac:dyDescent="0.3">
      <c r="C519" s="75"/>
      <c r="D519" s="76"/>
      <c r="E519" s="76"/>
      <c r="I519" s="75"/>
      <c r="J519" s="75"/>
      <c r="K519" s="76"/>
      <c r="L519" s="76"/>
      <c r="M519" s="76"/>
    </row>
    <row r="520" spans="3:13" ht="14.4" x14ac:dyDescent="0.3">
      <c r="C520" s="75"/>
      <c r="D520" s="76"/>
      <c r="E520" s="76"/>
      <c r="I520" s="75"/>
      <c r="J520" s="75"/>
      <c r="K520" s="76"/>
      <c r="L520" s="76"/>
      <c r="M520" s="76"/>
    </row>
    <row r="521" spans="3:13" ht="14.4" x14ac:dyDescent="0.3">
      <c r="C521" s="75"/>
      <c r="D521" s="76"/>
      <c r="E521" s="76"/>
      <c r="I521" s="75"/>
      <c r="J521" s="75"/>
      <c r="K521" s="76"/>
      <c r="L521" s="76"/>
      <c r="M521" s="76"/>
    </row>
    <row r="522" spans="3:13" ht="14.4" x14ac:dyDescent="0.3">
      <c r="C522" s="75"/>
      <c r="D522" s="76"/>
      <c r="E522" s="76"/>
      <c r="I522" s="75"/>
      <c r="J522" s="75"/>
      <c r="K522" s="76"/>
      <c r="L522" s="76"/>
      <c r="M522" s="76"/>
    </row>
    <row r="523" spans="3:13" ht="14.4" x14ac:dyDescent="0.3">
      <c r="C523" s="75"/>
      <c r="D523" s="76"/>
      <c r="E523" s="76"/>
      <c r="I523" s="75"/>
      <c r="J523" s="75"/>
      <c r="K523" s="76"/>
      <c r="L523" s="76"/>
      <c r="M523" s="76"/>
    </row>
    <row r="524" spans="3:13" ht="14.4" x14ac:dyDescent="0.3">
      <c r="C524" s="75"/>
      <c r="D524" s="76"/>
      <c r="E524" s="76"/>
      <c r="I524" s="75"/>
      <c r="J524" s="75"/>
      <c r="K524" s="76"/>
      <c r="L524" s="76"/>
      <c r="M524" s="76"/>
    </row>
    <row r="525" spans="3:13" ht="14.4" x14ac:dyDescent="0.3">
      <c r="C525" s="75"/>
      <c r="D525" s="76"/>
      <c r="E525" s="76"/>
      <c r="I525" s="75"/>
      <c r="J525" s="75"/>
      <c r="K525" s="76"/>
      <c r="L525" s="76"/>
      <c r="M525" s="76"/>
    </row>
    <row r="526" spans="3:13" ht="14.4" x14ac:dyDescent="0.3">
      <c r="C526" s="75"/>
      <c r="D526" s="76"/>
      <c r="E526" s="76"/>
      <c r="I526" s="75"/>
      <c r="J526" s="75"/>
      <c r="K526" s="76"/>
      <c r="L526" s="76"/>
      <c r="M526" s="76"/>
    </row>
    <row r="527" spans="3:13" ht="14.4" x14ac:dyDescent="0.3">
      <c r="C527" s="75"/>
      <c r="D527" s="76"/>
      <c r="E527" s="76"/>
      <c r="I527" s="75"/>
      <c r="J527" s="75"/>
      <c r="K527" s="76"/>
      <c r="L527" s="76"/>
      <c r="M527" s="76"/>
    </row>
    <row r="528" spans="3:13" ht="14.4" x14ac:dyDescent="0.3">
      <c r="C528" s="75"/>
      <c r="D528" s="76"/>
      <c r="E528" s="76"/>
      <c r="I528" s="75"/>
      <c r="J528" s="75"/>
      <c r="K528" s="76"/>
      <c r="L528" s="76"/>
      <c r="M528" s="76"/>
    </row>
    <row r="529" spans="3:13" ht="14.4" x14ac:dyDescent="0.3">
      <c r="C529" s="75"/>
      <c r="D529" s="76"/>
      <c r="E529" s="76"/>
      <c r="I529" s="75"/>
      <c r="J529" s="75"/>
      <c r="K529" s="76"/>
      <c r="L529" s="76"/>
      <c r="M529" s="76"/>
    </row>
    <row r="530" spans="3:13" ht="14.4" x14ac:dyDescent="0.3">
      <c r="C530" s="75"/>
      <c r="D530" s="76"/>
      <c r="E530" s="76"/>
      <c r="I530" s="75"/>
      <c r="J530" s="75"/>
      <c r="K530" s="76"/>
      <c r="L530" s="76"/>
      <c r="M530" s="76"/>
    </row>
    <row r="531" spans="3:13" ht="14.4" x14ac:dyDescent="0.3">
      <c r="C531" s="75"/>
      <c r="D531" s="76"/>
      <c r="E531" s="76"/>
      <c r="I531" s="75"/>
      <c r="J531" s="75"/>
      <c r="K531" s="76"/>
      <c r="L531" s="76"/>
      <c r="M531" s="76"/>
    </row>
    <row r="532" spans="3:13" ht="14.4" x14ac:dyDescent="0.3">
      <c r="C532" s="75"/>
      <c r="D532" s="76"/>
      <c r="E532" s="76"/>
      <c r="I532" s="75"/>
      <c r="J532" s="75"/>
      <c r="K532" s="76"/>
      <c r="L532" s="76"/>
      <c r="M532" s="76"/>
    </row>
    <row r="533" spans="3:13" ht="14.4" x14ac:dyDescent="0.3">
      <c r="C533" s="75"/>
      <c r="D533" s="76"/>
      <c r="E533" s="76"/>
      <c r="I533" s="75"/>
      <c r="J533" s="75"/>
      <c r="K533" s="76"/>
      <c r="L533" s="76"/>
      <c r="M533" s="76"/>
    </row>
    <row r="534" spans="3:13" ht="14.4" x14ac:dyDescent="0.3">
      <c r="C534" s="75"/>
      <c r="D534" s="76"/>
      <c r="E534" s="76"/>
      <c r="I534" s="75"/>
      <c r="J534" s="75"/>
      <c r="K534" s="76"/>
      <c r="L534" s="76"/>
      <c r="M534" s="76"/>
    </row>
    <row r="535" spans="3:13" ht="14.4" x14ac:dyDescent="0.3">
      <c r="C535" s="75"/>
      <c r="D535" s="76"/>
      <c r="E535" s="76"/>
      <c r="I535" s="75"/>
      <c r="J535" s="75"/>
      <c r="K535" s="76"/>
      <c r="L535" s="76"/>
      <c r="M535" s="76"/>
    </row>
    <row r="536" spans="3:13" ht="14.4" x14ac:dyDescent="0.3">
      <c r="C536" s="75"/>
      <c r="D536" s="76"/>
      <c r="E536" s="76"/>
      <c r="I536" s="75"/>
      <c r="J536" s="75"/>
      <c r="K536" s="76"/>
      <c r="L536" s="76"/>
      <c r="M536" s="76"/>
    </row>
    <row r="537" spans="3:13" ht="14.4" x14ac:dyDescent="0.3">
      <c r="C537" s="75"/>
      <c r="D537" s="76"/>
      <c r="E537" s="76"/>
      <c r="I537" s="75"/>
      <c r="J537" s="75"/>
      <c r="K537" s="76"/>
      <c r="L537" s="76"/>
      <c r="M537" s="76"/>
    </row>
    <row r="538" spans="3:13" ht="14.4" x14ac:dyDescent="0.3">
      <c r="C538" s="75"/>
      <c r="D538" s="76"/>
      <c r="E538" s="76"/>
      <c r="I538" s="75"/>
      <c r="J538" s="75"/>
      <c r="K538" s="76"/>
      <c r="L538" s="76"/>
      <c r="M538" s="76"/>
    </row>
    <row r="539" spans="3:13" ht="14.4" x14ac:dyDescent="0.3">
      <c r="C539" s="75"/>
      <c r="D539" s="76"/>
      <c r="E539" s="76"/>
      <c r="I539" s="75"/>
      <c r="J539" s="75"/>
      <c r="K539" s="76"/>
      <c r="L539" s="76"/>
      <c r="M539" s="76"/>
    </row>
    <row r="540" spans="3:13" ht="14.4" x14ac:dyDescent="0.3">
      <c r="C540" s="75"/>
      <c r="D540" s="76"/>
      <c r="E540" s="76"/>
      <c r="I540" s="75"/>
      <c r="J540" s="75"/>
      <c r="K540" s="76"/>
      <c r="L540" s="76"/>
      <c r="M540" s="76"/>
    </row>
    <row r="541" spans="3:13" ht="14.4" x14ac:dyDescent="0.3">
      <c r="C541" s="75"/>
      <c r="D541" s="76"/>
      <c r="E541" s="76"/>
      <c r="I541" s="75"/>
      <c r="J541" s="75"/>
      <c r="K541" s="76"/>
      <c r="L541" s="76"/>
      <c r="M541" s="76"/>
    </row>
    <row r="542" spans="3:13" ht="14.4" x14ac:dyDescent="0.3">
      <c r="C542" s="75"/>
      <c r="D542" s="76"/>
      <c r="E542" s="76"/>
      <c r="I542" s="75"/>
      <c r="J542" s="75"/>
      <c r="K542" s="76"/>
      <c r="L542" s="76"/>
      <c r="M542" s="76"/>
    </row>
    <row r="543" spans="3:13" ht="14.4" x14ac:dyDescent="0.3">
      <c r="C543" s="75"/>
      <c r="D543" s="76"/>
      <c r="E543" s="76"/>
      <c r="I543" s="75"/>
      <c r="J543" s="75"/>
      <c r="K543" s="76"/>
      <c r="L543" s="76"/>
      <c r="M543" s="76"/>
    </row>
    <row r="544" spans="3:13" ht="14.4" x14ac:dyDescent="0.3">
      <c r="C544" s="75"/>
      <c r="D544" s="76"/>
      <c r="E544" s="76"/>
      <c r="I544" s="75"/>
      <c r="J544" s="75"/>
      <c r="K544" s="76"/>
      <c r="L544" s="76"/>
      <c r="M544" s="76"/>
    </row>
    <row r="545" spans="3:13" ht="14.4" x14ac:dyDescent="0.3">
      <c r="C545" s="75"/>
      <c r="D545" s="76"/>
      <c r="E545" s="76"/>
      <c r="I545" s="75"/>
      <c r="J545" s="75"/>
      <c r="K545" s="76"/>
      <c r="L545" s="76"/>
      <c r="M545" s="76"/>
    </row>
    <row r="546" spans="3:13" ht="14.4" x14ac:dyDescent="0.3">
      <c r="C546" s="75"/>
      <c r="D546" s="76"/>
      <c r="E546" s="76"/>
      <c r="I546" s="75"/>
      <c r="J546" s="75"/>
      <c r="K546" s="76"/>
      <c r="L546" s="76"/>
      <c r="M546" s="76"/>
    </row>
    <row r="547" spans="3:13" ht="14.4" x14ac:dyDescent="0.3">
      <c r="C547" s="75"/>
      <c r="D547" s="76"/>
      <c r="E547" s="76"/>
      <c r="I547" s="75"/>
      <c r="J547" s="75"/>
      <c r="K547" s="76"/>
      <c r="L547" s="76"/>
      <c r="M547" s="76"/>
    </row>
    <row r="548" spans="3:13" ht="14.4" x14ac:dyDescent="0.3">
      <c r="C548" s="75"/>
      <c r="D548" s="76"/>
      <c r="E548" s="76"/>
      <c r="I548" s="75"/>
      <c r="J548" s="75"/>
      <c r="K548" s="76"/>
      <c r="L548" s="76"/>
      <c r="M548" s="76"/>
    </row>
    <row r="549" spans="3:13" ht="14.4" x14ac:dyDescent="0.3">
      <c r="C549" s="75"/>
      <c r="D549" s="76"/>
      <c r="E549" s="76"/>
      <c r="I549" s="75"/>
      <c r="J549" s="75"/>
      <c r="K549" s="76"/>
      <c r="L549" s="76"/>
      <c r="M549" s="76"/>
    </row>
    <row r="550" spans="3:13" ht="14.4" x14ac:dyDescent="0.3">
      <c r="C550" s="75"/>
      <c r="D550" s="76"/>
      <c r="E550" s="76"/>
      <c r="I550" s="75"/>
      <c r="J550" s="75"/>
      <c r="K550" s="76"/>
      <c r="L550" s="76"/>
      <c r="M550" s="76"/>
    </row>
    <row r="551" spans="3:13" ht="14.4" x14ac:dyDescent="0.3">
      <c r="C551" s="75"/>
      <c r="D551" s="76"/>
      <c r="E551" s="76"/>
      <c r="I551" s="75"/>
      <c r="J551" s="75"/>
      <c r="K551" s="76"/>
      <c r="L551" s="76"/>
      <c r="M551" s="76"/>
    </row>
    <row r="552" spans="3:13" ht="14.4" x14ac:dyDescent="0.3">
      <c r="C552" s="75"/>
      <c r="D552" s="76"/>
      <c r="E552" s="76"/>
      <c r="I552" s="75"/>
      <c r="J552" s="75"/>
      <c r="K552" s="76"/>
      <c r="L552" s="76"/>
      <c r="M552" s="76"/>
    </row>
    <row r="553" spans="3:13" ht="14.4" x14ac:dyDescent="0.3">
      <c r="C553" s="75"/>
      <c r="D553" s="76"/>
      <c r="E553" s="76"/>
      <c r="I553" s="75"/>
      <c r="J553" s="75"/>
      <c r="K553" s="76"/>
      <c r="L553" s="76"/>
      <c r="M553" s="76"/>
    </row>
    <row r="554" spans="3:13" ht="14.4" x14ac:dyDescent="0.3">
      <c r="C554" s="75"/>
      <c r="D554" s="76"/>
      <c r="E554" s="76"/>
      <c r="I554" s="75"/>
      <c r="J554" s="75"/>
      <c r="K554" s="76"/>
      <c r="L554" s="76"/>
      <c r="M554" s="76"/>
    </row>
    <row r="555" spans="3:13" ht="14.4" x14ac:dyDescent="0.3">
      <c r="C555" s="75"/>
      <c r="D555" s="76"/>
      <c r="E555" s="76"/>
      <c r="I555" s="75"/>
      <c r="J555" s="75"/>
      <c r="K555" s="76"/>
      <c r="L555" s="76"/>
      <c r="M555" s="76"/>
    </row>
    <row r="556" spans="3:13" ht="14.4" x14ac:dyDescent="0.3">
      <c r="C556" s="75"/>
      <c r="D556" s="76"/>
      <c r="E556" s="76"/>
      <c r="I556" s="75"/>
      <c r="J556" s="75"/>
      <c r="K556" s="76"/>
      <c r="L556" s="76"/>
      <c r="M556" s="76"/>
    </row>
    <row r="557" spans="3:13" ht="14.4" x14ac:dyDescent="0.3">
      <c r="C557" s="75"/>
      <c r="D557" s="76"/>
      <c r="E557" s="76"/>
      <c r="I557" s="75"/>
      <c r="J557" s="75"/>
      <c r="K557" s="76"/>
      <c r="L557" s="76"/>
      <c r="M557" s="76"/>
    </row>
    <row r="558" spans="3:13" ht="14.4" x14ac:dyDescent="0.3">
      <c r="C558" s="75"/>
      <c r="D558" s="76"/>
      <c r="E558" s="76"/>
      <c r="I558" s="75"/>
      <c r="J558" s="75"/>
      <c r="K558" s="76"/>
      <c r="L558" s="76"/>
      <c r="M558" s="76"/>
    </row>
    <row r="559" spans="3:13" ht="14.4" x14ac:dyDescent="0.3">
      <c r="C559" s="75"/>
      <c r="D559" s="76"/>
      <c r="E559" s="76"/>
      <c r="I559" s="75"/>
      <c r="J559" s="75"/>
      <c r="K559" s="76"/>
      <c r="L559" s="76"/>
      <c r="M559" s="76"/>
    </row>
    <row r="560" spans="3:13" ht="14.4" x14ac:dyDescent="0.3">
      <c r="C560" s="75"/>
      <c r="D560" s="76"/>
      <c r="E560" s="76"/>
      <c r="I560" s="75"/>
      <c r="J560" s="75"/>
      <c r="K560" s="76"/>
      <c r="L560" s="76"/>
      <c r="M560" s="76"/>
    </row>
    <row r="561" spans="3:13" ht="14.4" x14ac:dyDescent="0.3">
      <c r="C561" s="75"/>
      <c r="D561" s="76"/>
      <c r="E561" s="76"/>
      <c r="I561" s="75"/>
      <c r="J561" s="75"/>
      <c r="K561" s="76"/>
      <c r="L561" s="76"/>
      <c r="M561" s="76"/>
    </row>
    <row r="562" spans="3:13" ht="14.4" x14ac:dyDescent="0.3">
      <c r="C562" s="75"/>
      <c r="D562" s="76"/>
      <c r="E562" s="76"/>
      <c r="I562" s="75"/>
      <c r="J562" s="75"/>
      <c r="K562" s="76"/>
      <c r="L562" s="76"/>
      <c r="M562" s="76"/>
    </row>
    <row r="563" spans="3:13" ht="14.4" x14ac:dyDescent="0.3">
      <c r="C563" s="75"/>
      <c r="D563" s="76"/>
      <c r="E563" s="76"/>
      <c r="I563" s="75"/>
      <c r="J563" s="75"/>
      <c r="K563" s="76"/>
      <c r="L563" s="76"/>
      <c r="M563" s="76"/>
    </row>
    <row r="564" spans="3:13" ht="14.4" x14ac:dyDescent="0.3">
      <c r="C564" s="75"/>
      <c r="D564" s="76"/>
      <c r="E564" s="76"/>
      <c r="I564" s="75"/>
      <c r="J564" s="75"/>
      <c r="K564" s="76"/>
      <c r="L564" s="76"/>
      <c r="M564" s="76"/>
    </row>
    <row r="565" spans="3:13" ht="14.4" x14ac:dyDescent="0.3">
      <c r="C565" s="75"/>
      <c r="D565" s="76"/>
      <c r="E565" s="76"/>
      <c r="I565" s="75"/>
      <c r="J565" s="75"/>
      <c r="K565" s="76"/>
      <c r="L565" s="76"/>
      <c r="M565" s="76"/>
    </row>
    <row r="566" spans="3:13" ht="14.4" x14ac:dyDescent="0.3">
      <c r="C566" s="75"/>
      <c r="D566" s="76"/>
      <c r="E566" s="76"/>
      <c r="I566" s="75"/>
      <c r="J566" s="75"/>
      <c r="K566" s="76"/>
      <c r="L566" s="76"/>
      <c r="M566" s="76"/>
    </row>
    <row r="567" spans="3:13" ht="14.4" x14ac:dyDescent="0.3">
      <c r="C567" s="75"/>
      <c r="D567" s="76"/>
      <c r="E567" s="76"/>
      <c r="I567" s="75"/>
      <c r="J567" s="75"/>
      <c r="K567" s="76"/>
      <c r="L567" s="76"/>
      <c r="M567" s="76"/>
    </row>
    <row r="568" spans="3:13" ht="14.4" x14ac:dyDescent="0.3">
      <c r="C568" s="75"/>
      <c r="D568" s="76"/>
      <c r="E568" s="76"/>
      <c r="I568" s="75"/>
      <c r="J568" s="75"/>
      <c r="K568" s="76"/>
      <c r="L568" s="76"/>
      <c r="M568" s="76"/>
    </row>
    <row r="569" spans="3:13" ht="14.4" x14ac:dyDescent="0.3">
      <c r="C569" s="75"/>
      <c r="D569" s="76"/>
      <c r="E569" s="76"/>
      <c r="I569" s="75"/>
      <c r="J569" s="75"/>
      <c r="K569" s="76"/>
      <c r="L569" s="76"/>
      <c r="M569" s="76"/>
    </row>
    <row r="570" spans="3:13" ht="14.4" x14ac:dyDescent="0.3">
      <c r="C570" s="75"/>
      <c r="D570" s="76"/>
      <c r="E570" s="76"/>
      <c r="I570" s="75"/>
      <c r="J570" s="75"/>
      <c r="K570" s="76"/>
      <c r="L570" s="76"/>
      <c r="M570" s="76"/>
    </row>
    <row r="571" spans="3:13" ht="14.4" x14ac:dyDescent="0.3">
      <c r="C571" s="75"/>
      <c r="D571" s="76"/>
      <c r="E571" s="76"/>
      <c r="I571" s="75"/>
      <c r="J571" s="75"/>
      <c r="K571" s="76"/>
      <c r="L571" s="76"/>
      <c r="M571" s="76"/>
    </row>
    <row r="572" spans="3:13" ht="14.4" x14ac:dyDescent="0.3">
      <c r="C572" s="75"/>
      <c r="D572" s="76"/>
      <c r="E572" s="76"/>
      <c r="I572" s="75"/>
      <c r="J572" s="75"/>
      <c r="K572" s="76"/>
      <c r="L572" s="76"/>
      <c r="M572" s="76"/>
    </row>
    <row r="573" spans="3:13" ht="14.4" x14ac:dyDescent="0.3">
      <c r="C573" s="75"/>
      <c r="D573" s="76"/>
      <c r="E573" s="76"/>
      <c r="I573" s="75"/>
      <c r="J573" s="75"/>
      <c r="K573" s="76"/>
      <c r="L573" s="76"/>
      <c r="M573" s="76"/>
    </row>
    <row r="574" spans="3:13" ht="14.4" x14ac:dyDescent="0.3">
      <c r="C574" s="75"/>
      <c r="D574" s="76"/>
      <c r="E574" s="76"/>
      <c r="I574" s="75"/>
      <c r="J574" s="75"/>
      <c r="K574" s="76"/>
      <c r="L574" s="76"/>
      <c r="M574" s="76"/>
    </row>
    <row r="575" spans="3:13" ht="14.4" x14ac:dyDescent="0.3">
      <c r="C575" s="75"/>
      <c r="D575" s="76"/>
      <c r="E575" s="76"/>
      <c r="I575" s="75"/>
      <c r="J575" s="75"/>
      <c r="K575" s="76"/>
      <c r="L575" s="76"/>
      <c r="M575" s="76"/>
    </row>
    <row r="576" spans="3:13" ht="14.4" x14ac:dyDescent="0.3">
      <c r="C576" s="75"/>
      <c r="D576" s="76"/>
      <c r="E576" s="76"/>
      <c r="I576" s="75"/>
      <c r="J576" s="75"/>
      <c r="K576" s="76"/>
      <c r="L576" s="76"/>
      <c r="M576" s="76"/>
    </row>
    <row r="577" spans="3:13" ht="14.4" x14ac:dyDescent="0.3">
      <c r="C577" s="75"/>
      <c r="D577" s="76"/>
      <c r="E577" s="76"/>
      <c r="I577" s="75"/>
      <c r="J577" s="75"/>
      <c r="K577" s="76"/>
      <c r="L577" s="76"/>
      <c r="M577" s="76"/>
    </row>
    <row r="578" spans="3:13" ht="14.4" x14ac:dyDescent="0.3">
      <c r="C578" s="75"/>
      <c r="D578" s="76"/>
      <c r="E578" s="76"/>
      <c r="I578" s="75"/>
      <c r="J578" s="75"/>
      <c r="K578" s="76"/>
      <c r="L578" s="76"/>
      <c r="M578" s="76"/>
    </row>
    <row r="579" spans="3:13" ht="14.4" x14ac:dyDescent="0.3">
      <c r="C579" s="75"/>
      <c r="D579" s="76"/>
      <c r="E579" s="76"/>
      <c r="I579" s="75"/>
      <c r="J579" s="75"/>
      <c r="K579" s="76"/>
      <c r="L579" s="76"/>
      <c r="M579" s="76"/>
    </row>
    <row r="580" spans="3:13" ht="14.4" x14ac:dyDescent="0.3">
      <c r="C580" s="75"/>
      <c r="D580" s="76"/>
      <c r="E580" s="76"/>
      <c r="I580" s="75"/>
      <c r="J580" s="75"/>
      <c r="K580" s="76"/>
      <c r="L580" s="76"/>
      <c r="M580" s="76"/>
    </row>
    <row r="581" spans="3:13" ht="14.4" x14ac:dyDescent="0.3">
      <c r="C581" s="75"/>
      <c r="D581" s="76"/>
      <c r="E581" s="76"/>
      <c r="I581" s="75"/>
      <c r="J581" s="75"/>
      <c r="K581" s="76"/>
      <c r="L581" s="76"/>
      <c r="M581" s="76"/>
    </row>
    <row r="582" spans="3:13" ht="14.4" x14ac:dyDescent="0.3">
      <c r="C582" s="75"/>
      <c r="D582" s="76"/>
      <c r="E582" s="76"/>
      <c r="I582" s="75"/>
      <c r="J582" s="75"/>
      <c r="K582" s="76"/>
      <c r="L582" s="76"/>
      <c r="M582" s="76"/>
    </row>
    <row r="583" spans="3:13" ht="14.4" x14ac:dyDescent="0.3">
      <c r="C583" s="75"/>
      <c r="D583" s="76"/>
      <c r="E583" s="76"/>
      <c r="I583" s="75"/>
      <c r="J583" s="75"/>
      <c r="K583" s="76"/>
      <c r="L583" s="76"/>
      <c r="M583" s="76"/>
    </row>
    <row r="584" spans="3:13" ht="14.4" x14ac:dyDescent="0.3">
      <c r="C584" s="75"/>
      <c r="D584" s="76"/>
      <c r="E584" s="76"/>
      <c r="I584" s="75"/>
      <c r="J584" s="75"/>
      <c r="K584" s="76"/>
      <c r="L584" s="76"/>
      <c r="M584" s="76"/>
    </row>
    <row r="585" spans="3:13" ht="14.4" x14ac:dyDescent="0.3">
      <c r="C585" s="75"/>
      <c r="D585" s="76"/>
      <c r="E585" s="76"/>
      <c r="I585" s="75"/>
      <c r="J585" s="75"/>
      <c r="K585" s="76"/>
      <c r="L585" s="76"/>
      <c r="M585" s="76"/>
    </row>
    <row r="586" spans="3:13" ht="14.4" x14ac:dyDescent="0.3">
      <c r="C586" s="75"/>
      <c r="D586" s="76"/>
      <c r="E586" s="76"/>
      <c r="I586" s="75"/>
      <c r="J586" s="75"/>
      <c r="K586" s="76"/>
      <c r="L586" s="76"/>
      <c r="M586" s="76"/>
    </row>
    <row r="587" spans="3:13" ht="14.4" x14ac:dyDescent="0.3">
      <c r="C587" s="75"/>
      <c r="D587" s="76"/>
      <c r="E587" s="76"/>
      <c r="I587" s="75"/>
      <c r="J587" s="75"/>
      <c r="K587" s="76"/>
      <c r="L587" s="76"/>
      <c r="M587" s="76"/>
    </row>
    <row r="588" spans="3:13" ht="14.4" x14ac:dyDescent="0.3">
      <c r="C588" s="75"/>
      <c r="D588" s="76"/>
      <c r="E588" s="76"/>
      <c r="I588" s="75"/>
      <c r="J588" s="75"/>
      <c r="K588" s="76"/>
      <c r="L588" s="76"/>
      <c r="M588" s="76"/>
    </row>
    <row r="589" spans="3:13" ht="14.4" x14ac:dyDescent="0.3">
      <c r="C589" s="75"/>
      <c r="D589" s="76"/>
      <c r="E589" s="76"/>
      <c r="I589" s="75"/>
      <c r="J589" s="75"/>
      <c r="K589" s="76"/>
      <c r="L589" s="76"/>
      <c r="M589" s="76"/>
    </row>
    <row r="590" spans="3:13" ht="14.4" x14ac:dyDescent="0.3">
      <c r="C590" s="75"/>
      <c r="D590" s="76"/>
      <c r="E590" s="76"/>
      <c r="I590" s="75"/>
      <c r="J590" s="75"/>
      <c r="K590" s="76"/>
      <c r="L590" s="76"/>
      <c r="M590" s="76"/>
    </row>
    <row r="591" spans="3:13" ht="14.4" x14ac:dyDescent="0.3">
      <c r="C591" s="75"/>
      <c r="D591" s="76"/>
      <c r="E591" s="76"/>
      <c r="I591" s="75"/>
      <c r="J591" s="75"/>
      <c r="K591" s="76"/>
      <c r="L591" s="76"/>
      <c r="M591" s="76"/>
    </row>
    <row r="592" spans="3:13" ht="14.4" x14ac:dyDescent="0.3">
      <c r="C592" s="75"/>
      <c r="D592" s="76"/>
      <c r="E592" s="76"/>
      <c r="I592" s="75"/>
      <c r="J592" s="75"/>
      <c r="K592" s="76"/>
      <c r="L592" s="76"/>
      <c r="M592" s="76"/>
    </row>
    <row r="593" spans="3:13" ht="14.4" x14ac:dyDescent="0.3">
      <c r="C593" s="75"/>
      <c r="D593" s="76"/>
      <c r="E593" s="76"/>
      <c r="I593" s="75"/>
      <c r="J593" s="75"/>
      <c r="K593" s="76"/>
      <c r="L593" s="76"/>
      <c r="M593" s="76"/>
    </row>
    <row r="594" spans="3:13" ht="14.4" x14ac:dyDescent="0.3">
      <c r="C594" s="75"/>
      <c r="D594" s="76"/>
      <c r="E594" s="76"/>
      <c r="I594" s="75"/>
      <c r="J594" s="75"/>
      <c r="K594" s="76"/>
      <c r="L594" s="76"/>
      <c r="M594" s="76"/>
    </row>
    <row r="595" spans="3:13" ht="14.4" x14ac:dyDescent="0.3">
      <c r="C595" s="75"/>
      <c r="D595" s="76"/>
      <c r="E595" s="76"/>
      <c r="I595" s="75"/>
      <c r="J595" s="75"/>
      <c r="K595" s="76"/>
      <c r="L595" s="76"/>
      <c r="M595" s="76"/>
    </row>
    <row r="596" spans="3:13" ht="14.4" x14ac:dyDescent="0.3">
      <c r="C596" s="75"/>
      <c r="D596" s="76"/>
      <c r="E596" s="76"/>
      <c r="I596" s="75"/>
      <c r="J596" s="75"/>
      <c r="K596" s="76"/>
      <c r="L596" s="76"/>
      <c r="M596" s="76"/>
    </row>
    <row r="597" spans="3:13" ht="14.4" x14ac:dyDescent="0.3">
      <c r="C597" s="75"/>
      <c r="D597" s="76"/>
      <c r="E597" s="76"/>
      <c r="I597" s="75"/>
      <c r="J597" s="75"/>
      <c r="K597" s="76"/>
      <c r="L597" s="76"/>
      <c r="M597" s="76"/>
    </row>
    <row r="598" spans="3:13" ht="14.4" x14ac:dyDescent="0.3">
      <c r="C598" s="75"/>
      <c r="D598" s="76"/>
      <c r="E598" s="76"/>
      <c r="I598" s="75"/>
      <c r="J598" s="75"/>
      <c r="K598" s="76"/>
      <c r="L598" s="76"/>
      <c r="M598" s="76"/>
    </row>
    <row r="599" spans="3:13" ht="14.4" x14ac:dyDescent="0.3">
      <c r="C599" s="75"/>
      <c r="D599" s="76"/>
      <c r="E599" s="76"/>
      <c r="I599" s="75"/>
      <c r="J599" s="75"/>
      <c r="K599" s="76"/>
      <c r="L599" s="76"/>
      <c r="M599" s="76"/>
    </row>
    <row r="600" spans="3:13" ht="14.4" x14ac:dyDescent="0.3">
      <c r="C600" s="75"/>
      <c r="D600" s="76"/>
      <c r="E600" s="76"/>
      <c r="I600" s="75"/>
      <c r="J600" s="75"/>
      <c r="K600" s="76"/>
      <c r="L600" s="76"/>
      <c r="M600" s="76"/>
    </row>
    <row r="601" spans="3:13" ht="14.4" x14ac:dyDescent="0.3">
      <c r="C601" s="75"/>
      <c r="D601" s="76"/>
      <c r="E601" s="76"/>
      <c r="I601" s="75"/>
      <c r="J601" s="75"/>
      <c r="K601" s="76"/>
      <c r="L601" s="76"/>
      <c r="M601" s="76"/>
    </row>
    <row r="602" spans="3:13" ht="14.4" x14ac:dyDescent="0.3">
      <c r="C602" s="75"/>
      <c r="D602" s="76"/>
      <c r="E602" s="76"/>
      <c r="I602" s="75"/>
      <c r="J602" s="75"/>
      <c r="K602" s="76"/>
      <c r="L602" s="76"/>
      <c r="M602" s="76"/>
    </row>
    <row r="603" spans="3:13" ht="14.4" x14ac:dyDescent="0.3">
      <c r="C603" s="75"/>
      <c r="D603" s="76"/>
      <c r="E603" s="76"/>
      <c r="I603" s="75"/>
      <c r="J603" s="75"/>
      <c r="K603" s="76"/>
      <c r="L603" s="76"/>
      <c r="M603" s="76"/>
    </row>
    <row r="604" spans="3:13" ht="14.4" x14ac:dyDescent="0.3">
      <c r="C604" s="75"/>
      <c r="D604" s="76"/>
      <c r="E604" s="76"/>
      <c r="I604" s="75"/>
      <c r="J604" s="75"/>
      <c r="K604" s="76"/>
      <c r="L604" s="76"/>
      <c r="M604" s="76"/>
    </row>
    <row r="605" spans="3:13" ht="14.4" x14ac:dyDescent="0.3">
      <c r="C605" s="75"/>
      <c r="D605" s="76"/>
      <c r="E605" s="76"/>
      <c r="I605" s="75"/>
      <c r="J605" s="75"/>
      <c r="K605" s="76"/>
      <c r="L605" s="76"/>
      <c r="M605" s="76"/>
    </row>
    <row r="606" spans="3:13" ht="14.4" x14ac:dyDescent="0.3">
      <c r="C606" s="75"/>
      <c r="D606" s="76"/>
      <c r="E606" s="76"/>
      <c r="I606" s="75"/>
      <c r="J606" s="75"/>
      <c r="K606" s="76"/>
      <c r="L606" s="76"/>
      <c r="M606" s="76"/>
    </row>
    <row r="607" spans="3:13" ht="14.4" x14ac:dyDescent="0.3">
      <c r="C607" s="75"/>
      <c r="D607" s="76"/>
      <c r="E607" s="76"/>
      <c r="I607" s="75"/>
      <c r="J607" s="75"/>
      <c r="K607" s="76"/>
      <c r="L607" s="76"/>
      <c r="M607" s="76"/>
    </row>
    <row r="608" spans="3:13" ht="14.4" x14ac:dyDescent="0.3">
      <c r="C608" s="75"/>
      <c r="D608" s="76"/>
      <c r="E608" s="76"/>
      <c r="I608" s="75"/>
      <c r="J608" s="75"/>
      <c r="K608" s="76"/>
      <c r="L608" s="76"/>
      <c r="M608" s="76"/>
    </row>
    <row r="609" spans="3:13" ht="14.4" x14ac:dyDescent="0.3">
      <c r="C609" s="75"/>
      <c r="D609" s="76"/>
      <c r="E609" s="76"/>
      <c r="I609" s="75"/>
      <c r="J609" s="75"/>
      <c r="K609" s="76"/>
      <c r="L609" s="76"/>
      <c r="M609" s="76"/>
    </row>
    <row r="610" spans="3:13" ht="14.4" x14ac:dyDescent="0.3">
      <c r="C610" s="75"/>
      <c r="D610" s="76"/>
      <c r="E610" s="76"/>
      <c r="I610" s="75"/>
      <c r="J610" s="75"/>
      <c r="K610" s="76"/>
      <c r="L610" s="76"/>
      <c r="M610" s="76"/>
    </row>
    <row r="611" spans="3:13" ht="14.4" x14ac:dyDescent="0.3">
      <c r="C611" s="75"/>
      <c r="D611" s="76"/>
      <c r="E611" s="76"/>
      <c r="I611" s="75"/>
      <c r="J611" s="75"/>
      <c r="K611" s="76"/>
      <c r="L611" s="76"/>
      <c r="M611" s="76"/>
    </row>
    <row r="612" spans="3:13" ht="14.4" x14ac:dyDescent="0.3">
      <c r="C612" s="75"/>
      <c r="D612" s="76"/>
      <c r="E612" s="76"/>
      <c r="I612" s="75"/>
      <c r="J612" s="75"/>
      <c r="K612" s="76"/>
      <c r="L612" s="76"/>
      <c r="M612" s="76"/>
    </row>
    <row r="613" spans="3:13" ht="14.4" x14ac:dyDescent="0.3">
      <c r="C613" s="75"/>
      <c r="D613" s="76"/>
      <c r="E613" s="76"/>
      <c r="I613" s="75"/>
      <c r="J613" s="75"/>
      <c r="K613" s="76"/>
      <c r="L613" s="76"/>
      <c r="M613" s="76"/>
    </row>
    <row r="614" spans="3:13" ht="14.4" x14ac:dyDescent="0.3">
      <c r="C614" s="75"/>
      <c r="D614" s="76"/>
      <c r="E614" s="76"/>
      <c r="I614" s="75"/>
      <c r="J614" s="75"/>
      <c r="K614" s="76"/>
      <c r="L614" s="76"/>
      <c r="M614" s="76"/>
    </row>
    <row r="615" spans="3:13" ht="14.4" x14ac:dyDescent="0.3">
      <c r="C615" s="75"/>
      <c r="D615" s="76"/>
      <c r="E615" s="76"/>
      <c r="I615" s="75"/>
      <c r="J615" s="75"/>
      <c r="K615" s="76"/>
      <c r="L615" s="76"/>
      <c r="M615" s="76"/>
    </row>
    <row r="616" spans="3:13" ht="14.4" x14ac:dyDescent="0.3">
      <c r="C616" s="75"/>
      <c r="D616" s="76"/>
      <c r="E616" s="76"/>
      <c r="I616" s="75"/>
      <c r="J616" s="75"/>
      <c r="K616" s="76"/>
      <c r="L616" s="76"/>
      <c r="M616" s="76"/>
    </row>
    <row r="617" spans="3:13" ht="14.4" x14ac:dyDescent="0.3">
      <c r="C617" s="75"/>
      <c r="D617" s="76"/>
      <c r="E617" s="76"/>
      <c r="I617" s="75"/>
      <c r="J617" s="75"/>
      <c r="K617" s="76"/>
      <c r="L617" s="76"/>
      <c r="M617" s="76"/>
    </row>
    <row r="618" spans="3:13" ht="14.4" x14ac:dyDescent="0.3">
      <c r="C618" s="75"/>
      <c r="D618" s="76"/>
      <c r="E618" s="76"/>
      <c r="I618" s="75"/>
      <c r="J618" s="75"/>
      <c r="K618" s="76"/>
      <c r="L618" s="76"/>
      <c r="M618" s="76"/>
    </row>
    <row r="619" spans="3:13" ht="14.4" x14ac:dyDescent="0.3">
      <c r="C619" s="75"/>
      <c r="D619" s="76"/>
      <c r="E619" s="76"/>
      <c r="I619" s="75"/>
      <c r="J619" s="75"/>
      <c r="K619" s="76"/>
      <c r="L619" s="76"/>
      <c r="M619" s="76"/>
    </row>
    <row r="620" spans="3:13" ht="14.4" x14ac:dyDescent="0.3">
      <c r="C620" s="75"/>
      <c r="D620" s="76"/>
      <c r="E620" s="76"/>
      <c r="I620" s="75"/>
      <c r="J620" s="75"/>
      <c r="K620" s="76"/>
      <c r="L620" s="76"/>
      <c r="M620" s="76"/>
    </row>
    <row r="621" spans="3:13" ht="14.4" x14ac:dyDescent="0.3">
      <c r="C621" s="75"/>
      <c r="D621" s="76"/>
      <c r="E621" s="76"/>
      <c r="I621" s="75"/>
      <c r="J621" s="75"/>
      <c r="K621" s="76"/>
      <c r="L621" s="76"/>
      <c r="M621" s="76"/>
    </row>
    <row r="622" spans="3:13" ht="14.4" x14ac:dyDescent="0.3">
      <c r="C622" s="75"/>
      <c r="D622" s="76"/>
      <c r="E622" s="76"/>
      <c r="I622" s="75"/>
      <c r="J622" s="75"/>
      <c r="K622" s="76"/>
      <c r="L622" s="76"/>
      <c r="M622" s="76"/>
    </row>
    <row r="623" spans="3:13" ht="14.4" x14ac:dyDescent="0.3">
      <c r="C623" s="75"/>
      <c r="D623" s="76"/>
      <c r="E623" s="76"/>
      <c r="I623" s="75"/>
      <c r="J623" s="75"/>
      <c r="K623" s="76"/>
      <c r="L623" s="76"/>
      <c r="M623" s="76"/>
    </row>
    <row r="624" spans="3:13" ht="14.4" x14ac:dyDescent="0.3">
      <c r="C624" s="75"/>
      <c r="D624" s="76"/>
      <c r="E624" s="76"/>
      <c r="I624" s="75"/>
      <c r="J624" s="75"/>
      <c r="K624" s="76"/>
      <c r="L624" s="76"/>
      <c r="M624" s="76"/>
    </row>
    <row r="625" spans="3:13" ht="14.4" x14ac:dyDescent="0.3">
      <c r="C625" s="75"/>
      <c r="D625" s="76"/>
      <c r="E625" s="76"/>
      <c r="I625" s="75"/>
      <c r="J625" s="75"/>
      <c r="K625" s="76"/>
      <c r="L625" s="76"/>
      <c r="M625" s="76"/>
    </row>
    <row r="626" spans="3:13" ht="14.4" x14ac:dyDescent="0.3">
      <c r="C626" s="75"/>
      <c r="D626" s="76"/>
      <c r="E626" s="76"/>
      <c r="I626" s="75"/>
      <c r="J626" s="75"/>
      <c r="K626" s="76"/>
      <c r="L626" s="76"/>
      <c r="M626" s="76"/>
    </row>
    <row r="627" spans="3:13" ht="14.4" x14ac:dyDescent="0.3">
      <c r="C627" s="75"/>
      <c r="D627" s="76"/>
      <c r="E627" s="76"/>
      <c r="I627" s="75"/>
      <c r="J627" s="75"/>
      <c r="K627" s="76"/>
      <c r="L627" s="76"/>
      <c r="M627" s="76"/>
    </row>
    <row r="628" spans="3:13" ht="14.4" x14ac:dyDescent="0.3">
      <c r="C628" s="75"/>
      <c r="D628" s="76"/>
      <c r="E628" s="76"/>
      <c r="I628" s="75"/>
      <c r="J628" s="75"/>
      <c r="K628" s="76"/>
      <c r="L628" s="76"/>
      <c r="M628" s="76"/>
    </row>
    <row r="629" spans="3:13" ht="14.4" x14ac:dyDescent="0.3">
      <c r="C629" s="75"/>
      <c r="D629" s="76"/>
      <c r="E629" s="76"/>
      <c r="I629" s="75"/>
      <c r="J629" s="75"/>
      <c r="K629" s="76"/>
      <c r="L629" s="76"/>
      <c r="M629" s="76"/>
    </row>
    <row r="630" spans="3:13" ht="14.4" x14ac:dyDescent="0.3">
      <c r="C630" s="75"/>
      <c r="D630" s="76"/>
      <c r="E630" s="76"/>
      <c r="I630" s="75"/>
      <c r="J630" s="75"/>
      <c r="K630" s="76"/>
      <c r="L630" s="76"/>
      <c r="M630" s="76"/>
    </row>
    <row r="631" spans="3:13" ht="14.4" x14ac:dyDescent="0.3">
      <c r="C631" s="75"/>
      <c r="D631" s="76"/>
      <c r="E631" s="76"/>
      <c r="I631" s="75"/>
      <c r="J631" s="75"/>
      <c r="K631" s="76"/>
      <c r="L631" s="76"/>
      <c r="M631" s="76"/>
    </row>
    <row r="632" spans="3:13" ht="14.4" x14ac:dyDescent="0.3">
      <c r="C632" s="75"/>
      <c r="D632" s="76"/>
      <c r="E632" s="76"/>
      <c r="I632" s="75"/>
      <c r="J632" s="75"/>
      <c r="K632" s="76"/>
      <c r="L632" s="76"/>
      <c r="M632" s="76"/>
    </row>
    <row r="633" spans="3:13" ht="14.4" x14ac:dyDescent="0.3">
      <c r="C633" s="75"/>
      <c r="D633" s="76"/>
      <c r="E633" s="76"/>
      <c r="I633" s="75"/>
      <c r="J633" s="75"/>
      <c r="K633" s="76"/>
      <c r="L633" s="76"/>
      <c r="M633" s="76"/>
    </row>
    <row r="634" spans="3:13" ht="14.4" x14ac:dyDescent="0.3">
      <c r="C634" s="75"/>
      <c r="D634" s="76"/>
      <c r="E634" s="76"/>
      <c r="I634" s="75"/>
      <c r="J634" s="75"/>
      <c r="K634" s="76"/>
      <c r="L634" s="76"/>
      <c r="M634" s="76"/>
    </row>
    <row r="635" spans="3:13" ht="14.4" x14ac:dyDescent="0.3">
      <c r="C635" s="75"/>
      <c r="D635" s="76"/>
      <c r="E635" s="76"/>
      <c r="I635" s="75"/>
      <c r="J635" s="75"/>
      <c r="K635" s="76"/>
      <c r="L635" s="76"/>
      <c r="M635" s="76"/>
    </row>
    <row r="636" spans="3:13" ht="14.4" x14ac:dyDescent="0.3">
      <c r="C636" s="75"/>
      <c r="D636" s="76"/>
      <c r="E636" s="76"/>
      <c r="I636" s="75"/>
      <c r="J636" s="75"/>
      <c r="K636" s="76"/>
      <c r="L636" s="76"/>
      <c r="M636" s="76"/>
    </row>
    <row r="637" spans="3:13" ht="14.4" x14ac:dyDescent="0.3">
      <c r="C637" s="75"/>
      <c r="D637" s="76"/>
      <c r="E637" s="76"/>
      <c r="I637" s="75"/>
      <c r="J637" s="75"/>
      <c r="K637" s="76"/>
      <c r="L637" s="76"/>
      <c r="M637" s="76"/>
    </row>
    <row r="638" spans="3:13" ht="14.4" x14ac:dyDescent="0.3">
      <c r="C638" s="75"/>
      <c r="D638" s="76"/>
      <c r="E638" s="76"/>
      <c r="I638" s="75"/>
      <c r="J638" s="75"/>
      <c r="K638" s="76"/>
      <c r="L638" s="76"/>
      <c r="M638" s="76"/>
    </row>
    <row r="639" spans="3:13" ht="14.4" x14ac:dyDescent="0.3">
      <c r="C639" s="75"/>
      <c r="D639" s="76"/>
      <c r="E639" s="76"/>
      <c r="I639" s="75"/>
      <c r="J639" s="75"/>
      <c r="K639" s="76"/>
      <c r="L639" s="76"/>
      <c r="M639" s="76"/>
    </row>
    <row r="640" spans="3:13" ht="14.4" x14ac:dyDescent="0.3">
      <c r="C640" s="75"/>
      <c r="D640" s="76"/>
      <c r="E640" s="76"/>
      <c r="I640" s="75"/>
      <c r="J640" s="75"/>
      <c r="K640" s="76"/>
      <c r="L640" s="76"/>
      <c r="M640" s="76"/>
    </row>
    <row r="641" spans="3:13" ht="14.4" x14ac:dyDescent="0.3">
      <c r="C641" s="75"/>
      <c r="D641" s="76"/>
      <c r="E641" s="76"/>
      <c r="I641" s="75"/>
      <c r="J641" s="75"/>
      <c r="K641" s="76"/>
      <c r="L641" s="76"/>
      <c r="M641" s="76"/>
    </row>
    <row r="642" spans="3:13" ht="14.4" x14ac:dyDescent="0.3">
      <c r="C642" s="75"/>
      <c r="D642" s="76"/>
      <c r="E642" s="76"/>
      <c r="I642" s="75"/>
      <c r="J642" s="75"/>
      <c r="K642" s="76"/>
      <c r="L642" s="76"/>
      <c r="M642" s="76"/>
    </row>
    <row r="643" spans="3:13" ht="14.4" x14ac:dyDescent="0.3">
      <c r="C643" s="75"/>
      <c r="D643" s="76"/>
      <c r="E643" s="76"/>
      <c r="I643" s="75"/>
      <c r="J643" s="75"/>
      <c r="K643" s="76"/>
      <c r="L643" s="76"/>
      <c r="M643" s="76"/>
    </row>
    <row r="644" spans="3:13" ht="14.4" x14ac:dyDescent="0.3">
      <c r="C644" s="75"/>
      <c r="D644" s="76"/>
      <c r="E644" s="76"/>
      <c r="I644" s="75"/>
      <c r="J644" s="75"/>
      <c r="K644" s="76"/>
      <c r="L644" s="76"/>
      <c r="M644" s="76"/>
    </row>
    <row r="645" spans="3:13" ht="14.4" x14ac:dyDescent="0.3">
      <c r="C645" s="75"/>
      <c r="D645" s="76"/>
      <c r="E645" s="76"/>
      <c r="I645" s="75"/>
      <c r="J645" s="75"/>
      <c r="K645" s="76"/>
      <c r="L645" s="76"/>
      <c r="M645" s="76"/>
    </row>
    <row r="646" spans="3:13" ht="14.4" x14ac:dyDescent="0.3">
      <c r="C646" s="75"/>
      <c r="D646" s="76"/>
      <c r="E646" s="76"/>
      <c r="I646" s="75"/>
      <c r="J646" s="75"/>
      <c r="K646" s="76"/>
      <c r="L646" s="76"/>
      <c r="M646" s="76"/>
    </row>
    <row r="647" spans="3:13" ht="14.4" x14ac:dyDescent="0.3">
      <c r="C647" s="75"/>
      <c r="D647" s="76"/>
      <c r="E647" s="76"/>
      <c r="I647" s="75"/>
      <c r="J647" s="75"/>
      <c r="K647" s="76"/>
      <c r="L647" s="76"/>
      <c r="M647" s="76"/>
    </row>
    <row r="648" spans="3:13" ht="14.4" x14ac:dyDescent="0.3">
      <c r="C648" s="75"/>
      <c r="D648" s="76"/>
      <c r="E648" s="76"/>
      <c r="I648" s="75"/>
      <c r="J648" s="75"/>
      <c r="K648" s="76"/>
      <c r="L648" s="76"/>
      <c r="M648" s="76"/>
    </row>
    <row r="649" spans="3:13" ht="14.4" x14ac:dyDescent="0.3">
      <c r="C649" s="75"/>
      <c r="D649" s="76"/>
      <c r="E649" s="76"/>
      <c r="I649" s="75"/>
      <c r="J649" s="75"/>
      <c r="K649" s="76"/>
      <c r="L649" s="76"/>
      <c r="M649" s="76"/>
    </row>
    <row r="650" spans="3:13" ht="14.4" x14ac:dyDescent="0.3">
      <c r="C650" s="75"/>
      <c r="D650" s="76"/>
      <c r="E650" s="76"/>
      <c r="I650" s="75"/>
      <c r="J650" s="75"/>
      <c r="K650" s="76"/>
      <c r="L650" s="76"/>
      <c r="M650" s="76"/>
    </row>
    <row r="651" spans="3:13" ht="14.4" x14ac:dyDescent="0.3">
      <c r="C651" s="75"/>
      <c r="D651" s="76"/>
      <c r="E651" s="76"/>
      <c r="I651" s="75"/>
      <c r="J651" s="75"/>
      <c r="K651" s="76"/>
      <c r="L651" s="76"/>
      <c r="M651" s="76"/>
    </row>
    <row r="652" spans="3:13" ht="14.4" x14ac:dyDescent="0.3">
      <c r="C652" s="75"/>
      <c r="D652" s="76"/>
      <c r="E652" s="76"/>
      <c r="I652" s="75"/>
      <c r="J652" s="75"/>
      <c r="K652" s="76"/>
      <c r="L652" s="76"/>
      <c r="M652" s="76"/>
    </row>
    <row r="653" spans="3:13" ht="14.4" x14ac:dyDescent="0.3">
      <c r="C653" s="75"/>
      <c r="D653" s="76"/>
      <c r="E653" s="76"/>
      <c r="I653" s="75"/>
      <c r="J653" s="75"/>
      <c r="K653" s="76"/>
      <c r="L653" s="76"/>
      <c r="M653" s="76"/>
    </row>
    <row r="654" spans="3:13" ht="14.4" x14ac:dyDescent="0.3">
      <c r="C654" s="75"/>
      <c r="D654" s="76"/>
      <c r="E654" s="76"/>
      <c r="I654" s="75"/>
      <c r="J654" s="75"/>
      <c r="K654" s="76"/>
      <c r="L654" s="76"/>
      <c r="M654" s="76"/>
    </row>
    <row r="655" spans="3:13" ht="14.4" x14ac:dyDescent="0.3">
      <c r="C655" s="75"/>
      <c r="D655" s="76"/>
      <c r="E655" s="76"/>
      <c r="I655" s="75"/>
      <c r="J655" s="75"/>
      <c r="K655" s="76"/>
      <c r="L655" s="76"/>
      <c r="M655" s="76"/>
    </row>
    <row r="656" spans="3:13" ht="14.4" x14ac:dyDescent="0.3">
      <c r="C656" s="75"/>
      <c r="D656" s="76"/>
      <c r="E656" s="76"/>
      <c r="I656" s="75"/>
      <c r="J656" s="75"/>
      <c r="K656" s="76"/>
      <c r="L656" s="76"/>
      <c r="M656" s="76"/>
    </row>
    <row r="657" spans="3:13" ht="14.4" x14ac:dyDescent="0.3">
      <c r="C657" s="75"/>
      <c r="D657" s="76"/>
      <c r="E657" s="76"/>
      <c r="I657" s="75"/>
      <c r="J657" s="75"/>
      <c r="K657" s="76"/>
      <c r="L657" s="76"/>
      <c r="M657" s="76"/>
    </row>
    <row r="658" spans="3:13" ht="14.4" x14ac:dyDescent="0.3">
      <c r="C658" s="75"/>
      <c r="D658" s="76"/>
      <c r="E658" s="76"/>
      <c r="I658" s="75"/>
      <c r="J658" s="75"/>
      <c r="K658" s="76"/>
      <c r="L658" s="76"/>
      <c r="M658" s="76"/>
    </row>
    <row r="659" spans="3:13" ht="14.4" x14ac:dyDescent="0.3">
      <c r="C659" s="75"/>
      <c r="D659" s="76"/>
      <c r="E659" s="76"/>
      <c r="I659" s="75"/>
      <c r="J659" s="75"/>
      <c r="K659" s="76"/>
      <c r="L659" s="76"/>
      <c r="M659" s="76"/>
    </row>
    <row r="660" spans="3:13" ht="14.4" x14ac:dyDescent="0.3">
      <c r="C660" s="75"/>
      <c r="D660" s="76"/>
      <c r="E660" s="76"/>
      <c r="I660" s="75"/>
      <c r="J660" s="75"/>
      <c r="K660" s="76"/>
      <c r="L660" s="76"/>
      <c r="M660" s="76"/>
    </row>
    <row r="661" spans="3:13" ht="14.4" x14ac:dyDescent="0.3">
      <c r="C661" s="75"/>
      <c r="D661" s="76"/>
      <c r="E661" s="76"/>
      <c r="I661" s="75"/>
      <c r="J661" s="75"/>
      <c r="K661" s="76"/>
      <c r="L661" s="76"/>
      <c r="M661" s="76"/>
    </row>
    <row r="662" spans="3:13" ht="14.4" x14ac:dyDescent="0.3">
      <c r="C662" s="75"/>
      <c r="D662" s="76"/>
      <c r="E662" s="76"/>
      <c r="I662" s="75"/>
      <c r="J662" s="75"/>
      <c r="K662" s="76"/>
      <c r="L662" s="76"/>
      <c r="M662" s="76"/>
    </row>
    <row r="663" spans="3:13" ht="14.4" x14ac:dyDescent="0.3">
      <c r="C663" s="75"/>
      <c r="D663" s="76"/>
      <c r="E663" s="76"/>
      <c r="I663" s="75"/>
      <c r="J663" s="75"/>
      <c r="K663" s="76"/>
      <c r="L663" s="76"/>
      <c r="M663" s="76"/>
    </row>
    <row r="664" spans="3:13" ht="14.4" x14ac:dyDescent="0.3">
      <c r="C664" s="75"/>
      <c r="D664" s="76"/>
      <c r="E664" s="76"/>
      <c r="I664" s="75"/>
      <c r="J664" s="75"/>
      <c r="K664" s="76"/>
      <c r="L664" s="76"/>
      <c r="M664" s="76"/>
    </row>
    <row r="665" spans="3:13" ht="14.4" x14ac:dyDescent="0.3">
      <c r="C665" s="75"/>
      <c r="D665" s="76"/>
      <c r="E665" s="76"/>
      <c r="I665" s="75"/>
      <c r="J665" s="75"/>
      <c r="K665" s="76"/>
      <c r="L665" s="76"/>
      <c r="M665" s="76"/>
    </row>
    <row r="666" spans="3:13" ht="14.4" x14ac:dyDescent="0.3">
      <c r="C666" s="75"/>
      <c r="D666" s="76"/>
      <c r="E666" s="76"/>
      <c r="I666" s="75"/>
      <c r="J666" s="75"/>
      <c r="K666" s="76"/>
      <c r="L666" s="76"/>
      <c r="M666" s="76"/>
    </row>
    <row r="667" spans="3:13" ht="14.4" x14ac:dyDescent="0.3">
      <c r="C667" s="75"/>
      <c r="D667" s="76"/>
      <c r="E667" s="76"/>
      <c r="I667" s="75"/>
      <c r="J667" s="75"/>
      <c r="K667" s="76"/>
      <c r="L667" s="76"/>
      <c r="M667" s="76"/>
    </row>
    <row r="668" spans="3:13" ht="14.4" x14ac:dyDescent="0.3">
      <c r="C668" s="75"/>
      <c r="D668" s="76"/>
      <c r="E668" s="76"/>
      <c r="I668" s="75"/>
      <c r="J668" s="75"/>
      <c r="K668" s="76"/>
      <c r="L668" s="76"/>
      <c r="M668" s="76"/>
    </row>
    <row r="669" spans="3:13" ht="14.4" x14ac:dyDescent="0.3">
      <c r="C669" s="75"/>
      <c r="D669" s="76"/>
      <c r="E669" s="76"/>
      <c r="I669" s="75"/>
      <c r="J669" s="75"/>
      <c r="K669" s="76"/>
      <c r="L669" s="76"/>
      <c r="M669" s="76"/>
    </row>
    <row r="670" spans="3:13" ht="14.4" x14ac:dyDescent="0.3">
      <c r="C670" s="75"/>
      <c r="D670" s="76"/>
      <c r="E670" s="76"/>
      <c r="I670" s="75"/>
      <c r="J670" s="75"/>
      <c r="K670" s="76"/>
      <c r="L670" s="76"/>
      <c r="M670" s="76"/>
    </row>
    <row r="671" spans="3:13" ht="14.4" x14ac:dyDescent="0.3">
      <c r="C671" s="75"/>
      <c r="D671" s="76"/>
      <c r="E671" s="76"/>
      <c r="I671" s="75"/>
      <c r="J671" s="75"/>
      <c r="K671" s="76"/>
      <c r="L671" s="76"/>
      <c r="M671" s="76"/>
    </row>
    <row r="672" spans="3:13" ht="14.4" x14ac:dyDescent="0.3">
      <c r="C672" s="75"/>
      <c r="D672" s="76"/>
      <c r="E672" s="76"/>
      <c r="I672" s="75"/>
      <c r="J672" s="75"/>
      <c r="K672" s="76"/>
      <c r="L672" s="76"/>
      <c r="M672" s="76"/>
    </row>
    <row r="673" spans="3:13" ht="14.4" x14ac:dyDescent="0.3">
      <c r="C673" s="75"/>
      <c r="D673" s="76"/>
      <c r="E673" s="76"/>
      <c r="I673" s="75"/>
      <c r="J673" s="75"/>
      <c r="K673" s="76"/>
      <c r="L673" s="76"/>
      <c r="M673" s="76"/>
    </row>
    <row r="674" spans="3:13" ht="14.4" x14ac:dyDescent="0.3">
      <c r="C674" s="75"/>
      <c r="D674" s="76"/>
      <c r="E674" s="76"/>
      <c r="I674" s="75"/>
      <c r="J674" s="75"/>
      <c r="K674" s="76"/>
      <c r="L674" s="76"/>
      <c r="M674" s="76"/>
    </row>
    <row r="675" spans="3:13" ht="14.4" x14ac:dyDescent="0.3">
      <c r="C675" s="75"/>
      <c r="D675" s="76"/>
      <c r="E675" s="76"/>
      <c r="I675" s="75"/>
      <c r="J675" s="75"/>
      <c r="K675" s="76"/>
      <c r="L675" s="76"/>
      <c r="M675" s="76"/>
    </row>
    <row r="676" spans="3:13" ht="14.4" x14ac:dyDescent="0.3">
      <c r="C676" s="75"/>
      <c r="D676" s="76"/>
      <c r="E676" s="76"/>
      <c r="I676" s="75"/>
      <c r="J676" s="75"/>
      <c r="K676" s="76"/>
      <c r="L676" s="76"/>
      <c r="M676" s="76"/>
    </row>
    <row r="677" spans="3:13" ht="14.4" x14ac:dyDescent="0.3">
      <c r="C677" s="75"/>
      <c r="D677" s="76"/>
      <c r="E677" s="76"/>
      <c r="I677" s="75"/>
      <c r="J677" s="75"/>
      <c r="K677" s="76"/>
      <c r="L677" s="76"/>
      <c r="M677" s="76"/>
    </row>
    <row r="678" spans="3:13" ht="14.4" x14ac:dyDescent="0.3">
      <c r="C678" s="75"/>
      <c r="D678" s="76"/>
      <c r="E678" s="76"/>
      <c r="I678" s="75"/>
      <c r="J678" s="75"/>
      <c r="K678" s="76"/>
      <c r="L678" s="76"/>
      <c r="M678" s="76"/>
    </row>
    <row r="679" spans="3:13" ht="14.4" x14ac:dyDescent="0.3">
      <c r="C679" s="75"/>
      <c r="D679" s="76"/>
      <c r="E679" s="76"/>
      <c r="I679" s="75"/>
      <c r="J679" s="75"/>
      <c r="K679" s="76"/>
      <c r="L679" s="76"/>
      <c r="M679" s="76"/>
    </row>
    <row r="680" spans="3:13" ht="14.4" x14ac:dyDescent="0.3">
      <c r="C680" s="75"/>
      <c r="D680" s="76"/>
      <c r="E680" s="76"/>
      <c r="I680" s="75"/>
      <c r="J680" s="75"/>
      <c r="K680" s="76"/>
      <c r="L680" s="76"/>
      <c r="M680" s="76"/>
    </row>
    <row r="681" spans="3:13" ht="14.4" x14ac:dyDescent="0.3">
      <c r="C681" s="75"/>
      <c r="D681" s="76"/>
      <c r="E681" s="76"/>
      <c r="I681" s="75"/>
      <c r="J681" s="75"/>
      <c r="K681" s="76"/>
      <c r="L681" s="76"/>
      <c r="M681" s="76"/>
    </row>
    <row r="682" spans="3:13" ht="14.4" x14ac:dyDescent="0.3">
      <c r="C682" s="75"/>
      <c r="D682" s="76"/>
      <c r="E682" s="76"/>
      <c r="I682" s="75"/>
      <c r="J682" s="75"/>
      <c r="K682" s="76"/>
      <c r="L682" s="76"/>
      <c r="M682" s="76"/>
    </row>
    <row r="683" spans="3:13" ht="14.4" x14ac:dyDescent="0.3">
      <c r="C683" s="75"/>
      <c r="D683" s="76"/>
      <c r="E683" s="76"/>
      <c r="I683" s="75"/>
      <c r="J683" s="75"/>
      <c r="K683" s="76"/>
      <c r="L683" s="76"/>
      <c r="M683" s="76"/>
    </row>
    <row r="684" spans="3:13" ht="14.4" x14ac:dyDescent="0.3">
      <c r="C684" s="75"/>
      <c r="D684" s="76"/>
      <c r="E684" s="76"/>
      <c r="I684" s="75"/>
      <c r="J684" s="75"/>
      <c r="K684" s="76"/>
      <c r="L684" s="76"/>
      <c r="M684" s="76"/>
    </row>
    <row r="685" spans="3:13" ht="14.4" x14ac:dyDescent="0.3">
      <c r="C685" s="75"/>
      <c r="D685" s="76"/>
      <c r="E685" s="76"/>
      <c r="I685" s="75"/>
      <c r="J685" s="75"/>
      <c r="K685" s="76"/>
      <c r="L685" s="76"/>
      <c r="M685" s="76"/>
    </row>
    <row r="686" spans="3:13" ht="14.4" x14ac:dyDescent="0.3">
      <c r="C686" s="75"/>
      <c r="D686" s="76"/>
      <c r="E686" s="76"/>
      <c r="I686" s="75"/>
      <c r="J686" s="75"/>
      <c r="K686" s="76"/>
      <c r="L686" s="76"/>
      <c r="M686" s="76"/>
    </row>
    <row r="687" spans="3:13" ht="14.4" x14ac:dyDescent="0.3">
      <c r="C687" s="75"/>
      <c r="D687" s="76"/>
      <c r="E687" s="76"/>
      <c r="I687" s="75"/>
      <c r="J687" s="75"/>
      <c r="K687" s="76"/>
      <c r="L687" s="76"/>
      <c r="M687" s="76"/>
    </row>
    <row r="688" spans="3:13" ht="14.4" x14ac:dyDescent="0.3">
      <c r="C688" s="75"/>
      <c r="D688" s="76"/>
      <c r="E688" s="76"/>
      <c r="I688" s="75"/>
      <c r="J688" s="75"/>
      <c r="K688" s="76"/>
      <c r="L688" s="76"/>
      <c r="M688" s="76"/>
    </row>
    <row r="689" spans="3:13" ht="14.4" x14ac:dyDescent="0.3">
      <c r="C689" s="75"/>
      <c r="D689" s="76"/>
      <c r="E689" s="76"/>
      <c r="I689" s="75"/>
      <c r="J689" s="75"/>
      <c r="K689" s="76"/>
      <c r="L689" s="76"/>
      <c r="M689" s="76"/>
    </row>
    <row r="690" spans="3:13" ht="14.4" x14ac:dyDescent="0.3">
      <c r="C690" s="75"/>
      <c r="D690" s="76"/>
      <c r="E690" s="76"/>
      <c r="I690" s="75"/>
      <c r="J690" s="75"/>
      <c r="K690" s="76"/>
      <c r="L690" s="76"/>
      <c r="M690" s="76"/>
    </row>
    <row r="691" spans="3:13" ht="14.4" x14ac:dyDescent="0.3">
      <c r="C691" s="75"/>
      <c r="D691" s="76"/>
      <c r="E691" s="76"/>
      <c r="I691" s="75"/>
      <c r="J691" s="75"/>
      <c r="K691" s="76"/>
      <c r="L691" s="76"/>
      <c r="M691" s="76"/>
    </row>
    <row r="692" spans="3:13" ht="14.4" x14ac:dyDescent="0.3">
      <c r="C692" s="75"/>
      <c r="D692" s="76"/>
      <c r="E692" s="76"/>
      <c r="I692" s="75"/>
      <c r="J692" s="75"/>
      <c r="K692" s="76"/>
      <c r="L692" s="76"/>
      <c r="M692" s="76"/>
    </row>
    <row r="693" spans="3:13" ht="14.4" x14ac:dyDescent="0.3">
      <c r="C693" s="75"/>
      <c r="D693" s="76"/>
      <c r="E693" s="76"/>
      <c r="I693" s="75"/>
      <c r="J693" s="75"/>
      <c r="K693" s="76"/>
      <c r="L693" s="76"/>
      <c r="M693" s="76"/>
    </row>
    <row r="694" spans="3:13" ht="14.4" x14ac:dyDescent="0.3">
      <c r="C694" s="75"/>
      <c r="D694" s="76"/>
      <c r="E694" s="76"/>
      <c r="I694" s="75"/>
      <c r="J694" s="75"/>
      <c r="K694" s="76"/>
      <c r="L694" s="76"/>
      <c r="M694" s="76"/>
    </row>
    <row r="695" spans="3:13" ht="14.4" x14ac:dyDescent="0.3">
      <c r="C695" s="75"/>
      <c r="D695" s="76"/>
      <c r="E695" s="76"/>
      <c r="I695" s="75"/>
      <c r="J695" s="75"/>
      <c r="K695" s="76"/>
      <c r="L695" s="76"/>
      <c r="M695" s="76"/>
    </row>
    <row r="696" spans="3:13" ht="14.4" x14ac:dyDescent="0.3">
      <c r="C696" s="75"/>
      <c r="D696" s="76"/>
      <c r="E696" s="76"/>
      <c r="I696" s="75"/>
      <c r="J696" s="75"/>
      <c r="K696" s="76"/>
      <c r="L696" s="76"/>
      <c r="M696" s="76"/>
    </row>
    <row r="697" spans="3:13" ht="14.4" x14ac:dyDescent="0.3">
      <c r="C697" s="75"/>
      <c r="D697" s="76"/>
      <c r="E697" s="76"/>
      <c r="I697" s="75"/>
      <c r="J697" s="75"/>
      <c r="K697" s="76"/>
      <c r="L697" s="76"/>
      <c r="M697" s="76"/>
    </row>
    <row r="698" spans="3:13" ht="14.4" x14ac:dyDescent="0.3">
      <c r="C698" s="75"/>
      <c r="D698" s="76"/>
      <c r="E698" s="76"/>
      <c r="I698" s="75"/>
      <c r="J698" s="75"/>
      <c r="K698" s="76"/>
      <c r="L698" s="76"/>
      <c r="M698" s="76"/>
    </row>
    <row r="699" spans="3:13" ht="14.4" x14ac:dyDescent="0.3">
      <c r="C699" s="75"/>
      <c r="D699" s="76"/>
      <c r="E699" s="76"/>
      <c r="I699" s="75"/>
      <c r="J699" s="75"/>
      <c r="K699" s="76"/>
      <c r="L699" s="76"/>
      <c r="M699" s="76"/>
    </row>
    <row r="700" spans="3:13" ht="14.4" x14ac:dyDescent="0.3">
      <c r="C700" s="75"/>
      <c r="D700" s="76"/>
      <c r="E700" s="76"/>
      <c r="I700" s="75"/>
      <c r="J700" s="75"/>
      <c r="K700" s="76"/>
      <c r="L700" s="76"/>
      <c r="M700" s="76"/>
    </row>
    <row r="701" spans="3:13" ht="14.4" x14ac:dyDescent="0.3">
      <c r="C701" s="75"/>
      <c r="D701" s="76"/>
      <c r="E701" s="76"/>
      <c r="I701" s="75"/>
      <c r="J701" s="75"/>
      <c r="K701" s="76"/>
      <c r="L701" s="76"/>
      <c r="M701" s="76"/>
    </row>
    <row r="702" spans="3:13" ht="14.4" x14ac:dyDescent="0.3">
      <c r="C702" s="75"/>
      <c r="D702" s="76"/>
      <c r="E702" s="76"/>
      <c r="I702" s="75"/>
      <c r="J702" s="75"/>
      <c r="K702" s="76"/>
      <c r="L702" s="76"/>
      <c r="M702" s="76"/>
    </row>
    <row r="703" spans="3:13" ht="14.4" x14ac:dyDescent="0.3">
      <c r="C703" s="75"/>
      <c r="D703" s="76"/>
      <c r="E703" s="76"/>
      <c r="I703" s="75"/>
      <c r="J703" s="75"/>
      <c r="K703" s="76"/>
      <c r="L703" s="76"/>
      <c r="M703" s="76"/>
    </row>
    <row r="704" spans="3:13" ht="14.4" x14ac:dyDescent="0.3">
      <c r="C704" s="75"/>
      <c r="D704" s="76"/>
      <c r="E704" s="76"/>
      <c r="I704" s="75"/>
      <c r="J704" s="75"/>
      <c r="K704" s="76"/>
      <c r="L704" s="76"/>
      <c r="M704" s="76"/>
    </row>
    <row r="705" spans="3:13" ht="14.4" x14ac:dyDescent="0.3">
      <c r="C705" s="75"/>
      <c r="D705" s="76"/>
      <c r="E705" s="76"/>
      <c r="I705" s="75"/>
      <c r="J705" s="75"/>
      <c r="K705" s="76"/>
      <c r="L705" s="76"/>
      <c r="M705" s="76"/>
    </row>
    <row r="706" spans="3:13" ht="14.4" x14ac:dyDescent="0.3">
      <c r="C706" s="75"/>
      <c r="D706" s="76"/>
      <c r="E706" s="76"/>
      <c r="I706" s="75"/>
      <c r="J706" s="75"/>
      <c r="K706" s="76"/>
      <c r="L706" s="76"/>
      <c r="M706" s="76"/>
    </row>
    <row r="707" spans="3:13" ht="14.4" x14ac:dyDescent="0.3">
      <c r="C707" s="75"/>
      <c r="D707" s="76"/>
      <c r="E707" s="76"/>
      <c r="I707" s="75"/>
      <c r="J707" s="75"/>
      <c r="K707" s="76"/>
      <c r="L707" s="76"/>
      <c r="M707" s="76"/>
    </row>
    <row r="708" spans="3:13" ht="14.4" x14ac:dyDescent="0.3">
      <c r="C708" s="75"/>
      <c r="D708" s="76"/>
      <c r="E708" s="76"/>
      <c r="I708" s="75"/>
      <c r="J708" s="75"/>
      <c r="K708" s="76"/>
      <c r="L708" s="76"/>
      <c r="M708" s="76"/>
    </row>
    <row r="709" spans="3:13" ht="14.4" x14ac:dyDescent="0.3">
      <c r="C709" s="75"/>
      <c r="D709" s="76"/>
      <c r="E709" s="76"/>
      <c r="I709" s="75"/>
      <c r="J709" s="75"/>
      <c r="K709" s="76"/>
      <c r="L709" s="76"/>
      <c r="M709" s="76"/>
    </row>
    <row r="710" spans="3:13" ht="14.4" x14ac:dyDescent="0.3">
      <c r="C710" s="75"/>
      <c r="D710" s="76"/>
      <c r="E710" s="76"/>
      <c r="I710" s="75"/>
      <c r="J710" s="75"/>
      <c r="K710" s="76"/>
      <c r="L710" s="76"/>
      <c r="M710" s="76"/>
    </row>
    <row r="711" spans="3:13" ht="14.4" x14ac:dyDescent="0.3">
      <c r="C711" s="75"/>
      <c r="D711" s="76"/>
      <c r="E711" s="76"/>
      <c r="I711" s="75"/>
      <c r="J711" s="75"/>
      <c r="K711" s="76"/>
      <c r="L711" s="76"/>
      <c r="M711" s="76"/>
    </row>
    <row r="712" spans="3:13" ht="14.4" x14ac:dyDescent="0.3">
      <c r="C712" s="75"/>
      <c r="D712" s="76"/>
      <c r="E712" s="76"/>
      <c r="I712" s="75"/>
      <c r="J712" s="75"/>
      <c r="K712" s="76"/>
      <c r="L712" s="76"/>
      <c r="M712" s="76"/>
    </row>
    <row r="713" spans="3:13" ht="14.4" x14ac:dyDescent="0.3">
      <c r="C713" s="75"/>
      <c r="D713" s="76"/>
      <c r="E713" s="76"/>
      <c r="I713" s="75"/>
      <c r="J713" s="75"/>
      <c r="K713" s="76"/>
      <c r="L713" s="76"/>
      <c r="M713" s="76"/>
    </row>
    <row r="714" spans="3:13" ht="14.4" x14ac:dyDescent="0.3">
      <c r="C714" s="75"/>
      <c r="D714" s="76"/>
      <c r="E714" s="76"/>
      <c r="I714" s="75"/>
      <c r="J714" s="75"/>
      <c r="K714" s="76"/>
      <c r="L714" s="76"/>
      <c r="M714" s="76"/>
    </row>
    <row r="715" spans="3:13" ht="14.4" x14ac:dyDescent="0.3">
      <c r="C715" s="75"/>
      <c r="D715" s="76"/>
      <c r="E715" s="76"/>
      <c r="I715" s="75"/>
      <c r="J715" s="75"/>
      <c r="K715" s="76"/>
      <c r="L715" s="76"/>
      <c r="M715" s="76"/>
    </row>
    <row r="716" spans="3:13" ht="14.4" x14ac:dyDescent="0.3">
      <c r="C716" s="75"/>
      <c r="D716" s="76"/>
      <c r="E716" s="76"/>
      <c r="I716" s="75"/>
      <c r="J716" s="75"/>
      <c r="K716" s="76"/>
      <c r="L716" s="76"/>
      <c r="M716" s="76"/>
    </row>
    <row r="717" spans="3:13" ht="14.4" x14ac:dyDescent="0.3">
      <c r="C717" s="75"/>
      <c r="D717" s="76"/>
      <c r="E717" s="76"/>
      <c r="I717" s="75"/>
      <c r="J717" s="75"/>
      <c r="K717" s="76"/>
      <c r="L717" s="76"/>
      <c r="M717" s="76"/>
    </row>
    <row r="718" spans="3:13" ht="14.4" x14ac:dyDescent="0.3">
      <c r="C718" s="75"/>
      <c r="D718" s="76"/>
      <c r="E718" s="76"/>
      <c r="I718" s="75"/>
      <c r="J718" s="75"/>
      <c r="K718" s="76"/>
      <c r="L718" s="76"/>
      <c r="M718" s="76"/>
    </row>
    <row r="719" spans="3:13" ht="14.4" x14ac:dyDescent="0.3">
      <c r="C719" s="75"/>
      <c r="D719" s="76"/>
      <c r="E719" s="76"/>
      <c r="I719" s="75"/>
      <c r="J719" s="75"/>
      <c r="K719" s="76"/>
      <c r="L719" s="76"/>
      <c r="M719" s="76"/>
    </row>
    <row r="720" spans="3:13" ht="14.4" x14ac:dyDescent="0.3">
      <c r="C720" s="75"/>
      <c r="D720" s="76"/>
      <c r="E720" s="76"/>
      <c r="I720" s="75"/>
      <c r="J720" s="75"/>
      <c r="K720" s="76"/>
      <c r="L720" s="76"/>
      <c r="M720" s="76"/>
    </row>
    <row r="721" spans="3:13" ht="14.4" x14ac:dyDescent="0.3">
      <c r="C721" s="75"/>
      <c r="D721" s="76"/>
      <c r="E721" s="76"/>
      <c r="I721" s="75"/>
      <c r="J721" s="75"/>
      <c r="K721" s="76"/>
      <c r="L721" s="76"/>
      <c r="M721" s="76"/>
    </row>
    <row r="722" spans="3:13" ht="14.4" x14ac:dyDescent="0.3">
      <c r="C722" s="75"/>
      <c r="D722" s="76"/>
      <c r="E722" s="76"/>
      <c r="I722" s="75"/>
      <c r="J722" s="75"/>
      <c r="K722" s="76"/>
      <c r="L722" s="76"/>
      <c r="M722" s="76"/>
    </row>
    <row r="723" spans="3:13" ht="14.4" x14ac:dyDescent="0.3">
      <c r="C723" s="75"/>
      <c r="D723" s="76"/>
      <c r="E723" s="76"/>
      <c r="I723" s="75"/>
      <c r="J723" s="75"/>
      <c r="K723" s="76"/>
      <c r="L723" s="76"/>
      <c r="M723" s="76"/>
    </row>
    <row r="724" spans="3:13" ht="14.4" x14ac:dyDescent="0.3">
      <c r="C724" s="75"/>
      <c r="D724" s="76"/>
      <c r="E724" s="76"/>
      <c r="I724" s="75"/>
      <c r="J724" s="75"/>
      <c r="K724" s="76"/>
      <c r="L724" s="76"/>
      <c r="M724" s="76"/>
    </row>
    <row r="725" spans="3:13" ht="14.4" x14ac:dyDescent="0.3">
      <c r="C725" s="75"/>
      <c r="D725" s="76"/>
      <c r="E725" s="76"/>
      <c r="I725" s="75"/>
      <c r="J725" s="75"/>
      <c r="K725" s="76"/>
      <c r="L725" s="76"/>
      <c r="M725" s="76"/>
    </row>
    <row r="726" spans="3:13" ht="14.4" x14ac:dyDescent="0.3">
      <c r="C726" s="75"/>
      <c r="D726" s="76"/>
      <c r="E726" s="76"/>
      <c r="I726" s="75"/>
      <c r="J726" s="75"/>
      <c r="K726" s="76"/>
      <c r="L726" s="76"/>
      <c r="M726" s="76"/>
    </row>
    <row r="727" spans="3:13" ht="14.4" x14ac:dyDescent="0.3">
      <c r="C727" s="75"/>
      <c r="D727" s="76"/>
      <c r="E727" s="76"/>
      <c r="I727" s="75"/>
      <c r="J727" s="75"/>
      <c r="K727" s="76"/>
      <c r="L727" s="76"/>
      <c r="M727" s="76"/>
    </row>
    <row r="728" spans="3:13" ht="14.4" x14ac:dyDescent="0.3">
      <c r="C728" s="75"/>
      <c r="D728" s="76"/>
      <c r="E728" s="76"/>
      <c r="I728" s="75"/>
      <c r="J728" s="75"/>
      <c r="K728" s="76"/>
      <c r="L728" s="76"/>
      <c r="M728" s="76"/>
    </row>
    <row r="729" spans="3:13" ht="14.4" x14ac:dyDescent="0.3">
      <c r="C729" s="75"/>
      <c r="D729" s="76"/>
      <c r="E729" s="76"/>
      <c r="I729" s="75"/>
      <c r="J729" s="75"/>
      <c r="K729" s="76"/>
      <c r="L729" s="76"/>
      <c r="M729" s="76"/>
    </row>
    <row r="730" spans="3:13" ht="14.4" x14ac:dyDescent="0.3">
      <c r="C730" s="75"/>
      <c r="D730" s="76"/>
      <c r="E730" s="76"/>
      <c r="I730" s="75"/>
      <c r="J730" s="75"/>
      <c r="K730" s="76"/>
      <c r="L730" s="76"/>
      <c r="M730" s="76"/>
    </row>
    <row r="731" spans="3:13" ht="14.4" x14ac:dyDescent="0.3">
      <c r="C731" s="75"/>
      <c r="D731" s="76"/>
      <c r="E731" s="76"/>
      <c r="I731" s="75"/>
      <c r="J731" s="75"/>
      <c r="K731" s="76"/>
      <c r="L731" s="76"/>
      <c r="M731" s="76"/>
    </row>
    <row r="732" spans="3:13" ht="14.4" x14ac:dyDescent="0.3">
      <c r="C732" s="75"/>
      <c r="D732" s="76"/>
      <c r="E732" s="76"/>
      <c r="I732" s="75"/>
      <c r="J732" s="75"/>
      <c r="K732" s="76"/>
      <c r="L732" s="76"/>
      <c r="M732" s="76"/>
    </row>
    <row r="733" spans="3:13" ht="14.4" x14ac:dyDescent="0.3">
      <c r="C733" s="75"/>
      <c r="D733" s="76"/>
      <c r="E733" s="76"/>
      <c r="I733" s="75"/>
      <c r="J733" s="75"/>
      <c r="K733" s="76"/>
      <c r="L733" s="76"/>
      <c r="M733" s="76"/>
    </row>
    <row r="734" spans="3:13" ht="14.4" x14ac:dyDescent="0.3">
      <c r="C734" s="75"/>
      <c r="D734" s="76"/>
      <c r="E734" s="76"/>
      <c r="I734" s="75"/>
      <c r="J734" s="75"/>
      <c r="K734" s="76"/>
      <c r="L734" s="76"/>
      <c r="M734" s="76"/>
    </row>
    <row r="735" spans="3:13" ht="14.4" x14ac:dyDescent="0.3">
      <c r="C735" s="75"/>
      <c r="D735" s="76"/>
      <c r="E735" s="76"/>
      <c r="I735" s="75"/>
      <c r="J735" s="75"/>
      <c r="K735" s="76"/>
      <c r="L735" s="76"/>
      <c r="M735" s="76"/>
    </row>
    <row r="736" spans="3:13" ht="14.4" x14ac:dyDescent="0.3">
      <c r="C736" s="75"/>
      <c r="D736" s="76"/>
      <c r="E736" s="76"/>
      <c r="I736" s="75"/>
      <c r="J736" s="75"/>
      <c r="K736" s="76"/>
      <c r="L736" s="76"/>
      <c r="M736" s="76"/>
    </row>
    <row r="737" spans="3:13" ht="14.4" x14ac:dyDescent="0.3">
      <c r="C737" s="75"/>
      <c r="D737" s="76"/>
      <c r="E737" s="76"/>
      <c r="I737" s="75"/>
      <c r="J737" s="75"/>
      <c r="K737" s="76"/>
      <c r="L737" s="76"/>
      <c r="M737" s="76"/>
    </row>
    <row r="738" spans="3:13" ht="14.4" x14ac:dyDescent="0.3">
      <c r="C738" s="75"/>
      <c r="D738" s="76"/>
      <c r="E738" s="76"/>
      <c r="I738" s="75"/>
      <c r="J738" s="75"/>
      <c r="K738" s="76"/>
      <c r="L738" s="76"/>
      <c r="M738" s="76"/>
    </row>
    <row r="739" spans="3:13" ht="14.4" x14ac:dyDescent="0.3">
      <c r="C739" s="75"/>
      <c r="D739" s="76"/>
      <c r="E739" s="76"/>
      <c r="I739" s="75"/>
      <c r="J739" s="75"/>
      <c r="K739" s="76"/>
      <c r="L739" s="76"/>
      <c r="M739" s="76"/>
    </row>
    <row r="740" spans="3:13" ht="14.4" x14ac:dyDescent="0.3">
      <c r="C740" s="75"/>
      <c r="D740" s="76"/>
      <c r="E740" s="76"/>
      <c r="I740" s="75"/>
      <c r="J740" s="75"/>
      <c r="K740" s="76"/>
      <c r="L740" s="76"/>
      <c r="M740" s="76"/>
    </row>
    <row r="741" spans="3:13" ht="14.4" x14ac:dyDescent="0.3">
      <c r="C741" s="75"/>
      <c r="D741" s="76"/>
      <c r="E741" s="76"/>
      <c r="I741" s="75"/>
      <c r="J741" s="75"/>
      <c r="K741" s="76"/>
      <c r="L741" s="76"/>
      <c r="M741" s="76"/>
    </row>
    <row r="742" spans="3:13" ht="14.4" x14ac:dyDescent="0.3">
      <c r="C742" s="75"/>
      <c r="D742" s="76"/>
      <c r="E742" s="76"/>
      <c r="I742" s="75"/>
      <c r="J742" s="75"/>
      <c r="K742" s="76"/>
      <c r="L742" s="76"/>
      <c r="M742" s="76"/>
    </row>
    <row r="743" spans="3:13" ht="14.4" x14ac:dyDescent="0.3">
      <c r="C743" s="75"/>
      <c r="D743" s="76"/>
      <c r="E743" s="76"/>
      <c r="I743" s="75"/>
      <c r="J743" s="75"/>
      <c r="K743" s="76"/>
      <c r="L743" s="76"/>
      <c r="M743" s="76"/>
    </row>
    <row r="744" spans="3:13" ht="14.4" x14ac:dyDescent="0.3">
      <c r="C744" s="75"/>
      <c r="D744" s="76"/>
      <c r="E744" s="76"/>
      <c r="I744" s="75"/>
      <c r="J744" s="75"/>
      <c r="K744" s="76"/>
      <c r="L744" s="76"/>
      <c r="M744" s="76"/>
    </row>
    <row r="745" spans="3:13" ht="14.4" x14ac:dyDescent="0.3">
      <c r="C745" s="75"/>
      <c r="D745" s="76"/>
      <c r="E745" s="76"/>
      <c r="I745" s="75"/>
      <c r="J745" s="75"/>
      <c r="K745" s="76"/>
      <c r="L745" s="76"/>
      <c r="M745" s="76"/>
    </row>
    <row r="746" spans="3:13" ht="14.4" x14ac:dyDescent="0.3">
      <c r="C746" s="75"/>
      <c r="D746" s="76"/>
      <c r="E746" s="76"/>
      <c r="I746" s="75"/>
      <c r="J746" s="75"/>
      <c r="K746" s="76"/>
      <c r="L746" s="76"/>
      <c r="M746" s="76"/>
    </row>
    <row r="747" spans="3:13" ht="14.4" x14ac:dyDescent="0.3">
      <c r="C747" s="75"/>
      <c r="D747" s="76"/>
      <c r="E747" s="76"/>
      <c r="I747" s="75"/>
      <c r="J747" s="75"/>
      <c r="K747" s="76"/>
      <c r="L747" s="76"/>
      <c r="M747" s="76"/>
    </row>
    <row r="748" spans="3:13" ht="14.4" x14ac:dyDescent="0.3">
      <c r="C748" s="75"/>
      <c r="D748" s="76"/>
      <c r="E748" s="76"/>
      <c r="I748" s="75"/>
      <c r="J748" s="75"/>
      <c r="K748" s="76"/>
      <c r="L748" s="76"/>
      <c r="M748" s="76"/>
    </row>
    <row r="749" spans="3:13" ht="14.4" x14ac:dyDescent="0.3">
      <c r="C749" s="75"/>
      <c r="D749" s="76"/>
      <c r="E749" s="76"/>
      <c r="I749" s="75"/>
      <c r="J749" s="75"/>
      <c r="K749" s="76"/>
      <c r="L749" s="76"/>
      <c r="M749" s="76"/>
    </row>
    <row r="750" spans="3:13" ht="14.4" x14ac:dyDescent="0.3">
      <c r="C750" s="75"/>
      <c r="D750" s="76"/>
      <c r="E750" s="76"/>
      <c r="I750" s="75"/>
      <c r="J750" s="75"/>
      <c r="K750" s="76"/>
      <c r="L750" s="76"/>
      <c r="M750" s="76"/>
    </row>
    <row r="751" spans="3:13" ht="14.4" x14ac:dyDescent="0.3">
      <c r="C751" s="75"/>
      <c r="D751" s="76"/>
      <c r="E751" s="76"/>
      <c r="I751" s="75"/>
      <c r="J751" s="75"/>
      <c r="K751" s="76"/>
      <c r="L751" s="76"/>
      <c r="M751" s="76"/>
    </row>
    <row r="752" spans="3:13" ht="14.4" x14ac:dyDescent="0.3">
      <c r="C752" s="75"/>
      <c r="D752" s="76"/>
      <c r="E752" s="76"/>
      <c r="I752" s="75"/>
      <c r="J752" s="75"/>
      <c r="K752" s="76"/>
      <c r="L752" s="76"/>
      <c r="M752" s="76"/>
    </row>
    <row r="753" spans="3:13" ht="14.4" x14ac:dyDescent="0.3">
      <c r="C753" s="75"/>
      <c r="D753" s="76"/>
      <c r="E753" s="76"/>
      <c r="I753" s="75"/>
      <c r="J753" s="75"/>
      <c r="K753" s="76"/>
      <c r="L753" s="76"/>
      <c r="M753" s="76"/>
    </row>
    <row r="754" spans="3:13" ht="14.4" x14ac:dyDescent="0.3">
      <c r="C754" s="75"/>
      <c r="D754" s="76"/>
      <c r="E754" s="76"/>
      <c r="I754" s="75"/>
      <c r="J754" s="75"/>
      <c r="K754" s="76"/>
      <c r="L754" s="76"/>
      <c r="M754" s="76"/>
    </row>
    <row r="755" spans="3:13" ht="14.4" x14ac:dyDescent="0.3">
      <c r="C755" s="75"/>
      <c r="D755" s="76"/>
      <c r="E755" s="76"/>
      <c r="I755" s="75"/>
      <c r="J755" s="75"/>
      <c r="K755" s="76"/>
      <c r="L755" s="76"/>
      <c r="M755" s="76"/>
    </row>
    <row r="756" spans="3:13" ht="14.4" x14ac:dyDescent="0.3">
      <c r="C756" s="75"/>
      <c r="D756" s="76"/>
      <c r="E756" s="76"/>
      <c r="I756" s="75"/>
      <c r="J756" s="75"/>
      <c r="K756" s="76"/>
      <c r="L756" s="76"/>
      <c r="M756" s="76"/>
    </row>
    <row r="757" spans="3:13" ht="14.4" x14ac:dyDescent="0.3">
      <c r="C757" s="75"/>
      <c r="D757" s="76"/>
      <c r="E757" s="76"/>
      <c r="I757" s="75"/>
      <c r="J757" s="75"/>
      <c r="K757" s="76"/>
      <c r="L757" s="76"/>
      <c r="M757" s="76"/>
    </row>
    <row r="758" spans="3:13" ht="14.4" x14ac:dyDescent="0.3">
      <c r="C758" s="75"/>
      <c r="D758" s="76"/>
      <c r="E758" s="76"/>
      <c r="I758" s="75"/>
      <c r="J758" s="75"/>
      <c r="K758" s="76"/>
      <c r="L758" s="76"/>
      <c r="M758" s="76"/>
    </row>
    <row r="759" spans="3:13" ht="14.4" x14ac:dyDescent="0.3">
      <c r="C759" s="75"/>
      <c r="D759" s="76"/>
      <c r="E759" s="76"/>
      <c r="I759" s="75"/>
      <c r="J759" s="75"/>
      <c r="K759" s="76"/>
      <c r="L759" s="76"/>
      <c r="M759" s="76"/>
    </row>
    <row r="760" spans="3:13" ht="14.4" x14ac:dyDescent="0.3">
      <c r="C760" s="75"/>
      <c r="D760" s="76"/>
      <c r="E760" s="76"/>
      <c r="I760" s="75"/>
      <c r="J760" s="75"/>
      <c r="K760" s="76"/>
      <c r="L760" s="76"/>
      <c r="M760" s="76"/>
    </row>
    <row r="761" spans="3:13" ht="14.4" x14ac:dyDescent="0.3">
      <c r="C761" s="75"/>
      <c r="D761" s="76"/>
      <c r="E761" s="76"/>
      <c r="I761" s="75"/>
      <c r="J761" s="75"/>
      <c r="K761" s="76"/>
      <c r="L761" s="76"/>
      <c r="M761" s="76"/>
    </row>
    <row r="762" spans="3:13" ht="14.4" x14ac:dyDescent="0.3">
      <c r="C762" s="75"/>
      <c r="D762" s="76"/>
      <c r="E762" s="76"/>
      <c r="I762" s="75"/>
      <c r="J762" s="75"/>
      <c r="K762" s="76"/>
      <c r="L762" s="76"/>
      <c r="M762" s="76"/>
    </row>
    <row r="763" spans="3:13" ht="14.4" x14ac:dyDescent="0.3">
      <c r="C763" s="75"/>
      <c r="D763" s="76"/>
      <c r="E763" s="76"/>
      <c r="I763" s="75"/>
      <c r="J763" s="75"/>
      <c r="K763" s="76"/>
      <c r="L763" s="76"/>
      <c r="M763" s="76"/>
    </row>
    <row r="764" spans="3:13" ht="14.4" x14ac:dyDescent="0.3">
      <c r="C764" s="75"/>
      <c r="D764" s="76"/>
      <c r="E764" s="76"/>
      <c r="I764" s="75"/>
      <c r="J764" s="75"/>
      <c r="K764" s="76"/>
      <c r="L764" s="76"/>
      <c r="M764" s="76"/>
    </row>
    <row r="765" spans="3:13" ht="14.4" x14ac:dyDescent="0.3">
      <c r="C765" s="75"/>
      <c r="D765" s="76"/>
      <c r="E765" s="76"/>
      <c r="I765" s="75"/>
      <c r="J765" s="75"/>
      <c r="K765" s="76"/>
      <c r="L765" s="76"/>
      <c r="M765" s="76"/>
    </row>
    <row r="766" spans="3:13" ht="14.4" x14ac:dyDescent="0.3">
      <c r="C766" s="75"/>
      <c r="D766" s="76"/>
      <c r="E766" s="76"/>
      <c r="I766" s="75"/>
      <c r="J766" s="75"/>
      <c r="K766" s="76"/>
      <c r="L766" s="76"/>
      <c r="M766" s="76"/>
    </row>
    <row r="767" spans="3:13" ht="14.4" x14ac:dyDescent="0.3">
      <c r="C767" s="75"/>
      <c r="D767" s="76"/>
      <c r="E767" s="76"/>
      <c r="I767" s="75"/>
      <c r="J767" s="75"/>
      <c r="K767" s="76"/>
      <c r="L767" s="76"/>
      <c r="M767" s="76"/>
    </row>
    <row r="768" spans="3:13" ht="14.4" x14ac:dyDescent="0.3">
      <c r="C768" s="75"/>
      <c r="D768" s="76"/>
      <c r="E768" s="76"/>
      <c r="I768" s="75"/>
      <c r="J768" s="75"/>
      <c r="K768" s="76"/>
      <c r="L768" s="76"/>
      <c r="M768" s="76"/>
    </row>
    <row r="769" spans="3:13" ht="14.4" x14ac:dyDescent="0.3">
      <c r="C769" s="75"/>
      <c r="D769" s="76"/>
      <c r="E769" s="76"/>
      <c r="I769" s="75"/>
      <c r="J769" s="75"/>
      <c r="K769" s="76"/>
      <c r="L769" s="76"/>
      <c r="M769" s="76"/>
    </row>
    <row r="770" spans="3:13" ht="14.4" x14ac:dyDescent="0.3">
      <c r="C770" s="75"/>
      <c r="D770" s="76"/>
      <c r="E770" s="76"/>
      <c r="I770" s="75"/>
      <c r="J770" s="75"/>
      <c r="K770" s="76"/>
      <c r="L770" s="76"/>
      <c r="M770" s="76"/>
    </row>
    <row r="771" spans="3:13" ht="14.4" x14ac:dyDescent="0.3">
      <c r="C771" s="75"/>
      <c r="D771" s="76"/>
      <c r="E771" s="76"/>
      <c r="I771" s="75"/>
      <c r="J771" s="75"/>
      <c r="K771" s="76"/>
      <c r="L771" s="76"/>
      <c r="M771" s="76"/>
    </row>
    <row r="772" spans="3:13" ht="14.4" x14ac:dyDescent="0.3">
      <c r="C772" s="75"/>
      <c r="D772" s="76"/>
      <c r="E772" s="76"/>
      <c r="I772" s="75"/>
      <c r="J772" s="75"/>
      <c r="K772" s="76"/>
      <c r="L772" s="76"/>
      <c r="M772" s="76"/>
    </row>
    <row r="773" spans="3:13" ht="14.4" x14ac:dyDescent="0.3">
      <c r="C773" s="75"/>
      <c r="D773" s="76"/>
      <c r="E773" s="76"/>
      <c r="I773" s="75"/>
      <c r="J773" s="75"/>
      <c r="K773" s="76"/>
      <c r="L773" s="76"/>
      <c r="M773" s="76"/>
    </row>
    <row r="774" spans="3:13" ht="14.4" x14ac:dyDescent="0.3">
      <c r="C774" s="75"/>
      <c r="D774" s="76"/>
      <c r="E774" s="76"/>
      <c r="I774" s="75"/>
      <c r="J774" s="75"/>
      <c r="K774" s="76"/>
      <c r="L774" s="76"/>
      <c r="M774" s="76"/>
    </row>
    <row r="775" spans="3:13" ht="14.4" x14ac:dyDescent="0.3">
      <c r="C775" s="75"/>
      <c r="D775" s="76"/>
      <c r="E775" s="76"/>
      <c r="I775" s="75"/>
      <c r="J775" s="75"/>
      <c r="K775" s="76"/>
      <c r="L775" s="76"/>
      <c r="M775" s="76"/>
    </row>
    <row r="776" spans="3:13" ht="14.4" x14ac:dyDescent="0.3">
      <c r="C776" s="75"/>
      <c r="D776" s="76"/>
      <c r="E776" s="76"/>
      <c r="I776" s="75"/>
      <c r="J776" s="75"/>
      <c r="K776" s="76"/>
      <c r="L776" s="76"/>
      <c r="M776" s="76"/>
    </row>
    <row r="777" spans="3:13" ht="14.4" x14ac:dyDescent="0.3">
      <c r="C777" s="75"/>
      <c r="D777" s="76"/>
      <c r="E777" s="76"/>
      <c r="I777" s="75"/>
      <c r="J777" s="75"/>
      <c r="K777" s="76"/>
      <c r="L777" s="76"/>
      <c r="M777" s="76"/>
    </row>
    <row r="778" spans="3:13" ht="14.4" x14ac:dyDescent="0.3">
      <c r="C778" s="75"/>
      <c r="D778" s="76"/>
      <c r="E778" s="76"/>
      <c r="I778" s="75"/>
      <c r="J778" s="75"/>
      <c r="K778" s="76"/>
      <c r="L778" s="76"/>
      <c r="M778" s="76"/>
    </row>
    <row r="779" spans="3:13" ht="14.4" x14ac:dyDescent="0.3">
      <c r="C779" s="75"/>
      <c r="D779" s="76"/>
      <c r="E779" s="76"/>
      <c r="I779" s="75"/>
      <c r="J779" s="75"/>
      <c r="K779" s="76"/>
      <c r="L779" s="76"/>
      <c r="M779" s="76"/>
    </row>
    <row r="780" spans="3:13" ht="14.4" x14ac:dyDescent="0.3">
      <c r="C780" s="75"/>
      <c r="D780" s="76"/>
      <c r="E780" s="76"/>
      <c r="I780" s="75"/>
      <c r="J780" s="75"/>
      <c r="K780" s="76"/>
      <c r="L780" s="76"/>
      <c r="M780" s="76"/>
    </row>
    <row r="781" spans="3:13" ht="14.4" x14ac:dyDescent="0.3">
      <c r="C781" s="75"/>
      <c r="D781" s="76"/>
      <c r="E781" s="76"/>
      <c r="I781" s="75"/>
      <c r="J781" s="75"/>
      <c r="K781" s="76"/>
      <c r="L781" s="76"/>
      <c r="M781" s="76"/>
    </row>
    <row r="782" spans="3:13" ht="14.4" x14ac:dyDescent="0.3">
      <c r="C782" s="75"/>
      <c r="D782" s="76"/>
      <c r="E782" s="76"/>
      <c r="I782" s="75"/>
      <c r="J782" s="75"/>
      <c r="K782" s="76"/>
      <c r="L782" s="76"/>
      <c r="M782" s="76"/>
    </row>
    <row r="783" spans="3:13" ht="14.4" x14ac:dyDescent="0.3">
      <c r="C783" s="75"/>
      <c r="D783" s="76"/>
      <c r="E783" s="76"/>
      <c r="I783" s="75"/>
      <c r="J783" s="75"/>
      <c r="K783" s="76"/>
      <c r="L783" s="76"/>
      <c r="M783" s="76"/>
    </row>
    <row r="784" spans="3:13" ht="14.4" x14ac:dyDescent="0.3">
      <c r="C784" s="75"/>
      <c r="D784" s="76"/>
      <c r="E784" s="76"/>
      <c r="I784" s="75"/>
      <c r="J784" s="75"/>
      <c r="K784" s="76"/>
      <c r="L784" s="76"/>
      <c r="M784" s="76"/>
    </row>
    <row r="785" spans="3:13" ht="14.4" x14ac:dyDescent="0.3">
      <c r="C785" s="75"/>
      <c r="D785" s="76"/>
      <c r="E785" s="76"/>
      <c r="I785" s="75"/>
      <c r="J785" s="75"/>
      <c r="K785" s="76"/>
      <c r="L785" s="76"/>
      <c r="M785" s="76"/>
    </row>
    <row r="786" spans="3:13" ht="14.4" x14ac:dyDescent="0.3">
      <c r="C786" s="75"/>
      <c r="D786" s="76"/>
      <c r="E786" s="76"/>
      <c r="I786" s="75"/>
      <c r="J786" s="75"/>
      <c r="K786" s="76"/>
      <c r="L786" s="76"/>
      <c r="M786" s="76"/>
    </row>
    <row r="787" spans="3:13" ht="14.4" x14ac:dyDescent="0.3">
      <c r="C787" s="75"/>
      <c r="D787" s="76"/>
      <c r="E787" s="76"/>
      <c r="I787" s="75"/>
      <c r="J787" s="75"/>
      <c r="K787" s="76"/>
      <c r="L787" s="76"/>
      <c r="M787" s="76"/>
    </row>
    <row r="788" spans="3:13" ht="14.4" x14ac:dyDescent="0.3">
      <c r="C788" s="75"/>
      <c r="D788" s="76"/>
      <c r="E788" s="76"/>
      <c r="I788" s="75"/>
      <c r="J788" s="75"/>
      <c r="K788" s="76"/>
      <c r="L788" s="76"/>
      <c r="M788" s="76"/>
    </row>
    <row r="789" spans="3:13" ht="14.4" x14ac:dyDescent="0.3">
      <c r="C789" s="75"/>
      <c r="D789" s="76"/>
      <c r="E789" s="76"/>
      <c r="I789" s="75"/>
      <c r="J789" s="75"/>
      <c r="K789" s="76"/>
      <c r="L789" s="76"/>
      <c r="M789" s="76"/>
    </row>
    <row r="790" spans="3:13" ht="14.4" x14ac:dyDescent="0.3">
      <c r="C790" s="75"/>
      <c r="D790" s="76"/>
      <c r="E790" s="76"/>
      <c r="I790" s="75"/>
      <c r="J790" s="75"/>
      <c r="K790" s="76"/>
      <c r="L790" s="76"/>
      <c r="M790" s="76"/>
    </row>
    <row r="791" spans="3:13" ht="14.4" x14ac:dyDescent="0.3">
      <c r="C791" s="75"/>
      <c r="D791" s="76"/>
      <c r="E791" s="76"/>
      <c r="I791" s="75"/>
      <c r="J791" s="75"/>
      <c r="K791" s="76"/>
      <c r="L791" s="76"/>
      <c r="M791" s="76"/>
    </row>
    <row r="792" spans="3:13" ht="14.4" x14ac:dyDescent="0.3">
      <c r="C792" s="75"/>
      <c r="D792" s="76"/>
      <c r="E792" s="76"/>
      <c r="I792" s="75"/>
      <c r="J792" s="75"/>
      <c r="K792" s="76"/>
      <c r="L792" s="76"/>
      <c r="M792" s="76"/>
    </row>
    <row r="793" spans="3:13" ht="14.4" x14ac:dyDescent="0.3">
      <c r="C793" s="75"/>
      <c r="D793" s="76"/>
      <c r="E793" s="76"/>
      <c r="I793" s="75"/>
      <c r="J793" s="75"/>
      <c r="K793" s="76"/>
      <c r="L793" s="76"/>
      <c r="M793" s="76"/>
    </row>
    <row r="794" spans="3:13" ht="14.4" x14ac:dyDescent="0.3">
      <c r="C794" s="75"/>
      <c r="D794" s="76"/>
      <c r="E794" s="76"/>
      <c r="I794" s="75"/>
      <c r="J794" s="75"/>
      <c r="K794" s="76"/>
      <c r="L794" s="76"/>
      <c r="M794" s="76"/>
    </row>
    <row r="795" spans="3:13" ht="14.4" x14ac:dyDescent="0.3">
      <c r="C795" s="75"/>
      <c r="D795" s="76"/>
      <c r="E795" s="76"/>
      <c r="I795" s="75"/>
      <c r="J795" s="75"/>
      <c r="K795" s="76"/>
      <c r="L795" s="76"/>
      <c r="M795" s="76"/>
    </row>
    <row r="796" spans="3:13" ht="14.4" x14ac:dyDescent="0.3">
      <c r="C796" s="75"/>
      <c r="D796" s="76"/>
      <c r="E796" s="76"/>
      <c r="I796" s="75"/>
      <c r="J796" s="75"/>
      <c r="K796" s="76"/>
      <c r="L796" s="76"/>
      <c r="M796" s="76"/>
    </row>
    <row r="797" spans="3:13" ht="14.4" x14ac:dyDescent="0.3">
      <c r="C797" s="75"/>
      <c r="D797" s="76"/>
      <c r="E797" s="76"/>
      <c r="I797" s="75"/>
      <c r="J797" s="75"/>
      <c r="K797" s="76"/>
      <c r="L797" s="76"/>
      <c r="M797" s="76"/>
    </row>
    <row r="798" spans="3:13" ht="14.4" x14ac:dyDescent="0.3">
      <c r="C798" s="75"/>
      <c r="D798" s="76"/>
      <c r="E798" s="76"/>
      <c r="I798" s="75"/>
      <c r="J798" s="75"/>
      <c r="K798" s="76"/>
      <c r="L798" s="76"/>
      <c r="M798" s="76"/>
    </row>
    <row r="799" spans="3:13" ht="14.4" x14ac:dyDescent="0.3">
      <c r="C799" s="75"/>
      <c r="D799" s="76"/>
      <c r="E799" s="76"/>
      <c r="I799" s="75"/>
      <c r="J799" s="75"/>
      <c r="K799" s="76"/>
      <c r="L799" s="76"/>
      <c r="M799" s="76"/>
    </row>
    <row r="800" spans="3:13" ht="14.4" x14ac:dyDescent="0.3">
      <c r="C800" s="75"/>
      <c r="D800" s="76"/>
      <c r="E800" s="76"/>
      <c r="I800" s="75"/>
      <c r="J800" s="75"/>
      <c r="K800" s="76"/>
      <c r="L800" s="76"/>
      <c r="M800" s="76"/>
    </row>
    <row r="801" spans="3:13" ht="14.4" x14ac:dyDescent="0.3">
      <c r="C801" s="75"/>
      <c r="D801" s="76"/>
      <c r="E801" s="76"/>
      <c r="I801" s="75"/>
      <c r="J801" s="75"/>
      <c r="K801" s="76"/>
      <c r="L801" s="76"/>
      <c r="M801" s="76"/>
    </row>
    <row r="802" spans="3:13" ht="14.4" x14ac:dyDescent="0.3">
      <c r="C802" s="75"/>
      <c r="D802" s="76"/>
      <c r="E802" s="76"/>
      <c r="I802" s="75"/>
      <c r="J802" s="75"/>
      <c r="K802" s="76"/>
      <c r="L802" s="76"/>
      <c r="M802" s="76"/>
    </row>
    <row r="803" spans="3:13" ht="14.4" x14ac:dyDescent="0.3">
      <c r="C803" s="75"/>
      <c r="D803" s="76"/>
      <c r="E803" s="76"/>
      <c r="I803" s="75"/>
      <c r="J803" s="75"/>
      <c r="K803" s="76"/>
      <c r="L803" s="76"/>
      <c r="M803" s="76"/>
    </row>
    <row r="804" spans="3:13" ht="14.4" x14ac:dyDescent="0.3">
      <c r="C804" s="75"/>
      <c r="D804" s="76"/>
      <c r="E804" s="76"/>
      <c r="I804" s="75"/>
      <c r="J804" s="75"/>
      <c r="K804" s="76"/>
      <c r="L804" s="76"/>
      <c r="M804" s="76"/>
    </row>
    <row r="805" spans="3:13" ht="14.4" x14ac:dyDescent="0.3">
      <c r="C805" s="75"/>
      <c r="D805" s="76"/>
      <c r="E805" s="76"/>
      <c r="I805" s="75"/>
      <c r="J805" s="75"/>
      <c r="K805" s="76"/>
      <c r="L805" s="76"/>
      <c r="M805" s="76"/>
    </row>
    <row r="806" spans="3:13" ht="14.4" x14ac:dyDescent="0.3">
      <c r="C806" s="75"/>
      <c r="D806" s="76"/>
      <c r="E806" s="76"/>
      <c r="I806" s="75"/>
      <c r="J806" s="75"/>
      <c r="K806" s="76"/>
      <c r="L806" s="76"/>
      <c r="M806" s="76"/>
    </row>
    <row r="807" spans="3:13" ht="14.4" x14ac:dyDescent="0.3">
      <c r="C807" s="75"/>
      <c r="D807" s="76"/>
      <c r="E807" s="76"/>
      <c r="I807" s="75"/>
      <c r="J807" s="75"/>
      <c r="K807" s="76"/>
      <c r="L807" s="76"/>
      <c r="M807" s="76"/>
    </row>
    <row r="808" spans="3:13" ht="14.4" x14ac:dyDescent="0.3">
      <c r="C808" s="75"/>
      <c r="D808" s="76"/>
      <c r="E808" s="76"/>
      <c r="I808" s="75"/>
      <c r="J808" s="75"/>
      <c r="K808" s="76"/>
      <c r="L808" s="76"/>
      <c r="M808" s="76"/>
    </row>
    <row r="809" spans="3:13" ht="14.4" x14ac:dyDescent="0.3">
      <c r="C809" s="75"/>
      <c r="D809" s="76"/>
      <c r="E809" s="76"/>
      <c r="I809" s="75"/>
      <c r="J809" s="75"/>
      <c r="K809" s="76"/>
      <c r="L809" s="76"/>
      <c r="M809" s="76"/>
    </row>
    <row r="810" spans="3:13" ht="14.4" x14ac:dyDescent="0.3">
      <c r="C810" s="75"/>
      <c r="D810" s="76"/>
      <c r="E810" s="76"/>
      <c r="I810" s="75"/>
      <c r="J810" s="75"/>
      <c r="K810" s="76"/>
      <c r="L810" s="76"/>
      <c r="M810" s="76"/>
    </row>
    <row r="811" spans="3:13" ht="14.4" x14ac:dyDescent="0.3">
      <c r="C811" s="75"/>
      <c r="D811" s="76"/>
      <c r="E811" s="76"/>
      <c r="I811" s="75"/>
      <c r="J811" s="75"/>
      <c r="K811" s="76"/>
      <c r="L811" s="76"/>
      <c r="M811" s="76"/>
    </row>
    <row r="812" spans="3:13" ht="14.4" x14ac:dyDescent="0.3">
      <c r="C812" s="75"/>
      <c r="D812" s="76"/>
      <c r="E812" s="76"/>
      <c r="I812" s="75"/>
      <c r="J812" s="75"/>
      <c r="K812" s="76"/>
      <c r="L812" s="76"/>
      <c r="M812" s="76"/>
    </row>
    <row r="813" spans="3:13" ht="14.4" x14ac:dyDescent="0.3">
      <c r="C813" s="75"/>
      <c r="D813" s="76"/>
      <c r="E813" s="76"/>
      <c r="I813" s="75"/>
      <c r="J813" s="75"/>
      <c r="K813" s="76"/>
      <c r="L813" s="76"/>
      <c r="M813" s="76"/>
    </row>
    <row r="814" spans="3:13" ht="14.4" x14ac:dyDescent="0.3">
      <c r="C814" s="75"/>
      <c r="D814" s="76"/>
      <c r="E814" s="76"/>
      <c r="I814" s="75"/>
      <c r="J814" s="75"/>
      <c r="K814" s="76"/>
      <c r="L814" s="76"/>
      <c r="M814" s="76"/>
    </row>
    <row r="815" spans="3:13" ht="14.4" x14ac:dyDescent="0.3">
      <c r="C815" s="75"/>
      <c r="D815" s="76"/>
      <c r="E815" s="76"/>
      <c r="I815" s="75"/>
      <c r="J815" s="75"/>
      <c r="K815" s="76"/>
      <c r="L815" s="76"/>
      <c r="M815" s="76"/>
    </row>
    <row r="816" spans="3:13" ht="14.4" x14ac:dyDescent="0.3">
      <c r="C816" s="75"/>
      <c r="D816" s="76"/>
      <c r="E816" s="76"/>
      <c r="I816" s="75"/>
      <c r="J816" s="75"/>
      <c r="K816" s="76"/>
      <c r="L816" s="76"/>
      <c r="M816" s="76"/>
    </row>
    <row r="817" spans="3:13" ht="14.4" x14ac:dyDescent="0.3">
      <c r="C817" s="75"/>
      <c r="D817" s="76"/>
      <c r="E817" s="76"/>
      <c r="I817" s="75"/>
      <c r="J817" s="75"/>
      <c r="K817" s="76"/>
      <c r="L817" s="76"/>
      <c r="M817" s="76"/>
    </row>
    <row r="818" spans="3:13" ht="14.4" x14ac:dyDescent="0.3">
      <c r="C818" s="75"/>
      <c r="D818" s="76"/>
      <c r="E818" s="76"/>
      <c r="I818" s="75"/>
      <c r="J818" s="75"/>
      <c r="K818" s="76"/>
      <c r="L818" s="76"/>
      <c r="M818" s="76"/>
    </row>
    <row r="819" spans="3:13" ht="14.4" x14ac:dyDescent="0.3">
      <c r="C819" s="75"/>
      <c r="D819" s="76"/>
      <c r="E819" s="76"/>
      <c r="I819" s="75"/>
      <c r="J819" s="75"/>
      <c r="K819" s="76"/>
      <c r="L819" s="76"/>
      <c r="M819" s="76"/>
    </row>
    <row r="820" spans="3:13" ht="14.4" x14ac:dyDescent="0.3">
      <c r="C820" s="75"/>
      <c r="D820" s="76"/>
      <c r="E820" s="76"/>
      <c r="I820" s="75"/>
      <c r="J820" s="75"/>
      <c r="K820" s="76"/>
      <c r="L820" s="76"/>
      <c r="M820" s="76"/>
    </row>
    <row r="821" spans="3:13" ht="14.4" x14ac:dyDescent="0.3">
      <c r="C821" s="75"/>
      <c r="D821" s="76"/>
      <c r="E821" s="76"/>
      <c r="I821" s="75"/>
      <c r="J821" s="75"/>
      <c r="K821" s="76"/>
      <c r="L821" s="76"/>
      <c r="M821" s="76"/>
    </row>
    <row r="822" spans="3:13" ht="14.4" x14ac:dyDescent="0.3">
      <c r="C822" s="75"/>
      <c r="D822" s="76"/>
      <c r="E822" s="76"/>
      <c r="I822" s="75"/>
      <c r="J822" s="75"/>
      <c r="K822" s="76"/>
      <c r="L822" s="76"/>
      <c r="M822" s="76"/>
    </row>
    <row r="823" spans="3:13" ht="14.4" x14ac:dyDescent="0.3">
      <c r="C823" s="75"/>
      <c r="D823" s="76"/>
      <c r="E823" s="76"/>
      <c r="I823" s="75"/>
      <c r="J823" s="75"/>
      <c r="K823" s="76"/>
      <c r="L823" s="76"/>
      <c r="M823" s="76"/>
    </row>
    <row r="824" spans="3:13" ht="14.4" x14ac:dyDescent="0.3">
      <c r="C824" s="75"/>
      <c r="D824" s="76"/>
      <c r="E824" s="76"/>
      <c r="I824" s="75"/>
      <c r="J824" s="75"/>
      <c r="K824" s="76"/>
      <c r="L824" s="76"/>
      <c r="M824" s="76"/>
    </row>
    <row r="825" spans="3:13" ht="14.4" x14ac:dyDescent="0.3">
      <c r="C825" s="75"/>
      <c r="D825" s="76"/>
      <c r="E825" s="76"/>
      <c r="I825" s="75"/>
      <c r="J825" s="75"/>
      <c r="K825" s="76"/>
      <c r="L825" s="76"/>
      <c r="M825" s="76"/>
    </row>
    <row r="826" spans="3:13" ht="14.4" x14ac:dyDescent="0.3">
      <c r="C826" s="75"/>
      <c r="D826" s="76"/>
      <c r="E826" s="76"/>
      <c r="I826" s="75"/>
      <c r="J826" s="75"/>
      <c r="K826" s="76"/>
      <c r="L826" s="76"/>
      <c r="M826" s="76"/>
    </row>
    <row r="827" spans="3:13" ht="14.4" x14ac:dyDescent="0.3">
      <c r="C827" s="75"/>
      <c r="D827" s="76"/>
      <c r="E827" s="76"/>
      <c r="I827" s="75"/>
      <c r="J827" s="75"/>
      <c r="K827" s="76"/>
      <c r="L827" s="76"/>
      <c r="M827" s="76"/>
    </row>
    <row r="828" spans="3:13" ht="14.4" x14ac:dyDescent="0.3">
      <c r="C828" s="75"/>
      <c r="D828" s="76"/>
      <c r="E828" s="76"/>
      <c r="I828" s="75"/>
      <c r="J828" s="75"/>
      <c r="K828" s="76"/>
      <c r="L828" s="76"/>
      <c r="M828" s="76"/>
    </row>
    <row r="829" spans="3:13" ht="14.4" x14ac:dyDescent="0.3">
      <c r="C829" s="75"/>
      <c r="D829" s="76"/>
      <c r="E829" s="76"/>
      <c r="I829" s="75"/>
      <c r="J829" s="75"/>
      <c r="K829" s="76"/>
      <c r="L829" s="76"/>
      <c r="M829" s="76"/>
    </row>
    <row r="830" spans="3:13" ht="14.4" x14ac:dyDescent="0.3">
      <c r="C830" s="75"/>
      <c r="D830" s="76"/>
      <c r="E830" s="76"/>
      <c r="I830" s="75"/>
      <c r="J830" s="75"/>
      <c r="K830" s="76"/>
      <c r="L830" s="76"/>
      <c r="M830" s="76"/>
    </row>
    <row r="831" spans="3:13" ht="14.4" x14ac:dyDescent="0.3">
      <c r="C831" s="75"/>
      <c r="D831" s="76"/>
      <c r="E831" s="76"/>
      <c r="I831" s="75"/>
      <c r="J831" s="75"/>
      <c r="K831" s="76"/>
      <c r="L831" s="76"/>
      <c r="M831" s="76"/>
    </row>
    <row r="832" spans="3:13" ht="14.4" x14ac:dyDescent="0.3">
      <c r="C832" s="75"/>
      <c r="D832" s="76"/>
      <c r="E832" s="76"/>
      <c r="I832" s="75"/>
      <c r="J832" s="75"/>
      <c r="K832" s="76"/>
      <c r="L832" s="76"/>
      <c r="M832" s="76"/>
    </row>
    <row r="833" spans="3:13" ht="14.4" x14ac:dyDescent="0.3">
      <c r="C833" s="75"/>
      <c r="D833" s="76"/>
      <c r="E833" s="76"/>
      <c r="I833" s="75"/>
      <c r="J833" s="75"/>
      <c r="K833" s="76"/>
      <c r="L833" s="76"/>
      <c r="M833" s="76"/>
    </row>
    <row r="834" spans="3:13" ht="14.4" x14ac:dyDescent="0.3">
      <c r="C834" s="75"/>
      <c r="D834" s="76"/>
      <c r="E834" s="76"/>
      <c r="I834" s="75"/>
      <c r="J834" s="75"/>
      <c r="K834" s="76"/>
      <c r="L834" s="76"/>
      <c r="M834" s="76"/>
    </row>
    <row r="835" spans="3:13" ht="14.4" x14ac:dyDescent="0.3">
      <c r="C835" s="75"/>
      <c r="D835" s="76"/>
      <c r="E835" s="76"/>
      <c r="I835" s="75"/>
      <c r="J835" s="75"/>
      <c r="K835" s="76"/>
      <c r="L835" s="76"/>
      <c r="M835" s="76"/>
    </row>
    <row r="836" spans="3:13" ht="14.4" x14ac:dyDescent="0.3">
      <c r="C836" s="75"/>
      <c r="D836" s="76"/>
      <c r="E836" s="76"/>
      <c r="I836" s="75"/>
      <c r="J836" s="75"/>
      <c r="K836" s="76"/>
      <c r="L836" s="76"/>
      <c r="M836" s="76"/>
    </row>
    <row r="837" spans="3:13" ht="14.4" x14ac:dyDescent="0.3">
      <c r="C837" s="75"/>
      <c r="D837" s="76"/>
      <c r="E837" s="76"/>
      <c r="I837" s="75"/>
      <c r="J837" s="75"/>
      <c r="K837" s="76"/>
      <c r="L837" s="76"/>
      <c r="M837" s="76"/>
    </row>
    <row r="838" spans="3:13" ht="14.4" x14ac:dyDescent="0.3">
      <c r="C838" s="75"/>
      <c r="D838" s="76"/>
      <c r="E838" s="76"/>
      <c r="I838" s="75"/>
      <c r="J838" s="75"/>
      <c r="K838" s="76"/>
      <c r="L838" s="76"/>
      <c r="M838" s="76"/>
    </row>
    <row r="839" spans="3:13" ht="14.4" x14ac:dyDescent="0.3">
      <c r="C839" s="75"/>
      <c r="D839" s="76"/>
      <c r="E839" s="76"/>
      <c r="I839" s="75"/>
      <c r="J839" s="75"/>
      <c r="K839" s="76"/>
      <c r="L839" s="76"/>
      <c r="M839" s="76"/>
    </row>
    <row r="840" spans="3:13" ht="14.4" x14ac:dyDescent="0.3">
      <c r="C840" s="75"/>
      <c r="D840" s="76"/>
      <c r="E840" s="76"/>
      <c r="I840" s="75"/>
      <c r="J840" s="75"/>
      <c r="K840" s="76"/>
      <c r="L840" s="76"/>
      <c r="M840" s="76"/>
    </row>
    <row r="841" spans="3:13" ht="14.4" x14ac:dyDescent="0.3">
      <c r="C841" s="75"/>
      <c r="D841" s="76"/>
      <c r="E841" s="76"/>
      <c r="I841" s="75"/>
      <c r="J841" s="75"/>
      <c r="K841" s="76"/>
      <c r="L841" s="76"/>
      <c r="M841" s="76"/>
    </row>
    <row r="842" spans="3:13" ht="14.4" x14ac:dyDescent="0.3">
      <c r="C842" s="75"/>
      <c r="D842" s="76"/>
      <c r="E842" s="76"/>
      <c r="I842" s="75"/>
      <c r="J842" s="75"/>
      <c r="K842" s="76"/>
      <c r="L842" s="76"/>
      <c r="M842" s="76"/>
    </row>
    <row r="843" spans="3:13" ht="14.4" x14ac:dyDescent="0.3">
      <c r="C843" s="75"/>
      <c r="D843" s="76"/>
      <c r="E843" s="76"/>
      <c r="I843" s="75"/>
      <c r="J843" s="75"/>
      <c r="K843" s="76"/>
      <c r="L843" s="76"/>
      <c r="M843" s="76"/>
    </row>
    <row r="844" spans="3:13" ht="14.4" x14ac:dyDescent="0.3">
      <c r="C844" s="75"/>
      <c r="D844" s="76"/>
      <c r="E844" s="76"/>
      <c r="I844" s="75"/>
      <c r="J844" s="75"/>
      <c r="K844" s="76"/>
      <c r="L844" s="76"/>
      <c r="M844" s="76"/>
    </row>
    <row r="845" spans="3:13" ht="14.4" x14ac:dyDescent="0.3">
      <c r="C845" s="75"/>
      <c r="D845" s="76"/>
      <c r="E845" s="76"/>
      <c r="I845" s="75"/>
      <c r="J845" s="75"/>
      <c r="K845" s="76"/>
      <c r="L845" s="76"/>
      <c r="M845" s="76"/>
    </row>
    <row r="846" spans="3:13" ht="14.4" x14ac:dyDescent="0.3">
      <c r="C846" s="75"/>
      <c r="D846" s="76"/>
      <c r="E846" s="76"/>
      <c r="I846" s="75"/>
      <c r="J846" s="75"/>
      <c r="K846" s="76"/>
      <c r="L846" s="76"/>
      <c r="M846" s="76"/>
    </row>
    <row r="847" spans="3:13" ht="14.4" x14ac:dyDescent="0.3">
      <c r="C847" s="75"/>
      <c r="D847" s="76"/>
      <c r="E847" s="76"/>
      <c r="I847" s="75"/>
      <c r="J847" s="75"/>
      <c r="K847" s="76"/>
      <c r="L847" s="76"/>
      <c r="M847" s="76"/>
    </row>
    <row r="848" spans="3:13" ht="14.4" x14ac:dyDescent="0.3">
      <c r="C848" s="75"/>
      <c r="D848" s="76"/>
      <c r="E848" s="76"/>
      <c r="I848" s="75"/>
      <c r="J848" s="75"/>
      <c r="K848" s="76"/>
      <c r="L848" s="76"/>
      <c r="M848" s="76"/>
    </row>
    <row r="849" spans="3:13" ht="14.4" x14ac:dyDescent="0.3">
      <c r="C849" s="75"/>
      <c r="D849" s="76"/>
      <c r="E849" s="76"/>
      <c r="I849" s="75"/>
      <c r="J849" s="75"/>
      <c r="K849" s="76"/>
      <c r="L849" s="76"/>
      <c r="M849" s="76"/>
    </row>
    <row r="850" spans="3:13" ht="14.4" x14ac:dyDescent="0.3">
      <c r="C850" s="75"/>
      <c r="D850" s="76"/>
      <c r="E850" s="76"/>
      <c r="I850" s="75"/>
      <c r="J850" s="75"/>
      <c r="K850" s="76"/>
      <c r="L850" s="76"/>
      <c r="M850" s="76"/>
    </row>
    <row r="851" spans="3:13" ht="14.4" x14ac:dyDescent="0.3">
      <c r="C851" s="75"/>
      <c r="D851" s="76"/>
      <c r="E851" s="76"/>
      <c r="I851" s="75"/>
      <c r="J851" s="75"/>
      <c r="K851" s="76"/>
      <c r="L851" s="76"/>
      <c r="M851" s="76"/>
    </row>
    <row r="852" spans="3:13" ht="14.4" x14ac:dyDescent="0.3">
      <c r="C852" s="75"/>
      <c r="D852" s="76"/>
      <c r="E852" s="76"/>
      <c r="I852" s="75"/>
      <c r="J852" s="75"/>
      <c r="K852" s="76"/>
      <c r="L852" s="76"/>
      <c r="M852" s="76"/>
    </row>
    <row r="853" spans="3:13" ht="14.4" x14ac:dyDescent="0.3">
      <c r="C853" s="75"/>
      <c r="D853" s="76"/>
      <c r="E853" s="76"/>
      <c r="I853" s="75"/>
      <c r="J853" s="75"/>
      <c r="K853" s="76"/>
      <c r="L853" s="76"/>
      <c r="M853" s="76"/>
    </row>
    <row r="854" spans="3:13" ht="14.4" x14ac:dyDescent="0.3">
      <c r="C854" s="75"/>
      <c r="D854" s="76"/>
      <c r="E854" s="76"/>
      <c r="I854" s="75"/>
      <c r="J854" s="75"/>
      <c r="K854" s="76"/>
      <c r="L854" s="76"/>
      <c r="M854" s="76"/>
    </row>
    <row r="855" spans="3:13" ht="14.4" x14ac:dyDescent="0.3">
      <c r="C855" s="75"/>
      <c r="D855" s="76"/>
      <c r="E855" s="76"/>
      <c r="I855" s="75"/>
      <c r="J855" s="75"/>
      <c r="K855" s="76"/>
      <c r="L855" s="76"/>
      <c r="M855" s="76"/>
    </row>
    <row r="856" spans="3:13" ht="14.4" x14ac:dyDescent="0.3">
      <c r="C856" s="75"/>
      <c r="D856" s="76"/>
      <c r="E856" s="76"/>
      <c r="I856" s="75"/>
      <c r="J856" s="75"/>
      <c r="K856" s="76"/>
      <c r="L856" s="76"/>
      <c r="M856" s="76"/>
    </row>
    <row r="857" spans="3:13" ht="14.4" x14ac:dyDescent="0.3">
      <c r="C857" s="75"/>
      <c r="D857" s="76"/>
      <c r="E857" s="76"/>
      <c r="I857" s="75"/>
      <c r="J857" s="75"/>
      <c r="K857" s="76"/>
      <c r="L857" s="76"/>
      <c r="M857" s="76"/>
    </row>
    <row r="858" spans="3:13" ht="14.4" x14ac:dyDescent="0.3">
      <c r="C858" s="75"/>
      <c r="D858" s="76"/>
      <c r="E858" s="76"/>
      <c r="I858" s="75"/>
      <c r="J858" s="75"/>
      <c r="K858" s="76"/>
      <c r="L858" s="76"/>
      <c r="M858" s="76"/>
    </row>
    <row r="859" spans="3:13" ht="14.4" x14ac:dyDescent="0.3">
      <c r="C859" s="75"/>
      <c r="D859" s="76"/>
      <c r="E859" s="76"/>
      <c r="I859" s="75"/>
      <c r="J859" s="75"/>
      <c r="K859" s="76"/>
      <c r="L859" s="76"/>
      <c r="M859" s="76"/>
    </row>
    <row r="860" spans="3:13" ht="14.4" x14ac:dyDescent="0.3">
      <c r="C860" s="75"/>
      <c r="D860" s="76"/>
      <c r="E860" s="76"/>
      <c r="I860" s="75"/>
      <c r="J860" s="75"/>
      <c r="K860" s="76"/>
      <c r="L860" s="76"/>
      <c r="M860" s="76"/>
    </row>
    <row r="861" spans="3:13" ht="14.4" x14ac:dyDescent="0.3">
      <c r="C861" s="75"/>
      <c r="D861" s="76"/>
      <c r="E861" s="76"/>
      <c r="I861" s="75"/>
      <c r="J861" s="75"/>
      <c r="K861" s="76"/>
      <c r="L861" s="76"/>
      <c r="M861" s="76"/>
    </row>
    <row r="862" spans="3:13" ht="14.4" x14ac:dyDescent="0.3">
      <c r="C862" s="75"/>
      <c r="D862" s="76"/>
      <c r="E862" s="76"/>
      <c r="I862" s="75"/>
      <c r="J862" s="75"/>
      <c r="K862" s="76"/>
      <c r="L862" s="76"/>
      <c r="M862" s="76"/>
    </row>
    <row r="863" spans="3:13" ht="14.4" x14ac:dyDescent="0.3">
      <c r="C863" s="75"/>
      <c r="D863" s="76"/>
      <c r="E863" s="76"/>
      <c r="I863" s="75"/>
      <c r="J863" s="75"/>
      <c r="K863" s="76"/>
      <c r="L863" s="76"/>
      <c r="M863" s="76"/>
    </row>
    <row r="864" spans="3:13" ht="14.4" x14ac:dyDescent="0.3">
      <c r="C864" s="75"/>
      <c r="D864" s="76"/>
      <c r="E864" s="76"/>
      <c r="I864" s="75"/>
      <c r="J864" s="75"/>
      <c r="K864" s="76"/>
      <c r="L864" s="76"/>
      <c r="M864" s="76"/>
    </row>
    <row r="865" spans="3:13" ht="14.4" x14ac:dyDescent="0.3">
      <c r="C865" s="75"/>
      <c r="D865" s="76"/>
      <c r="E865" s="76"/>
      <c r="I865" s="75"/>
      <c r="J865" s="75"/>
      <c r="K865" s="76"/>
      <c r="L865" s="76"/>
      <c r="M865" s="76"/>
    </row>
    <row r="866" spans="3:13" ht="14.4" x14ac:dyDescent="0.3">
      <c r="C866" s="75"/>
      <c r="D866" s="76"/>
      <c r="E866" s="76"/>
      <c r="I866" s="75"/>
      <c r="J866" s="75"/>
      <c r="K866" s="76"/>
      <c r="L866" s="76"/>
      <c r="M866" s="76"/>
    </row>
    <row r="867" spans="3:13" ht="14.4" x14ac:dyDescent="0.3">
      <c r="C867" s="75"/>
      <c r="D867" s="76"/>
      <c r="E867" s="76"/>
      <c r="I867" s="75"/>
      <c r="J867" s="75"/>
      <c r="K867" s="76"/>
      <c r="L867" s="76"/>
      <c r="M867" s="76"/>
    </row>
    <row r="868" spans="3:13" ht="14.4" x14ac:dyDescent="0.3">
      <c r="C868" s="75"/>
      <c r="D868" s="76"/>
      <c r="E868" s="76"/>
      <c r="I868" s="75"/>
      <c r="J868" s="75"/>
      <c r="K868" s="76"/>
      <c r="L868" s="76"/>
      <c r="M868" s="76"/>
    </row>
    <row r="869" spans="3:13" ht="14.4" x14ac:dyDescent="0.3">
      <c r="C869" s="75"/>
      <c r="D869" s="76"/>
      <c r="E869" s="76"/>
      <c r="I869" s="75"/>
      <c r="J869" s="75"/>
      <c r="K869" s="76"/>
      <c r="L869" s="76"/>
      <c r="M869" s="76"/>
    </row>
    <row r="870" spans="3:13" ht="14.4" x14ac:dyDescent="0.3">
      <c r="C870" s="75"/>
      <c r="D870" s="76"/>
      <c r="E870" s="76"/>
      <c r="I870" s="75"/>
      <c r="J870" s="75"/>
      <c r="K870" s="76"/>
      <c r="L870" s="76"/>
      <c r="M870" s="76"/>
    </row>
    <row r="871" spans="3:13" ht="14.4" x14ac:dyDescent="0.3">
      <c r="C871" s="75"/>
      <c r="D871" s="76"/>
      <c r="E871" s="76"/>
      <c r="I871" s="75"/>
      <c r="J871" s="75"/>
      <c r="K871" s="76"/>
      <c r="L871" s="76"/>
      <c r="M871" s="76"/>
    </row>
    <row r="872" spans="3:13" ht="14.4" x14ac:dyDescent="0.3">
      <c r="C872" s="75"/>
      <c r="D872" s="76"/>
      <c r="E872" s="76"/>
      <c r="I872" s="75"/>
      <c r="J872" s="75"/>
      <c r="K872" s="76"/>
      <c r="L872" s="76"/>
      <c r="M872" s="76"/>
    </row>
    <row r="873" spans="3:13" ht="14.4" x14ac:dyDescent="0.3">
      <c r="C873" s="75"/>
      <c r="D873" s="76"/>
      <c r="E873" s="76"/>
      <c r="I873" s="75"/>
      <c r="J873" s="75"/>
      <c r="K873" s="76"/>
      <c r="L873" s="76"/>
      <c r="M873" s="76"/>
    </row>
    <row r="874" spans="3:13" ht="14.4" x14ac:dyDescent="0.3">
      <c r="C874" s="75"/>
      <c r="D874" s="76"/>
      <c r="E874" s="76"/>
      <c r="I874" s="75"/>
      <c r="J874" s="75"/>
      <c r="K874" s="76"/>
      <c r="L874" s="76"/>
      <c r="M874" s="76"/>
    </row>
    <row r="875" spans="3:13" ht="14.4" x14ac:dyDescent="0.3">
      <c r="C875" s="75"/>
      <c r="D875" s="76"/>
      <c r="E875" s="76"/>
      <c r="I875" s="75"/>
      <c r="J875" s="75"/>
      <c r="K875" s="76"/>
      <c r="L875" s="76"/>
      <c r="M875" s="76"/>
    </row>
    <row r="876" spans="3:13" ht="14.4" x14ac:dyDescent="0.3">
      <c r="C876" s="75"/>
      <c r="D876" s="76"/>
      <c r="E876" s="76"/>
      <c r="I876" s="75"/>
      <c r="J876" s="75"/>
      <c r="K876" s="76"/>
      <c r="L876" s="76"/>
      <c r="M876" s="76"/>
    </row>
    <row r="877" spans="3:13" ht="14.4" x14ac:dyDescent="0.3">
      <c r="C877" s="75"/>
      <c r="D877" s="76"/>
      <c r="E877" s="76"/>
      <c r="I877" s="75"/>
      <c r="J877" s="75"/>
      <c r="K877" s="76"/>
      <c r="L877" s="76"/>
      <c r="M877" s="76"/>
    </row>
    <row r="878" spans="3:13" ht="14.4" x14ac:dyDescent="0.3">
      <c r="C878" s="75"/>
      <c r="D878" s="76"/>
      <c r="E878" s="76"/>
      <c r="I878" s="75"/>
      <c r="J878" s="75"/>
      <c r="K878" s="76"/>
      <c r="L878" s="76"/>
      <c r="M878" s="76"/>
    </row>
    <row r="879" spans="3:13" ht="14.4" x14ac:dyDescent="0.3">
      <c r="C879" s="75"/>
      <c r="D879" s="76"/>
      <c r="E879" s="76"/>
      <c r="I879" s="75"/>
      <c r="J879" s="75"/>
      <c r="K879" s="76"/>
      <c r="L879" s="76"/>
      <c r="M879" s="76"/>
    </row>
    <row r="880" spans="3:13" ht="14.4" x14ac:dyDescent="0.3">
      <c r="C880" s="75"/>
      <c r="D880" s="76"/>
      <c r="E880" s="76"/>
      <c r="I880" s="75"/>
      <c r="J880" s="75"/>
      <c r="K880" s="76"/>
      <c r="L880" s="76"/>
      <c r="M880" s="76"/>
    </row>
    <row r="881" spans="3:13" ht="14.4" x14ac:dyDescent="0.3">
      <c r="C881" s="75"/>
      <c r="D881" s="76"/>
      <c r="E881" s="76"/>
      <c r="I881" s="75"/>
      <c r="J881" s="75"/>
      <c r="K881" s="76"/>
      <c r="L881" s="76"/>
      <c r="M881" s="76"/>
    </row>
    <row r="882" spans="3:13" ht="14.4" x14ac:dyDescent="0.3">
      <c r="C882" s="75"/>
      <c r="D882" s="76"/>
      <c r="E882" s="76"/>
      <c r="I882" s="75"/>
      <c r="J882" s="75"/>
      <c r="K882" s="76"/>
      <c r="L882" s="76"/>
      <c r="M882" s="76"/>
    </row>
    <row r="883" spans="3:13" ht="14.4" x14ac:dyDescent="0.3">
      <c r="C883" s="75"/>
      <c r="D883" s="76"/>
      <c r="E883" s="76"/>
      <c r="I883" s="75"/>
      <c r="J883" s="75"/>
      <c r="K883" s="76"/>
      <c r="L883" s="76"/>
      <c r="M883" s="76"/>
    </row>
    <row r="884" spans="3:13" ht="14.4" x14ac:dyDescent="0.3">
      <c r="C884" s="75"/>
      <c r="D884" s="76"/>
      <c r="E884" s="76"/>
      <c r="I884" s="75"/>
      <c r="J884" s="75"/>
      <c r="K884" s="76"/>
      <c r="L884" s="76"/>
      <c r="M884" s="76"/>
    </row>
    <row r="885" spans="3:13" ht="14.4" x14ac:dyDescent="0.3">
      <c r="C885" s="75"/>
      <c r="D885" s="76"/>
      <c r="E885" s="76"/>
      <c r="I885" s="75"/>
      <c r="J885" s="75"/>
      <c r="K885" s="76"/>
      <c r="L885" s="76"/>
      <c r="M885" s="76"/>
    </row>
    <row r="886" spans="3:13" ht="14.4" x14ac:dyDescent="0.3">
      <c r="C886" s="75"/>
      <c r="D886" s="76"/>
      <c r="E886" s="76"/>
      <c r="I886" s="75"/>
      <c r="J886" s="75"/>
      <c r="K886" s="76"/>
      <c r="L886" s="76"/>
      <c r="M886" s="76"/>
    </row>
    <row r="887" spans="3:13" ht="14.4" x14ac:dyDescent="0.3">
      <c r="C887" s="75"/>
      <c r="D887" s="76"/>
      <c r="E887" s="76"/>
      <c r="I887" s="75"/>
      <c r="J887" s="75"/>
      <c r="K887" s="76"/>
      <c r="L887" s="76"/>
      <c r="M887" s="76"/>
    </row>
    <row r="888" spans="3:13" ht="14.4" x14ac:dyDescent="0.3">
      <c r="C888" s="75"/>
      <c r="D888" s="76"/>
      <c r="E888" s="76"/>
      <c r="I888" s="75"/>
      <c r="J888" s="75"/>
      <c r="K888" s="76"/>
      <c r="L888" s="76"/>
      <c r="M888" s="76"/>
    </row>
    <row r="889" spans="3:13" ht="14.4" x14ac:dyDescent="0.3">
      <c r="C889" s="75"/>
      <c r="D889" s="76"/>
      <c r="E889" s="76"/>
      <c r="I889" s="75"/>
      <c r="J889" s="75"/>
      <c r="K889" s="76"/>
      <c r="L889" s="76"/>
      <c r="M889" s="76"/>
    </row>
    <row r="890" spans="3:13" ht="14.4" x14ac:dyDescent="0.3">
      <c r="C890" s="75"/>
      <c r="D890" s="76"/>
      <c r="E890" s="76"/>
      <c r="I890" s="75"/>
      <c r="J890" s="75"/>
      <c r="K890" s="76"/>
      <c r="L890" s="76"/>
      <c r="M890" s="76"/>
    </row>
    <row r="891" spans="3:13" ht="14.4" x14ac:dyDescent="0.3">
      <c r="C891" s="75"/>
      <c r="D891" s="76"/>
      <c r="E891" s="76"/>
      <c r="I891" s="75"/>
      <c r="J891" s="75"/>
      <c r="K891" s="76"/>
      <c r="L891" s="76"/>
      <c r="M891" s="76"/>
    </row>
    <row r="892" spans="3:13" ht="14.4" x14ac:dyDescent="0.3">
      <c r="C892" s="75"/>
      <c r="D892" s="76"/>
      <c r="E892" s="76"/>
      <c r="I892" s="75"/>
      <c r="J892" s="75"/>
      <c r="K892" s="76"/>
      <c r="L892" s="76"/>
      <c r="M892" s="76"/>
    </row>
    <row r="893" spans="3:13" ht="14.4" x14ac:dyDescent="0.3">
      <c r="C893" s="75"/>
      <c r="D893" s="76"/>
      <c r="E893" s="76"/>
      <c r="I893" s="75"/>
      <c r="J893" s="75"/>
      <c r="K893" s="76"/>
      <c r="L893" s="76"/>
      <c r="M893" s="76"/>
    </row>
    <row r="894" spans="3:13" ht="14.4" x14ac:dyDescent="0.3">
      <c r="C894" s="75"/>
      <c r="D894" s="76"/>
      <c r="E894" s="76"/>
      <c r="I894" s="75"/>
      <c r="J894" s="75"/>
      <c r="K894" s="76"/>
      <c r="L894" s="76"/>
      <c r="M894" s="76"/>
    </row>
    <row r="895" spans="3:13" ht="14.4" x14ac:dyDescent="0.3">
      <c r="C895" s="75"/>
      <c r="D895" s="76"/>
      <c r="E895" s="76"/>
      <c r="I895" s="75"/>
      <c r="J895" s="75"/>
      <c r="K895" s="76"/>
      <c r="L895" s="76"/>
      <c r="M895" s="76"/>
    </row>
    <row r="896" spans="3:13" ht="14.4" x14ac:dyDescent="0.3">
      <c r="C896" s="75"/>
      <c r="D896" s="76"/>
      <c r="E896" s="76"/>
      <c r="I896" s="75"/>
      <c r="J896" s="75"/>
      <c r="K896" s="76"/>
      <c r="L896" s="76"/>
      <c r="M896" s="76"/>
    </row>
    <row r="897" spans="3:13" ht="14.4" x14ac:dyDescent="0.3">
      <c r="C897" s="75"/>
      <c r="D897" s="76"/>
      <c r="E897" s="76"/>
      <c r="I897" s="75"/>
      <c r="J897" s="75"/>
      <c r="K897" s="76"/>
      <c r="L897" s="76"/>
      <c r="M897" s="76"/>
    </row>
    <row r="898" spans="3:13" ht="14.4" x14ac:dyDescent="0.3">
      <c r="C898" s="75"/>
      <c r="D898" s="76"/>
      <c r="E898" s="76"/>
      <c r="I898" s="75"/>
      <c r="J898" s="75"/>
      <c r="K898" s="76"/>
      <c r="L898" s="76"/>
      <c r="M898" s="76"/>
    </row>
    <row r="899" spans="3:13" ht="14.4" x14ac:dyDescent="0.3">
      <c r="C899" s="75"/>
      <c r="D899" s="76"/>
      <c r="E899" s="76"/>
      <c r="I899" s="75"/>
      <c r="J899" s="75"/>
      <c r="K899" s="76"/>
      <c r="L899" s="76"/>
      <c r="M899" s="76"/>
    </row>
    <row r="900" spans="3:13" ht="14.4" x14ac:dyDescent="0.3">
      <c r="C900" s="75"/>
      <c r="D900" s="76"/>
      <c r="E900" s="76"/>
      <c r="I900" s="75"/>
      <c r="J900" s="75"/>
      <c r="K900" s="76"/>
      <c r="L900" s="76"/>
      <c r="M900" s="76"/>
    </row>
    <row r="901" spans="3:13" ht="14.4" x14ac:dyDescent="0.3">
      <c r="C901" s="75"/>
      <c r="D901" s="76"/>
      <c r="E901" s="76"/>
      <c r="I901" s="75"/>
      <c r="J901" s="75"/>
      <c r="K901" s="76"/>
      <c r="L901" s="76"/>
      <c r="M901" s="76"/>
    </row>
    <row r="902" spans="3:13" ht="14.4" x14ac:dyDescent="0.3">
      <c r="C902" s="75"/>
      <c r="D902" s="76"/>
      <c r="E902" s="76"/>
      <c r="I902" s="75"/>
      <c r="J902" s="75"/>
      <c r="K902" s="76"/>
      <c r="L902" s="76"/>
      <c r="M902" s="76"/>
    </row>
    <row r="903" spans="3:13" ht="14.4" x14ac:dyDescent="0.3">
      <c r="C903" s="75"/>
      <c r="D903" s="76"/>
      <c r="E903" s="76"/>
      <c r="I903" s="75"/>
      <c r="J903" s="75"/>
      <c r="K903" s="76"/>
      <c r="L903" s="76"/>
      <c r="M903" s="76"/>
    </row>
    <row r="904" spans="3:13" ht="14.4" x14ac:dyDescent="0.3">
      <c r="C904" s="75"/>
      <c r="D904" s="76"/>
      <c r="E904" s="76"/>
      <c r="I904" s="75"/>
      <c r="J904" s="75"/>
      <c r="K904" s="76"/>
      <c r="L904" s="76"/>
      <c r="M904" s="76"/>
    </row>
    <row r="905" spans="3:13" ht="14.4" x14ac:dyDescent="0.3">
      <c r="C905" s="75"/>
      <c r="D905" s="76"/>
      <c r="E905" s="76"/>
      <c r="I905" s="75"/>
      <c r="J905" s="75"/>
      <c r="K905" s="76"/>
      <c r="L905" s="76"/>
      <c r="M905" s="76"/>
    </row>
    <row r="906" spans="3:13" ht="14.4" x14ac:dyDescent="0.3">
      <c r="C906" s="75"/>
      <c r="D906" s="76"/>
      <c r="E906" s="76"/>
      <c r="I906" s="75"/>
      <c r="J906" s="75"/>
      <c r="K906" s="76"/>
      <c r="L906" s="76"/>
      <c r="M906" s="76"/>
    </row>
    <row r="907" spans="3:13" ht="14.4" x14ac:dyDescent="0.3">
      <c r="C907" s="75"/>
      <c r="D907" s="76"/>
      <c r="E907" s="76"/>
      <c r="I907" s="75"/>
      <c r="J907" s="75"/>
      <c r="K907" s="76"/>
      <c r="L907" s="76"/>
      <c r="M907" s="76"/>
    </row>
    <row r="908" spans="3:13" ht="14.4" x14ac:dyDescent="0.3">
      <c r="C908" s="75"/>
      <c r="D908" s="76"/>
      <c r="E908" s="76"/>
      <c r="I908" s="75"/>
      <c r="J908" s="75"/>
      <c r="K908" s="76"/>
      <c r="L908" s="76"/>
      <c r="M908" s="76"/>
    </row>
    <row r="909" spans="3:13" ht="14.4" x14ac:dyDescent="0.3">
      <c r="C909" s="75"/>
      <c r="D909" s="76"/>
      <c r="E909" s="76"/>
      <c r="I909" s="75"/>
      <c r="J909" s="75"/>
      <c r="K909" s="76"/>
      <c r="L909" s="76"/>
      <c r="M909" s="76"/>
    </row>
    <row r="910" spans="3:13" ht="14.4" x14ac:dyDescent="0.3">
      <c r="C910" s="75"/>
      <c r="D910" s="76"/>
      <c r="E910" s="76"/>
      <c r="I910" s="75"/>
      <c r="J910" s="75"/>
      <c r="K910" s="76"/>
      <c r="L910" s="76"/>
      <c r="M910" s="76"/>
    </row>
    <row r="911" spans="3:13" ht="14.4" x14ac:dyDescent="0.3">
      <c r="C911" s="75"/>
      <c r="D911" s="76"/>
      <c r="E911" s="76"/>
      <c r="I911" s="75"/>
      <c r="J911" s="75"/>
      <c r="K911" s="76"/>
      <c r="L911" s="76"/>
      <c r="M911" s="76"/>
    </row>
    <row r="912" spans="3:13" ht="14.4" x14ac:dyDescent="0.3">
      <c r="C912" s="75"/>
      <c r="D912" s="76"/>
      <c r="E912" s="76"/>
      <c r="I912" s="75"/>
      <c r="J912" s="75"/>
      <c r="K912" s="76"/>
      <c r="L912" s="76"/>
      <c r="M912" s="76"/>
    </row>
    <row r="913" spans="3:13" ht="14.4" x14ac:dyDescent="0.3">
      <c r="C913" s="75"/>
      <c r="D913" s="76"/>
      <c r="E913" s="76"/>
      <c r="I913" s="75"/>
      <c r="J913" s="75"/>
      <c r="K913" s="76"/>
      <c r="L913" s="76"/>
      <c r="M913" s="76"/>
    </row>
    <row r="914" spans="3:13" ht="14.4" x14ac:dyDescent="0.3">
      <c r="C914" s="75"/>
      <c r="D914" s="76"/>
      <c r="E914" s="76"/>
      <c r="I914" s="75"/>
      <c r="J914" s="75"/>
      <c r="K914" s="76"/>
      <c r="L914" s="76"/>
      <c r="M914" s="76"/>
    </row>
    <row r="915" spans="3:13" ht="14.4" x14ac:dyDescent="0.3">
      <c r="C915" s="75"/>
      <c r="D915" s="76"/>
      <c r="E915" s="76"/>
      <c r="I915" s="75"/>
      <c r="J915" s="75"/>
      <c r="K915" s="76"/>
      <c r="L915" s="76"/>
      <c r="M915" s="76"/>
    </row>
    <row r="916" spans="3:13" ht="14.4" x14ac:dyDescent="0.3">
      <c r="C916" s="75"/>
      <c r="D916" s="76"/>
      <c r="E916" s="76"/>
      <c r="I916" s="75"/>
      <c r="J916" s="75"/>
      <c r="K916" s="76"/>
      <c r="L916" s="76"/>
      <c r="M916" s="76"/>
    </row>
    <row r="917" spans="3:13" ht="14.4" x14ac:dyDescent="0.3">
      <c r="C917" s="75"/>
      <c r="D917" s="76"/>
      <c r="E917" s="76"/>
      <c r="I917" s="75"/>
      <c r="J917" s="75"/>
      <c r="K917" s="76"/>
      <c r="L917" s="76"/>
      <c r="M917" s="76"/>
    </row>
    <row r="918" spans="3:13" ht="14.4" x14ac:dyDescent="0.3">
      <c r="C918" s="75"/>
      <c r="D918" s="76"/>
      <c r="E918" s="76"/>
      <c r="I918" s="75"/>
      <c r="J918" s="75"/>
      <c r="K918" s="76"/>
      <c r="L918" s="76"/>
      <c r="M918" s="76"/>
    </row>
    <row r="919" spans="3:13" ht="14.4" x14ac:dyDescent="0.3">
      <c r="C919" s="75"/>
      <c r="D919" s="76"/>
      <c r="E919" s="76"/>
      <c r="I919" s="75"/>
      <c r="J919" s="75"/>
      <c r="K919" s="76"/>
      <c r="L919" s="76"/>
      <c r="M919" s="76"/>
    </row>
    <row r="920" spans="3:13" ht="14.4" x14ac:dyDescent="0.3">
      <c r="C920" s="75"/>
      <c r="D920" s="76"/>
      <c r="E920" s="76"/>
      <c r="I920" s="75"/>
      <c r="J920" s="75"/>
      <c r="K920" s="76"/>
      <c r="L920" s="76"/>
      <c r="M920" s="76"/>
    </row>
    <row r="921" spans="3:13" ht="14.4" x14ac:dyDescent="0.3">
      <c r="C921" s="75"/>
      <c r="D921" s="76"/>
      <c r="E921" s="76"/>
      <c r="I921" s="75"/>
      <c r="J921" s="75"/>
      <c r="K921" s="76"/>
      <c r="L921" s="76"/>
      <c r="M921" s="76"/>
    </row>
    <row r="922" spans="3:13" ht="14.4" x14ac:dyDescent="0.3">
      <c r="C922" s="75"/>
      <c r="D922" s="76"/>
      <c r="E922" s="76"/>
      <c r="I922" s="75"/>
      <c r="J922" s="75"/>
      <c r="K922" s="76"/>
      <c r="L922" s="76"/>
      <c r="M922" s="76"/>
    </row>
    <row r="923" spans="3:13" ht="14.4" x14ac:dyDescent="0.3">
      <c r="C923" s="75"/>
      <c r="D923" s="76"/>
      <c r="E923" s="76"/>
      <c r="I923" s="75"/>
      <c r="J923" s="75"/>
      <c r="K923" s="76"/>
      <c r="L923" s="76"/>
      <c r="M923" s="76"/>
    </row>
    <row r="924" spans="3:13" ht="14.4" x14ac:dyDescent="0.3">
      <c r="C924" s="75"/>
      <c r="D924" s="76"/>
      <c r="E924" s="76"/>
      <c r="I924" s="75"/>
      <c r="J924" s="75"/>
      <c r="K924" s="76"/>
      <c r="L924" s="76"/>
      <c r="M924" s="76"/>
    </row>
    <row r="925" spans="3:13" ht="14.4" x14ac:dyDescent="0.3">
      <c r="C925" s="75"/>
      <c r="D925" s="76"/>
      <c r="E925" s="76"/>
      <c r="I925" s="75"/>
      <c r="J925" s="75"/>
      <c r="K925" s="76"/>
      <c r="L925" s="76"/>
      <c r="M925" s="76"/>
    </row>
    <row r="926" spans="3:13" ht="14.4" x14ac:dyDescent="0.3">
      <c r="C926" s="75"/>
      <c r="D926" s="76"/>
      <c r="E926" s="76"/>
      <c r="I926" s="75"/>
      <c r="J926" s="75"/>
      <c r="K926" s="76"/>
      <c r="L926" s="76"/>
      <c r="M926" s="76"/>
    </row>
    <row r="927" spans="3:13" ht="14.4" x14ac:dyDescent="0.3">
      <c r="C927" s="75"/>
      <c r="D927" s="76"/>
      <c r="E927" s="76"/>
      <c r="I927" s="75"/>
      <c r="J927" s="75"/>
      <c r="K927" s="76"/>
      <c r="L927" s="76"/>
      <c r="M927" s="76"/>
    </row>
    <row r="928" spans="3:13" ht="14.4" x14ac:dyDescent="0.3">
      <c r="C928" s="75"/>
      <c r="D928" s="76"/>
      <c r="E928" s="76"/>
      <c r="I928" s="75"/>
      <c r="J928" s="75"/>
      <c r="K928" s="76"/>
      <c r="L928" s="76"/>
      <c r="M928" s="76"/>
    </row>
    <row r="929" spans="3:13" ht="14.4" x14ac:dyDescent="0.3">
      <c r="C929" s="75"/>
      <c r="D929" s="76"/>
      <c r="E929" s="76"/>
      <c r="I929" s="75"/>
      <c r="J929" s="75"/>
      <c r="K929" s="76"/>
      <c r="L929" s="76"/>
      <c r="M929" s="76"/>
    </row>
    <row r="930" spans="3:13" ht="14.4" x14ac:dyDescent="0.3">
      <c r="C930" s="75"/>
      <c r="D930" s="76"/>
      <c r="E930" s="76"/>
      <c r="I930" s="75"/>
      <c r="J930" s="75"/>
      <c r="K930" s="76"/>
      <c r="L930" s="76"/>
      <c r="M930" s="76"/>
    </row>
    <row r="931" spans="3:13" ht="14.4" x14ac:dyDescent="0.3">
      <c r="C931" s="75"/>
      <c r="D931" s="76"/>
      <c r="E931" s="76"/>
      <c r="I931" s="75"/>
      <c r="J931" s="75"/>
      <c r="K931" s="76"/>
      <c r="L931" s="76"/>
      <c r="M931" s="76"/>
    </row>
    <row r="932" spans="3:13" ht="14.4" x14ac:dyDescent="0.3">
      <c r="C932" s="75"/>
      <c r="D932" s="76"/>
      <c r="E932" s="76"/>
      <c r="I932" s="75"/>
      <c r="J932" s="75"/>
      <c r="K932" s="76"/>
      <c r="L932" s="76"/>
      <c r="M932" s="76"/>
    </row>
    <row r="933" spans="3:13" ht="14.4" x14ac:dyDescent="0.3">
      <c r="C933" s="75"/>
      <c r="D933" s="76"/>
      <c r="E933" s="76"/>
      <c r="I933" s="75"/>
      <c r="J933" s="75"/>
      <c r="K933" s="76"/>
      <c r="L933" s="76"/>
      <c r="M933" s="76"/>
    </row>
    <row r="934" spans="3:13" ht="14.4" x14ac:dyDescent="0.3">
      <c r="C934" s="75"/>
      <c r="D934" s="76"/>
      <c r="E934" s="76"/>
      <c r="I934" s="75"/>
      <c r="J934" s="75"/>
      <c r="K934" s="76"/>
      <c r="L934" s="76"/>
      <c r="M934" s="76"/>
    </row>
    <row r="935" spans="3:13" ht="14.4" x14ac:dyDescent="0.3">
      <c r="C935" s="75"/>
      <c r="D935" s="76"/>
      <c r="E935" s="76"/>
      <c r="I935" s="75"/>
      <c r="J935" s="75"/>
      <c r="K935" s="76"/>
      <c r="L935" s="76"/>
      <c r="M935" s="76"/>
    </row>
    <row r="936" spans="3:13" ht="14.4" x14ac:dyDescent="0.3">
      <c r="C936" s="75"/>
      <c r="D936" s="76"/>
      <c r="E936" s="76"/>
      <c r="I936" s="75"/>
      <c r="J936" s="75"/>
      <c r="K936" s="76"/>
      <c r="L936" s="76"/>
      <c r="M936" s="76"/>
    </row>
    <row r="937" spans="3:13" ht="14.4" x14ac:dyDescent="0.3">
      <c r="C937" s="75"/>
      <c r="D937" s="76"/>
      <c r="E937" s="76"/>
      <c r="I937" s="75"/>
      <c r="J937" s="75"/>
      <c r="K937" s="76"/>
      <c r="L937" s="76"/>
      <c r="M937" s="76"/>
    </row>
    <row r="938" spans="3:13" ht="14.4" x14ac:dyDescent="0.3">
      <c r="C938" s="75"/>
      <c r="D938" s="76"/>
      <c r="E938" s="76"/>
      <c r="I938" s="75"/>
      <c r="J938" s="75"/>
      <c r="K938" s="76"/>
      <c r="L938" s="76"/>
      <c r="M938" s="76"/>
    </row>
    <row r="939" spans="3:13" ht="14.4" x14ac:dyDescent="0.3">
      <c r="C939" s="75"/>
      <c r="D939" s="76"/>
      <c r="E939" s="76"/>
      <c r="I939" s="75"/>
      <c r="J939" s="75"/>
      <c r="K939" s="76"/>
      <c r="L939" s="76"/>
      <c r="M939" s="76"/>
    </row>
    <row r="940" spans="3:13" ht="14.4" x14ac:dyDescent="0.3">
      <c r="C940" s="75"/>
      <c r="D940" s="76"/>
      <c r="E940" s="76"/>
      <c r="I940" s="75"/>
      <c r="J940" s="75"/>
      <c r="K940" s="76"/>
      <c r="L940" s="76"/>
      <c r="M940" s="76"/>
    </row>
    <row r="941" spans="3:13" ht="14.4" x14ac:dyDescent="0.3">
      <c r="C941" s="75"/>
      <c r="D941" s="76"/>
      <c r="E941" s="76"/>
      <c r="I941" s="75"/>
      <c r="J941" s="75"/>
      <c r="K941" s="76"/>
      <c r="L941" s="76"/>
      <c r="M941" s="76"/>
    </row>
    <row r="942" spans="3:13" ht="14.4" x14ac:dyDescent="0.3">
      <c r="C942" s="75"/>
      <c r="D942" s="76"/>
      <c r="E942" s="76"/>
      <c r="I942" s="75"/>
      <c r="J942" s="75"/>
      <c r="K942" s="76"/>
      <c r="L942" s="76"/>
      <c r="M942" s="76"/>
    </row>
    <row r="943" spans="3:13" ht="14.4" x14ac:dyDescent="0.3">
      <c r="C943" s="75"/>
      <c r="D943" s="76"/>
      <c r="E943" s="76"/>
      <c r="I943" s="75"/>
      <c r="J943" s="75"/>
      <c r="K943" s="76"/>
      <c r="L943" s="76"/>
      <c r="M943" s="76"/>
    </row>
    <row r="944" spans="3:13" ht="14.4" x14ac:dyDescent="0.3">
      <c r="C944" s="75"/>
      <c r="D944" s="76"/>
      <c r="E944" s="76"/>
      <c r="I944" s="75"/>
      <c r="J944" s="75"/>
      <c r="K944" s="76"/>
      <c r="L944" s="76"/>
      <c r="M944" s="76"/>
    </row>
    <row r="945" spans="3:13" ht="14.4" x14ac:dyDescent="0.3">
      <c r="C945" s="75"/>
      <c r="D945" s="76"/>
      <c r="E945" s="76"/>
      <c r="I945" s="75"/>
      <c r="J945" s="75"/>
      <c r="K945" s="76"/>
      <c r="L945" s="76"/>
      <c r="M945" s="76"/>
    </row>
    <row r="946" spans="3:13" ht="14.4" x14ac:dyDescent="0.3">
      <c r="C946" s="75"/>
      <c r="D946" s="76"/>
      <c r="E946" s="76"/>
      <c r="I946" s="75"/>
      <c r="J946" s="75"/>
      <c r="K946" s="76"/>
      <c r="L946" s="76"/>
      <c r="M946" s="76"/>
    </row>
    <row r="947" spans="3:13" ht="14.4" x14ac:dyDescent="0.3">
      <c r="C947" s="75"/>
      <c r="D947" s="76"/>
      <c r="E947" s="76"/>
      <c r="I947" s="75"/>
      <c r="J947" s="75"/>
      <c r="K947" s="76"/>
      <c r="L947" s="76"/>
      <c r="M947" s="76"/>
    </row>
    <row r="948" spans="3:13" ht="14.4" x14ac:dyDescent="0.3">
      <c r="C948" s="75"/>
      <c r="D948" s="76"/>
      <c r="E948" s="76"/>
      <c r="I948" s="75"/>
      <c r="J948" s="75"/>
      <c r="K948" s="76"/>
      <c r="L948" s="76"/>
      <c r="M948" s="76"/>
    </row>
    <row r="949" spans="3:13" ht="14.4" x14ac:dyDescent="0.3">
      <c r="C949" s="75"/>
      <c r="D949" s="76"/>
      <c r="E949" s="76"/>
      <c r="I949" s="75"/>
      <c r="J949" s="75"/>
      <c r="K949" s="76"/>
      <c r="L949" s="76"/>
      <c r="M949" s="76"/>
    </row>
    <row r="950" spans="3:13" ht="14.4" x14ac:dyDescent="0.3">
      <c r="C950" s="75"/>
      <c r="D950" s="76"/>
      <c r="E950" s="76"/>
      <c r="I950" s="75"/>
      <c r="J950" s="75"/>
      <c r="K950" s="76"/>
      <c r="L950" s="76"/>
      <c r="M950" s="76"/>
    </row>
    <row r="951" spans="3:13" ht="14.4" x14ac:dyDescent="0.3">
      <c r="C951" s="75"/>
      <c r="D951" s="76"/>
      <c r="E951" s="76"/>
      <c r="I951" s="75"/>
      <c r="J951" s="75"/>
      <c r="K951" s="76"/>
      <c r="L951" s="76"/>
      <c r="M951" s="76"/>
    </row>
    <row r="952" spans="3:13" ht="14.4" x14ac:dyDescent="0.3">
      <c r="C952" s="75"/>
      <c r="D952" s="76"/>
      <c r="E952" s="76"/>
      <c r="I952" s="75"/>
      <c r="J952" s="75"/>
      <c r="K952" s="76"/>
      <c r="L952" s="76"/>
      <c r="M952" s="76"/>
    </row>
    <row r="953" spans="3:13" ht="14.4" x14ac:dyDescent="0.3">
      <c r="C953" s="75"/>
      <c r="D953" s="76"/>
      <c r="E953" s="76"/>
      <c r="I953" s="75"/>
      <c r="J953" s="75"/>
      <c r="K953" s="76"/>
      <c r="L953" s="76"/>
      <c r="M953" s="76"/>
    </row>
    <row r="954" spans="3:13" ht="14.4" x14ac:dyDescent="0.3">
      <c r="C954" s="75"/>
      <c r="D954" s="76"/>
      <c r="E954" s="76"/>
      <c r="I954" s="75"/>
      <c r="J954" s="75"/>
      <c r="K954" s="76"/>
      <c r="L954" s="76"/>
      <c r="M954" s="76"/>
    </row>
    <row r="955" spans="3:13" ht="14.4" x14ac:dyDescent="0.3">
      <c r="C955" s="75"/>
      <c r="D955" s="76"/>
      <c r="E955" s="76"/>
      <c r="I955" s="75"/>
      <c r="J955" s="75"/>
      <c r="K955" s="76"/>
      <c r="L955" s="76"/>
      <c r="M955" s="76"/>
    </row>
    <row r="956" spans="3:13" ht="14.4" x14ac:dyDescent="0.3">
      <c r="C956" s="75"/>
      <c r="D956" s="76"/>
      <c r="E956" s="76"/>
      <c r="I956" s="75"/>
      <c r="J956" s="75"/>
      <c r="K956" s="76"/>
      <c r="L956" s="76"/>
      <c r="M956" s="76"/>
    </row>
    <row r="957" spans="3:13" ht="14.4" x14ac:dyDescent="0.3">
      <c r="C957" s="75"/>
      <c r="D957" s="76"/>
      <c r="E957" s="76"/>
      <c r="I957" s="75"/>
      <c r="J957" s="75"/>
      <c r="K957" s="76"/>
      <c r="L957" s="76"/>
      <c r="M957" s="76"/>
    </row>
    <row r="958" spans="3:13" ht="14.4" x14ac:dyDescent="0.3">
      <c r="C958" s="75"/>
      <c r="D958" s="76"/>
      <c r="E958" s="76"/>
      <c r="I958" s="75"/>
      <c r="J958" s="75"/>
      <c r="K958" s="76"/>
      <c r="L958" s="76"/>
      <c r="M958" s="76"/>
    </row>
    <row r="959" spans="3:13" ht="14.4" x14ac:dyDescent="0.3">
      <c r="C959" s="75"/>
      <c r="D959" s="76"/>
      <c r="E959" s="76"/>
      <c r="I959" s="75"/>
      <c r="J959" s="75"/>
      <c r="K959" s="76"/>
      <c r="L959" s="76"/>
      <c r="M959" s="76"/>
    </row>
    <row r="960" spans="3:13" ht="14.4" x14ac:dyDescent="0.3">
      <c r="C960" s="75"/>
      <c r="D960" s="76"/>
      <c r="E960" s="76"/>
      <c r="I960" s="75"/>
      <c r="J960" s="75"/>
      <c r="K960" s="76"/>
      <c r="L960" s="76"/>
      <c r="M960" s="76"/>
    </row>
    <row r="961" spans="3:13" ht="14.4" x14ac:dyDescent="0.3">
      <c r="C961" s="75"/>
      <c r="D961" s="76"/>
      <c r="E961" s="76"/>
      <c r="I961" s="75"/>
      <c r="J961" s="75"/>
      <c r="K961" s="76"/>
      <c r="L961" s="76"/>
      <c r="M961" s="76"/>
    </row>
    <row r="962" spans="3:13" ht="14.4" x14ac:dyDescent="0.3">
      <c r="C962" s="75"/>
      <c r="D962" s="76"/>
      <c r="E962" s="76"/>
      <c r="I962" s="75"/>
      <c r="J962" s="75"/>
      <c r="K962" s="76"/>
      <c r="L962" s="76"/>
      <c r="M962" s="76"/>
    </row>
    <row r="963" spans="3:13" ht="14.4" x14ac:dyDescent="0.3">
      <c r="C963" s="75"/>
      <c r="D963" s="76"/>
      <c r="E963" s="76"/>
      <c r="I963" s="75"/>
      <c r="J963" s="75"/>
      <c r="K963" s="76"/>
      <c r="L963" s="76"/>
      <c r="M963" s="76"/>
    </row>
    <row r="964" spans="3:13" ht="14.4" x14ac:dyDescent="0.3">
      <c r="C964" s="75"/>
      <c r="D964" s="76"/>
      <c r="E964" s="76"/>
      <c r="I964" s="75"/>
      <c r="J964" s="75"/>
      <c r="K964" s="76"/>
      <c r="L964" s="76"/>
      <c r="M964" s="76"/>
    </row>
    <row r="965" spans="3:13" ht="14.4" x14ac:dyDescent="0.3">
      <c r="C965" s="75"/>
      <c r="D965" s="76"/>
      <c r="E965" s="76"/>
      <c r="I965" s="75"/>
      <c r="J965" s="75"/>
      <c r="K965" s="76"/>
      <c r="L965" s="76"/>
      <c r="M965" s="76"/>
    </row>
    <row r="966" spans="3:13" ht="14.4" x14ac:dyDescent="0.3">
      <c r="C966" s="75"/>
      <c r="D966" s="76"/>
      <c r="E966" s="76"/>
      <c r="I966" s="75"/>
      <c r="J966" s="75"/>
      <c r="K966" s="76"/>
      <c r="L966" s="76"/>
      <c r="M966" s="76"/>
    </row>
    <row r="967" spans="3:13" ht="14.4" x14ac:dyDescent="0.3">
      <c r="C967" s="75"/>
      <c r="D967" s="76"/>
      <c r="E967" s="76"/>
      <c r="I967" s="75"/>
      <c r="J967" s="75"/>
      <c r="K967" s="76"/>
      <c r="L967" s="76"/>
      <c r="M967" s="76"/>
    </row>
    <row r="968" spans="3:13" ht="14.4" x14ac:dyDescent="0.3">
      <c r="C968" s="75"/>
      <c r="D968" s="76"/>
      <c r="E968" s="76"/>
      <c r="I968" s="75"/>
      <c r="J968" s="75"/>
      <c r="K968" s="76"/>
      <c r="L968" s="76"/>
      <c r="M968" s="76"/>
    </row>
    <row r="969" spans="3:13" ht="14.4" x14ac:dyDescent="0.3">
      <c r="C969" s="75"/>
      <c r="D969" s="76"/>
      <c r="E969" s="76"/>
      <c r="I969" s="75"/>
      <c r="J969" s="75"/>
      <c r="K969" s="76"/>
      <c r="L969" s="76"/>
      <c r="M969" s="76"/>
    </row>
    <row r="970" spans="3:13" ht="14.4" x14ac:dyDescent="0.3">
      <c r="C970" s="75"/>
      <c r="D970" s="76"/>
      <c r="E970" s="76"/>
      <c r="I970" s="75"/>
      <c r="J970" s="75"/>
      <c r="K970" s="76"/>
      <c r="L970" s="76"/>
      <c r="M970" s="76"/>
    </row>
    <row r="971" spans="3:13" ht="14.4" x14ac:dyDescent="0.3">
      <c r="C971" s="75"/>
      <c r="D971" s="76"/>
      <c r="E971" s="76"/>
      <c r="I971" s="75"/>
      <c r="J971" s="75"/>
      <c r="K971" s="76"/>
      <c r="L971" s="76"/>
      <c r="M971" s="76"/>
    </row>
    <row r="972" spans="3:13" ht="14.4" x14ac:dyDescent="0.3">
      <c r="C972" s="75"/>
      <c r="D972" s="76"/>
      <c r="E972" s="76"/>
      <c r="I972" s="75"/>
      <c r="J972" s="75"/>
      <c r="K972" s="76"/>
      <c r="L972" s="76"/>
      <c r="M972" s="76"/>
    </row>
    <row r="973" spans="3:13" ht="14.4" x14ac:dyDescent="0.3">
      <c r="C973" s="75"/>
      <c r="D973" s="76"/>
      <c r="E973" s="76"/>
      <c r="I973" s="75"/>
      <c r="J973" s="75"/>
      <c r="K973" s="76"/>
      <c r="L973" s="76"/>
      <c r="M973" s="76"/>
    </row>
    <row r="974" spans="3:13" ht="14.4" x14ac:dyDescent="0.3">
      <c r="C974" s="75"/>
      <c r="D974" s="76"/>
      <c r="E974" s="76"/>
      <c r="I974" s="75"/>
      <c r="J974" s="75"/>
      <c r="K974" s="76"/>
      <c r="L974" s="76"/>
      <c r="M974" s="76"/>
    </row>
    <row r="975" spans="3:13" ht="14.4" x14ac:dyDescent="0.3">
      <c r="C975" s="75"/>
      <c r="D975" s="76"/>
      <c r="E975" s="76"/>
      <c r="I975" s="75"/>
      <c r="J975" s="75"/>
      <c r="K975" s="76"/>
      <c r="L975" s="76"/>
      <c r="M975" s="76"/>
    </row>
    <row r="976" spans="3:13" ht="14.4" x14ac:dyDescent="0.3">
      <c r="C976" s="75"/>
      <c r="D976" s="76"/>
      <c r="E976" s="76"/>
      <c r="I976" s="75"/>
      <c r="J976" s="75"/>
      <c r="K976" s="76"/>
      <c r="L976" s="76"/>
      <c r="M976" s="76"/>
    </row>
    <row r="977" spans="3:13" ht="14.4" x14ac:dyDescent="0.3">
      <c r="C977" s="75"/>
      <c r="D977" s="76"/>
      <c r="E977" s="76"/>
      <c r="I977" s="75"/>
      <c r="J977" s="75"/>
      <c r="K977" s="76"/>
      <c r="L977" s="76"/>
      <c r="M977" s="76"/>
    </row>
    <row r="978" spans="3:13" ht="14.4" x14ac:dyDescent="0.3">
      <c r="C978" s="75"/>
      <c r="D978" s="76"/>
      <c r="E978" s="76"/>
      <c r="I978" s="75"/>
      <c r="J978" s="75"/>
      <c r="K978" s="76"/>
      <c r="L978" s="76"/>
      <c r="M978" s="76"/>
    </row>
    <row r="979" spans="3:13" ht="14.4" x14ac:dyDescent="0.3">
      <c r="C979" s="75"/>
      <c r="D979" s="76"/>
      <c r="E979" s="76"/>
      <c r="I979" s="75"/>
      <c r="J979" s="75"/>
      <c r="K979" s="76"/>
      <c r="L979" s="76"/>
      <c r="M979" s="76"/>
    </row>
    <row r="980" spans="3:13" ht="14.4" x14ac:dyDescent="0.3">
      <c r="C980" s="75"/>
      <c r="D980" s="76"/>
      <c r="E980" s="76"/>
      <c r="I980" s="75"/>
      <c r="J980" s="75"/>
      <c r="K980" s="76"/>
      <c r="L980" s="76"/>
      <c r="M980" s="76"/>
    </row>
    <row r="981" spans="3:13" ht="14.4" x14ac:dyDescent="0.3">
      <c r="C981" s="75"/>
      <c r="D981" s="76"/>
      <c r="E981" s="76"/>
      <c r="I981" s="75"/>
      <c r="J981" s="75"/>
      <c r="K981" s="76"/>
      <c r="L981" s="76"/>
      <c r="M981" s="76"/>
    </row>
    <row r="982" spans="3:13" ht="14.4" x14ac:dyDescent="0.3">
      <c r="C982" s="75"/>
      <c r="D982" s="76"/>
      <c r="E982" s="76"/>
      <c r="I982" s="75"/>
      <c r="J982" s="75"/>
      <c r="K982" s="76"/>
      <c r="L982" s="76"/>
      <c r="M982" s="76"/>
    </row>
    <row r="983" spans="3:13" ht="14.4" x14ac:dyDescent="0.3">
      <c r="C983" s="75"/>
      <c r="D983" s="76"/>
      <c r="E983" s="76"/>
      <c r="I983" s="75"/>
      <c r="J983" s="75"/>
      <c r="K983" s="76"/>
      <c r="L983" s="76"/>
      <c r="M983" s="76"/>
    </row>
    <row r="984" spans="3:13" ht="14.4" x14ac:dyDescent="0.3">
      <c r="C984" s="75"/>
      <c r="D984" s="76"/>
      <c r="E984" s="76"/>
      <c r="I984" s="75"/>
      <c r="J984" s="75"/>
      <c r="K984" s="76"/>
      <c r="L984" s="76"/>
      <c r="M984" s="76"/>
    </row>
    <row r="985" spans="3:13" ht="14.4" x14ac:dyDescent="0.3">
      <c r="C985" s="75"/>
      <c r="D985" s="76"/>
      <c r="E985" s="76"/>
      <c r="I985" s="75"/>
      <c r="J985" s="75"/>
      <c r="K985" s="76"/>
      <c r="L985" s="76"/>
      <c r="M985" s="76"/>
    </row>
    <row r="986" spans="3:13" ht="14.4" x14ac:dyDescent="0.3">
      <c r="C986" s="75"/>
      <c r="D986" s="76"/>
      <c r="E986" s="76"/>
      <c r="I986" s="75"/>
      <c r="J986" s="75"/>
      <c r="K986" s="76"/>
      <c r="L986" s="76"/>
      <c r="M986" s="76"/>
    </row>
    <row r="987" spans="3:13" ht="14.4" x14ac:dyDescent="0.3">
      <c r="C987" s="75"/>
      <c r="D987" s="76"/>
      <c r="E987" s="76"/>
      <c r="I987" s="75"/>
      <c r="J987" s="75"/>
      <c r="K987" s="76"/>
      <c r="L987" s="76"/>
      <c r="M987" s="76"/>
    </row>
    <row r="988" spans="3:13" ht="14.4" x14ac:dyDescent="0.3">
      <c r="C988" s="75"/>
      <c r="D988" s="76"/>
      <c r="E988" s="76"/>
      <c r="I988" s="75"/>
      <c r="J988" s="75"/>
      <c r="K988" s="76"/>
      <c r="L988" s="76"/>
      <c r="M988" s="76"/>
    </row>
    <row r="989" spans="3:13" ht="14.4" x14ac:dyDescent="0.3">
      <c r="C989" s="75"/>
      <c r="D989" s="76"/>
      <c r="E989" s="76"/>
      <c r="I989" s="75"/>
      <c r="J989" s="75"/>
      <c r="K989" s="76"/>
      <c r="L989" s="76"/>
      <c r="M989" s="76"/>
    </row>
    <row r="990" spans="3:13" ht="14.4" x14ac:dyDescent="0.3">
      <c r="C990" s="75"/>
      <c r="D990" s="76"/>
      <c r="E990" s="76"/>
      <c r="I990" s="75"/>
      <c r="J990" s="75"/>
      <c r="K990" s="76"/>
      <c r="L990" s="76"/>
      <c r="M990" s="76"/>
    </row>
    <row r="991" spans="3:13" ht="14.4" x14ac:dyDescent="0.3">
      <c r="C991" s="75"/>
      <c r="D991" s="76"/>
      <c r="E991" s="76"/>
      <c r="I991" s="75"/>
      <c r="J991" s="75"/>
      <c r="K991" s="76"/>
      <c r="L991" s="76"/>
      <c r="M991" s="76"/>
    </row>
    <row r="992" spans="3:13" ht="14.4" x14ac:dyDescent="0.3">
      <c r="C992" s="75"/>
      <c r="D992" s="76"/>
      <c r="E992" s="76"/>
      <c r="I992" s="75"/>
      <c r="J992" s="75"/>
      <c r="K992" s="76"/>
      <c r="L992" s="76"/>
      <c r="M992" s="76"/>
    </row>
    <row r="993" spans="3:13" ht="14.4" x14ac:dyDescent="0.3">
      <c r="C993" s="75"/>
      <c r="D993" s="76"/>
      <c r="E993" s="76"/>
      <c r="I993" s="75"/>
      <c r="J993" s="75"/>
      <c r="K993" s="76"/>
      <c r="L993" s="76"/>
      <c r="M993" s="76"/>
    </row>
    <row r="994" spans="3:13" ht="14.4" x14ac:dyDescent="0.3">
      <c r="C994" s="75"/>
      <c r="D994" s="76"/>
      <c r="E994" s="76"/>
      <c r="I994" s="75"/>
      <c r="J994" s="75"/>
      <c r="K994" s="76"/>
      <c r="L994" s="76"/>
      <c r="M994" s="76"/>
    </row>
    <row r="995" spans="3:13" ht="14.4" x14ac:dyDescent="0.3">
      <c r="C995" s="75"/>
      <c r="D995" s="76"/>
      <c r="E995" s="76"/>
      <c r="I995" s="75"/>
      <c r="J995" s="75"/>
      <c r="K995" s="76"/>
      <c r="L995" s="76"/>
      <c r="M995" s="76"/>
    </row>
    <row r="996" spans="3:13" ht="14.4" x14ac:dyDescent="0.3">
      <c r="C996" s="75"/>
      <c r="D996" s="76"/>
      <c r="E996" s="76"/>
      <c r="I996" s="75"/>
      <c r="J996" s="75"/>
      <c r="K996" s="76"/>
      <c r="L996" s="76"/>
      <c r="M996" s="76"/>
    </row>
    <row r="997" spans="3:13" ht="14.4" x14ac:dyDescent="0.3">
      <c r="C997" s="75"/>
      <c r="D997" s="76"/>
      <c r="E997" s="76"/>
      <c r="I997" s="75"/>
      <c r="J997" s="75"/>
      <c r="K997" s="76"/>
      <c r="L997" s="76"/>
      <c r="M997" s="76"/>
    </row>
    <row r="998" spans="3:13" ht="14.4" x14ac:dyDescent="0.3">
      <c r="C998" s="75"/>
      <c r="D998" s="76"/>
      <c r="E998" s="76"/>
      <c r="I998" s="75"/>
      <c r="J998" s="75"/>
      <c r="K998" s="76"/>
      <c r="L998" s="76"/>
      <c r="M998" s="76"/>
    </row>
    <row r="999" spans="3:13" ht="14.4" x14ac:dyDescent="0.3">
      <c r="C999" s="75"/>
      <c r="D999" s="76"/>
      <c r="E999" s="76"/>
      <c r="I999" s="75"/>
      <c r="J999" s="75"/>
      <c r="K999" s="76"/>
      <c r="L999" s="76"/>
      <c r="M999" s="76"/>
    </row>
    <row r="1000" spans="3:13" ht="14.4" x14ac:dyDescent="0.3">
      <c r="C1000" s="75"/>
      <c r="D1000" s="76"/>
      <c r="E1000" s="76"/>
      <c r="I1000" s="75"/>
      <c r="J1000" s="75"/>
      <c r="K1000" s="76"/>
      <c r="L1000" s="76"/>
      <c r="M1000" s="76"/>
    </row>
    <row r="1001" spans="3:13" ht="14.4" x14ac:dyDescent="0.3">
      <c r="C1001" s="75"/>
      <c r="D1001" s="76"/>
      <c r="E1001" s="76"/>
      <c r="I1001" s="75"/>
      <c r="J1001" s="75"/>
      <c r="K1001" s="76"/>
      <c r="L1001" s="76"/>
      <c r="M1001" s="76"/>
    </row>
    <row r="1002" spans="3:13" ht="14.4" x14ac:dyDescent="0.3">
      <c r="C1002" s="75"/>
      <c r="D1002" s="76"/>
      <c r="E1002" s="76"/>
      <c r="I1002" s="75"/>
      <c r="J1002" s="75"/>
      <c r="K1002" s="76"/>
      <c r="L1002" s="76"/>
      <c r="M1002" s="76"/>
    </row>
    <row r="1003" spans="3:13" ht="14.4" x14ac:dyDescent="0.3">
      <c r="C1003" s="75"/>
      <c r="D1003" s="76"/>
      <c r="E1003" s="76"/>
      <c r="I1003" s="75"/>
      <c r="J1003" s="75"/>
      <c r="K1003" s="76"/>
      <c r="L1003" s="76"/>
      <c r="M1003" s="76"/>
    </row>
    <row r="1004" spans="3:13" ht="14.4" x14ac:dyDescent="0.3">
      <c r="C1004" s="75"/>
      <c r="D1004" s="76"/>
      <c r="E1004" s="76"/>
      <c r="I1004" s="75"/>
      <c r="J1004" s="75"/>
      <c r="K1004" s="76"/>
      <c r="L1004" s="76"/>
      <c r="M1004" s="76"/>
    </row>
    <row r="1005" spans="3:13" ht="14.4" x14ac:dyDescent="0.3">
      <c r="C1005" s="75"/>
      <c r="D1005" s="76"/>
      <c r="E1005" s="76"/>
      <c r="I1005" s="75"/>
      <c r="J1005" s="75"/>
      <c r="K1005" s="76"/>
      <c r="L1005" s="76"/>
      <c r="M1005" s="76"/>
    </row>
    <row r="1006" spans="3:13" ht="14.4" x14ac:dyDescent="0.3">
      <c r="C1006" s="75"/>
      <c r="D1006" s="76"/>
      <c r="E1006" s="76"/>
      <c r="I1006" s="75"/>
      <c r="J1006" s="75"/>
      <c r="K1006" s="76"/>
      <c r="L1006" s="76"/>
      <c r="M1006" s="76"/>
    </row>
    <row r="1007" spans="3:13" ht="14.4" x14ac:dyDescent="0.3">
      <c r="C1007" s="75"/>
      <c r="D1007" s="76"/>
      <c r="E1007" s="76"/>
      <c r="I1007" s="75"/>
      <c r="J1007" s="75"/>
      <c r="K1007" s="76"/>
      <c r="L1007" s="76"/>
      <c r="M1007" s="76"/>
    </row>
    <row r="1008" spans="3:13" ht="14.4" x14ac:dyDescent="0.3">
      <c r="C1008" s="75"/>
      <c r="D1008" s="76"/>
      <c r="E1008" s="76"/>
      <c r="I1008" s="75"/>
      <c r="J1008" s="75"/>
      <c r="K1008" s="76"/>
      <c r="L1008" s="76"/>
      <c r="M1008" s="76"/>
    </row>
    <row r="1009" spans="3:13" ht="14.4" x14ac:dyDescent="0.3">
      <c r="C1009" s="75"/>
      <c r="D1009" s="76"/>
      <c r="E1009" s="76"/>
      <c r="I1009" s="75"/>
      <c r="J1009" s="75"/>
      <c r="K1009" s="76"/>
      <c r="L1009" s="76"/>
      <c r="M1009" s="76"/>
    </row>
    <row r="1010" spans="3:13" ht="14.4" x14ac:dyDescent="0.3">
      <c r="C1010" s="75"/>
      <c r="D1010" s="76"/>
      <c r="E1010" s="76"/>
      <c r="I1010" s="75"/>
      <c r="J1010" s="75"/>
      <c r="K1010" s="76"/>
      <c r="L1010" s="76"/>
      <c r="M1010" s="76"/>
    </row>
    <row r="1011" spans="3:13" ht="14.4" x14ac:dyDescent="0.3">
      <c r="C1011" s="75"/>
      <c r="D1011" s="76"/>
      <c r="E1011" s="76"/>
      <c r="I1011" s="75"/>
      <c r="J1011" s="75"/>
      <c r="K1011" s="76"/>
      <c r="L1011" s="76"/>
      <c r="M1011" s="76"/>
    </row>
    <row r="1012" spans="3:13" ht="14.4" x14ac:dyDescent="0.3">
      <c r="C1012" s="75"/>
      <c r="D1012" s="76"/>
      <c r="E1012" s="76"/>
      <c r="I1012" s="75"/>
      <c r="J1012" s="75"/>
      <c r="K1012" s="76"/>
      <c r="L1012" s="76"/>
      <c r="M1012" s="76"/>
    </row>
    <row r="1013" spans="3:13" ht="14.4" x14ac:dyDescent="0.3">
      <c r="C1013" s="75"/>
      <c r="D1013" s="76"/>
      <c r="E1013" s="76"/>
      <c r="I1013" s="75"/>
      <c r="J1013" s="75"/>
      <c r="K1013" s="76"/>
      <c r="L1013" s="76"/>
      <c r="M1013" s="76"/>
    </row>
    <row r="1014" spans="3:13" ht="14.4" x14ac:dyDescent="0.3">
      <c r="C1014" s="75"/>
      <c r="D1014" s="76"/>
      <c r="E1014" s="76"/>
      <c r="I1014" s="75"/>
      <c r="J1014" s="75"/>
      <c r="K1014" s="76"/>
      <c r="L1014" s="76"/>
      <c r="M1014" s="76"/>
    </row>
    <row r="1015" spans="3:13" ht="14.4" x14ac:dyDescent="0.3">
      <c r="C1015" s="75"/>
      <c r="D1015" s="76"/>
      <c r="E1015" s="76"/>
      <c r="I1015" s="75"/>
      <c r="J1015" s="75"/>
      <c r="K1015" s="76"/>
      <c r="L1015" s="76"/>
      <c r="M1015" s="76"/>
    </row>
    <row r="1016" spans="3:13" ht="14.4" x14ac:dyDescent="0.3">
      <c r="C1016" s="75"/>
      <c r="D1016" s="76"/>
      <c r="E1016" s="76"/>
      <c r="I1016" s="75"/>
      <c r="J1016" s="75"/>
      <c r="K1016" s="76"/>
      <c r="L1016" s="76"/>
      <c r="M1016" s="76"/>
    </row>
    <row r="1017" spans="3:13" ht="14.4" x14ac:dyDescent="0.3">
      <c r="C1017" s="75"/>
      <c r="D1017" s="76"/>
      <c r="E1017" s="76"/>
      <c r="I1017" s="75"/>
      <c r="J1017" s="75"/>
      <c r="K1017" s="76"/>
      <c r="L1017" s="76"/>
      <c r="M1017" s="76"/>
    </row>
    <row r="1018" spans="3:13" ht="14.4" x14ac:dyDescent="0.3">
      <c r="C1018" s="75"/>
      <c r="D1018" s="76"/>
      <c r="E1018" s="76"/>
      <c r="I1018" s="75"/>
      <c r="J1018" s="75"/>
      <c r="K1018" s="76"/>
      <c r="L1018" s="76"/>
      <c r="M1018" s="76"/>
    </row>
    <row r="1019" spans="3:13" ht="14.4" x14ac:dyDescent="0.3">
      <c r="C1019" s="75"/>
      <c r="D1019" s="76"/>
      <c r="E1019" s="76"/>
      <c r="I1019" s="75"/>
      <c r="J1019" s="75"/>
      <c r="K1019" s="76"/>
      <c r="L1019" s="76"/>
      <c r="M1019" s="76"/>
    </row>
    <row r="1020" spans="3:13" ht="14.4" x14ac:dyDescent="0.3">
      <c r="C1020" s="75"/>
      <c r="D1020" s="76"/>
      <c r="E1020" s="76"/>
      <c r="I1020" s="75"/>
      <c r="J1020" s="75"/>
      <c r="K1020" s="76"/>
      <c r="L1020" s="76"/>
      <c r="M1020" s="76"/>
    </row>
  </sheetData>
  <mergeCells count="15">
    <mergeCell ref="W60:X60"/>
    <mergeCell ref="W66:X66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74"/>
  <sheetViews>
    <sheetView zoomScale="88" zoomScaleNormal="100" workbookViewId="0">
      <pane xSplit="1" ySplit="5" topLeftCell="B53" activePane="bottomRight" state="frozen"/>
      <selection pane="topRight" activeCell="B1" sqref="B1"/>
      <selection pane="bottomLeft" activeCell="A2" sqref="A2"/>
      <selection pane="bottomRight" activeCell="D66" sqref="D66"/>
    </sheetView>
  </sheetViews>
  <sheetFormatPr defaultRowHeight="14.4" x14ac:dyDescent="0.3"/>
  <cols>
    <col min="1" max="1" width="30.88671875" bestFit="1" customWidth="1"/>
    <col min="3" max="3" width="13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33.5546875" customWidth="1"/>
    <col min="26" max="26" width="17.21875" bestFit="1" customWidth="1"/>
    <col min="27" max="27" width="18.44140625" bestFit="1" customWidth="1"/>
    <col min="28" max="28" width="17.109375" bestFit="1" customWidth="1"/>
    <col min="29" max="29" width="15.77734375" bestFit="1" customWidth="1"/>
    <col min="30" max="30" width="11.109375" bestFit="1" customWidth="1"/>
  </cols>
  <sheetData>
    <row r="1" spans="1:42" ht="18" x14ac:dyDescent="0.35">
      <c r="B1" s="1284" t="s">
        <v>279</v>
      </c>
      <c r="C1" s="1284"/>
      <c r="D1" s="1284"/>
      <c r="E1" s="1284"/>
      <c r="F1" s="1284"/>
      <c r="G1" s="1284"/>
      <c r="H1" s="1284"/>
      <c r="I1" s="1284"/>
      <c r="J1" s="1284"/>
      <c r="K1" s="1284"/>
      <c r="L1" s="1284"/>
      <c r="M1" s="1284"/>
      <c r="N1" s="1284"/>
      <c r="O1" s="1284"/>
      <c r="P1" s="1284"/>
      <c r="Q1" s="1284"/>
      <c r="R1" s="1284"/>
      <c r="S1" s="1284"/>
    </row>
    <row r="2" spans="1:42" ht="18" x14ac:dyDescent="0.35">
      <c r="B2" s="1284" t="s">
        <v>280</v>
      </c>
      <c r="C2" s="1284"/>
      <c r="D2" s="1284"/>
      <c r="E2" s="1284"/>
      <c r="F2" s="1284"/>
      <c r="G2" s="1284"/>
      <c r="H2" s="1284"/>
      <c r="I2" s="1284"/>
      <c r="J2" s="1284"/>
      <c r="K2" s="1284"/>
      <c r="L2" s="1284"/>
      <c r="M2" s="1284"/>
      <c r="N2" s="1284"/>
      <c r="O2" s="1284"/>
      <c r="P2" s="1284"/>
      <c r="Q2" s="1284"/>
      <c r="R2" s="1284"/>
      <c r="S2" s="1284"/>
    </row>
    <row r="3" spans="1:42" ht="18" x14ac:dyDescent="0.35">
      <c r="B3" s="1284" t="s">
        <v>281</v>
      </c>
      <c r="C3" s="1284"/>
      <c r="D3" s="1284"/>
      <c r="E3" s="1284"/>
      <c r="F3" s="1284"/>
      <c r="G3" s="1284"/>
      <c r="H3" s="1284"/>
      <c r="I3" s="1284"/>
      <c r="J3" s="1284"/>
      <c r="K3" s="1284"/>
      <c r="L3" s="1284"/>
      <c r="M3" s="1284"/>
      <c r="N3" s="1284"/>
      <c r="O3" s="1284"/>
      <c r="P3" s="1284"/>
      <c r="Q3" s="1284"/>
      <c r="R3" s="1284"/>
      <c r="S3" s="1284"/>
    </row>
    <row r="4" spans="1:42" x14ac:dyDescent="0.3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42" x14ac:dyDescent="0.3">
      <c r="A5" s="15" t="s">
        <v>23</v>
      </c>
      <c r="B5" s="1285"/>
      <c r="C5" s="1286"/>
      <c r="D5" s="1285" t="s">
        <v>24</v>
      </c>
      <c r="E5" s="1287"/>
      <c r="F5" s="1286"/>
      <c r="G5" s="1285" t="s">
        <v>25</v>
      </c>
      <c r="H5" s="1287"/>
      <c r="I5" s="1286"/>
      <c r="J5" s="1285" t="s">
        <v>319</v>
      </c>
      <c r="K5" s="1286"/>
      <c r="L5" s="111" t="s">
        <v>150</v>
      </c>
      <c r="U5" t="s">
        <v>326</v>
      </c>
    </row>
    <row r="6" spans="1:42" x14ac:dyDescent="0.3">
      <c r="A6" s="15" t="s">
        <v>0</v>
      </c>
      <c r="B6" s="15" t="s">
        <v>26</v>
      </c>
      <c r="C6" s="15" t="s">
        <v>1</v>
      </c>
      <c r="D6" s="15" t="s">
        <v>173</v>
      </c>
      <c r="E6" s="15" t="s">
        <v>27</v>
      </c>
      <c r="F6" s="15" t="s">
        <v>28</v>
      </c>
      <c r="G6" s="15" t="s">
        <v>775</v>
      </c>
      <c r="H6" s="15" t="s">
        <v>29</v>
      </c>
      <c r="I6" s="15" t="s">
        <v>30</v>
      </c>
      <c r="J6" s="15" t="s">
        <v>27</v>
      </c>
      <c r="K6" s="15" t="s">
        <v>31</v>
      </c>
      <c r="L6" s="111" t="s">
        <v>151</v>
      </c>
      <c r="N6" s="15" t="s">
        <v>0</v>
      </c>
      <c r="O6" s="15" t="s">
        <v>174</v>
      </c>
      <c r="P6" s="15" t="s">
        <v>27</v>
      </c>
      <c r="Q6" s="15" t="s">
        <v>28</v>
      </c>
      <c r="R6" s="15" t="s">
        <v>29</v>
      </c>
      <c r="S6" s="15" t="s">
        <v>30</v>
      </c>
      <c r="T6" s="15" t="s">
        <v>31</v>
      </c>
      <c r="U6" s="112" t="s">
        <v>776</v>
      </c>
      <c r="V6" s="112" t="s">
        <v>327</v>
      </c>
      <c r="X6" s="1288" t="s">
        <v>162</v>
      </c>
      <c r="Y6" s="1288"/>
      <c r="Z6" s="1288"/>
      <c r="AA6" s="1288"/>
      <c r="AB6" s="1288"/>
      <c r="AC6" s="1288"/>
      <c r="AD6" s="1289"/>
    </row>
    <row r="7" spans="1:42" x14ac:dyDescent="0.3">
      <c r="A7" s="19">
        <v>46262</v>
      </c>
      <c r="B7" s="130" t="s">
        <v>12</v>
      </c>
      <c r="C7" s="377" t="s">
        <v>417</v>
      </c>
      <c r="D7" s="13"/>
      <c r="E7" s="13"/>
      <c r="F7" s="6"/>
      <c r="G7" s="6"/>
      <c r="H7" s="5"/>
      <c r="I7" s="6"/>
      <c r="J7" s="6"/>
      <c r="K7" s="6"/>
      <c r="L7" s="6"/>
      <c r="N7" s="17">
        <v>46262</v>
      </c>
      <c r="O7" s="18">
        <f>SUMIF($A$7:$A$109,N7,$D$7:$D$109)</f>
        <v>0</v>
      </c>
      <c r="P7" s="18">
        <f>SUMIF(A$7:A$52,N7,E$7:E$52)+SUMIF(A$7:A$52,N7,J$7:J$52)</f>
        <v>0</v>
      </c>
      <c r="Q7" s="18">
        <f>SUMIF(A$7:A$142,N7,F$7:F$142)</f>
        <v>0</v>
      </c>
      <c r="R7" s="18">
        <f>SUMIF(A$7:A$71,N7,H$7:H$72)</f>
        <v>0</v>
      </c>
      <c r="S7" s="18">
        <f>SUMIF(A$7:A$72,N7,I$7:I$72)</f>
        <v>0</v>
      </c>
      <c r="T7" s="18">
        <f>SUMIF(A$7:A$72,N7,K$7:K$72)</f>
        <v>0</v>
      </c>
      <c r="U7" s="18">
        <f>SUMIF(A$7:A$72,N7,G$7:G$72)</f>
        <v>0</v>
      </c>
      <c r="V7" s="18">
        <f>SUMIF(A$7:A$72,N7,I$7:I$72)</f>
        <v>0</v>
      </c>
      <c r="X7" s="122" t="s">
        <v>223</v>
      </c>
      <c r="Y7" s="122" t="s">
        <v>160</v>
      </c>
      <c r="Z7" s="122" t="s">
        <v>161</v>
      </c>
      <c r="AA7" s="122" t="s">
        <v>163</v>
      </c>
      <c r="AB7" s="122" t="s">
        <v>287</v>
      </c>
      <c r="AC7" s="1187" t="s">
        <v>328</v>
      </c>
      <c r="AD7" s="122" t="s">
        <v>777</v>
      </c>
    </row>
    <row r="8" spans="1:42" x14ac:dyDescent="0.3">
      <c r="A8" s="19">
        <v>46263</v>
      </c>
      <c r="B8" s="16"/>
      <c r="C8" s="16"/>
      <c r="D8" s="13"/>
      <c r="E8" s="13"/>
      <c r="F8" s="6"/>
      <c r="G8" s="6"/>
      <c r="H8" s="6"/>
      <c r="I8" s="6"/>
      <c r="J8" s="6"/>
      <c r="K8" s="6"/>
      <c r="L8" s="6"/>
      <c r="N8" s="17">
        <v>46263</v>
      </c>
      <c r="O8" s="18">
        <f t="shared" ref="O8:O71" si="0">SUMIF($A$7:$A$109,N8,$D$7:$D$109)</f>
        <v>0</v>
      </c>
      <c r="P8" s="18">
        <f t="shared" ref="P8:P71" si="1">SUMIF(A$7:A$52,N8,E$7:E$52)+SUMIF(A$7:A$52,N8,J$7:J$52)</f>
        <v>0</v>
      </c>
      <c r="Q8" s="18">
        <f t="shared" ref="Q8:Q71" si="2">SUMIF(A$7:A$142,N8,F$7:F$142)</f>
        <v>0</v>
      </c>
      <c r="R8" s="18">
        <f t="shared" ref="R8:R71" si="3">SUMIF(A$7:A$71,N8,H$7:H$72)</f>
        <v>0</v>
      </c>
      <c r="S8" s="18">
        <f t="shared" ref="S8:S71" si="4">SUMIF(A$7:A$72,N8,I$7:I$72)</f>
        <v>0</v>
      </c>
      <c r="T8" s="18">
        <f t="shared" ref="T8:T71" si="5">SUMIF(A$7:A$72,N8,K$7:K$72)</f>
        <v>0</v>
      </c>
      <c r="U8" s="18">
        <f t="shared" ref="U8:U71" si="6">SUMIF(A$7:A$72,N8,G$7:G$72)</f>
        <v>0</v>
      </c>
      <c r="V8" s="18">
        <f t="shared" ref="V8:V71" si="7">SUMIF(A$7:A$72,N8,I$7:I$72)</f>
        <v>0</v>
      </c>
      <c r="X8" s="120">
        <f>O72+U72</f>
        <v>6050</v>
      </c>
      <c r="Y8" s="120">
        <f t="shared" ref="Y8:Z8" si="8">P72</f>
        <v>4150</v>
      </c>
      <c r="Z8" s="120">
        <f t="shared" si="8"/>
        <v>4000</v>
      </c>
      <c r="AA8" s="120">
        <f>T72</f>
        <v>325</v>
      </c>
      <c r="AB8" s="121">
        <f>R72</f>
        <v>100</v>
      </c>
      <c r="AC8" s="1199">
        <f>V72</f>
        <v>7</v>
      </c>
      <c r="AD8" s="18">
        <f>U72</f>
        <v>25</v>
      </c>
    </row>
    <row r="9" spans="1:42" x14ac:dyDescent="0.3">
      <c r="A9" s="19">
        <v>46264</v>
      </c>
      <c r="B9" s="16"/>
      <c r="C9" s="16"/>
      <c r="D9" s="13"/>
      <c r="E9" s="13"/>
      <c r="F9" s="6"/>
      <c r="G9" s="6"/>
      <c r="H9" s="5"/>
      <c r="I9" s="6"/>
      <c r="J9" s="6"/>
      <c r="K9" s="6"/>
      <c r="L9" s="6"/>
      <c r="N9" s="17">
        <v>46264</v>
      </c>
      <c r="O9" s="18">
        <f t="shared" si="0"/>
        <v>0</v>
      </c>
      <c r="P9" s="18">
        <f t="shared" si="1"/>
        <v>0</v>
      </c>
      <c r="Q9" s="18">
        <f t="shared" si="2"/>
        <v>0</v>
      </c>
      <c r="R9" s="18">
        <f t="shared" si="3"/>
        <v>0</v>
      </c>
      <c r="S9" s="18">
        <f t="shared" si="4"/>
        <v>0</v>
      </c>
      <c r="T9" s="18">
        <f t="shared" si="5"/>
        <v>0</v>
      </c>
      <c r="U9" s="18">
        <f t="shared" si="6"/>
        <v>0</v>
      </c>
      <c r="V9" s="18">
        <f t="shared" si="7"/>
        <v>0</v>
      </c>
      <c r="AP9">
        <f>30/1.16</f>
        <v>25.862068965517242</v>
      </c>
    </row>
    <row r="10" spans="1:42" x14ac:dyDescent="0.3">
      <c r="A10" s="19">
        <v>46265</v>
      </c>
      <c r="B10" s="16" t="s">
        <v>12</v>
      </c>
      <c r="C10" s="420" t="s">
        <v>417</v>
      </c>
      <c r="D10" s="13">
        <v>150</v>
      </c>
      <c r="E10" s="13">
        <v>250</v>
      </c>
      <c r="F10" s="6"/>
      <c r="G10" s="6"/>
      <c r="H10" s="5"/>
      <c r="I10" s="6"/>
      <c r="J10" s="6"/>
      <c r="K10" s="6"/>
      <c r="L10" s="6"/>
      <c r="N10" s="17">
        <v>46265</v>
      </c>
      <c r="O10" s="18">
        <f t="shared" si="0"/>
        <v>150</v>
      </c>
      <c r="P10" s="18">
        <f t="shared" si="1"/>
        <v>250</v>
      </c>
      <c r="Q10" s="18">
        <f t="shared" si="2"/>
        <v>0</v>
      </c>
      <c r="R10" s="18">
        <f t="shared" si="3"/>
        <v>0</v>
      </c>
      <c r="S10" s="18">
        <f t="shared" si="4"/>
        <v>0</v>
      </c>
      <c r="T10" s="18">
        <f t="shared" si="5"/>
        <v>0</v>
      </c>
      <c r="U10" s="18">
        <f t="shared" si="6"/>
        <v>0</v>
      </c>
      <c r="V10" s="18">
        <f t="shared" si="7"/>
        <v>0</v>
      </c>
      <c r="X10" s="1290" t="s">
        <v>333</v>
      </c>
      <c r="Y10" s="1291"/>
      <c r="Z10" s="1291"/>
      <c r="AA10" s="1291"/>
      <c r="AB10" s="1291"/>
      <c r="AC10" s="1291"/>
      <c r="AD10" s="1292"/>
    </row>
    <row r="11" spans="1:42" x14ac:dyDescent="0.3">
      <c r="A11" s="19">
        <v>46266</v>
      </c>
      <c r="B11" s="16" t="s">
        <v>12</v>
      </c>
      <c r="C11" s="424" t="s">
        <v>440</v>
      </c>
      <c r="D11" s="13">
        <v>100</v>
      </c>
      <c r="E11" s="13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7">
        <v>46266</v>
      </c>
      <c r="O11" s="18">
        <f t="shared" si="0"/>
        <v>225</v>
      </c>
      <c r="P11" s="18">
        <f t="shared" si="1"/>
        <v>1250</v>
      </c>
      <c r="Q11" s="18">
        <f t="shared" si="2"/>
        <v>1000</v>
      </c>
      <c r="R11" s="18">
        <f t="shared" si="3"/>
        <v>0</v>
      </c>
      <c r="S11" s="18">
        <f t="shared" si="4"/>
        <v>0</v>
      </c>
      <c r="T11" s="18">
        <f t="shared" si="5"/>
        <v>25</v>
      </c>
      <c r="U11" s="18">
        <f t="shared" si="6"/>
        <v>0</v>
      </c>
      <c r="V11" s="18">
        <f t="shared" si="7"/>
        <v>0</v>
      </c>
      <c r="X11" s="123">
        <f>X8/'Au Cal Leaching Tank'!$N$61</f>
        <v>1.5146570589961554</v>
      </c>
      <c r="Y11" s="123">
        <f>Y8/'Au Cal Leaching Tank'!$N$61</f>
        <v>1.0389796355097596</v>
      </c>
      <c r="Z11" s="123">
        <f>Z8/'Au Cal Leaching Tank'!$N$61</f>
        <v>1.001426154708202</v>
      </c>
      <c r="AA11" s="123">
        <f>AA8/'Au Cal Leaching Tank'!$N$61</f>
        <v>8.1365875070041407E-2</v>
      </c>
      <c r="AB11" s="123">
        <f>AB8/'Au Cal Leaching Tank'!$N$61</f>
        <v>2.5035653867705052E-2</v>
      </c>
      <c r="AC11" s="123">
        <f>(AC8*30)/'Au Cal Leaching Tank'!$N$61</f>
        <v>5.2574873122180607E-2</v>
      </c>
      <c r="AD11" s="1200">
        <f>AD8/'Au Cal Leaching Tank'!$N$61</f>
        <v>6.2589134669262629E-3</v>
      </c>
    </row>
    <row r="12" spans="1:42" x14ac:dyDescent="0.3">
      <c r="A12" s="19">
        <v>46266</v>
      </c>
      <c r="B12" s="16" t="s">
        <v>13</v>
      </c>
      <c r="C12" s="424" t="s">
        <v>441</v>
      </c>
      <c r="D12" s="13">
        <v>125</v>
      </c>
      <c r="E12" s="13"/>
      <c r="F12" s="6"/>
      <c r="G12" s="6"/>
      <c r="H12" s="5"/>
      <c r="I12" s="6"/>
      <c r="J12" s="6"/>
      <c r="K12" s="6"/>
      <c r="L12" s="6"/>
      <c r="N12" s="17">
        <v>46267</v>
      </c>
      <c r="O12" s="18">
        <f t="shared" si="0"/>
        <v>275</v>
      </c>
      <c r="P12" s="18">
        <f t="shared" si="1"/>
        <v>500</v>
      </c>
      <c r="Q12" s="18">
        <f t="shared" si="2"/>
        <v>1000</v>
      </c>
      <c r="R12" s="18">
        <f t="shared" si="3"/>
        <v>0</v>
      </c>
      <c r="S12" s="18">
        <f t="shared" si="4"/>
        <v>0</v>
      </c>
      <c r="T12" s="18">
        <f t="shared" si="5"/>
        <v>25</v>
      </c>
      <c r="U12" s="18">
        <f t="shared" si="6"/>
        <v>0</v>
      </c>
      <c r="V12" s="18">
        <f t="shared" si="7"/>
        <v>0</v>
      </c>
      <c r="X12" s="218" t="s">
        <v>175</v>
      </c>
      <c r="Y12" s="218" t="s">
        <v>164</v>
      </c>
      <c r="Z12" s="218" t="s">
        <v>165</v>
      </c>
      <c r="AA12" s="218" t="s">
        <v>166</v>
      </c>
      <c r="AB12" s="218" t="s">
        <v>291</v>
      </c>
      <c r="AC12" s="218" t="s">
        <v>332</v>
      </c>
      <c r="AD12" s="218" t="s">
        <v>778</v>
      </c>
    </row>
    <row r="13" spans="1:42" x14ac:dyDescent="0.3">
      <c r="A13" s="19">
        <v>46267</v>
      </c>
      <c r="B13" s="16" t="s">
        <v>12</v>
      </c>
      <c r="C13" s="424" t="s">
        <v>440</v>
      </c>
      <c r="D13" s="13">
        <v>150</v>
      </c>
      <c r="E13" s="13">
        <v>500</v>
      </c>
      <c r="F13" s="6"/>
      <c r="G13" s="6"/>
      <c r="H13" s="5"/>
      <c r="I13" s="6"/>
      <c r="J13" s="13"/>
      <c r="K13" s="6">
        <v>25</v>
      </c>
      <c r="L13" s="6"/>
      <c r="N13" s="17">
        <v>46268</v>
      </c>
      <c r="O13" s="18">
        <f t="shared" si="0"/>
        <v>100</v>
      </c>
      <c r="P13" s="18">
        <f t="shared" si="1"/>
        <v>250</v>
      </c>
      <c r="Q13" s="18">
        <f t="shared" si="2"/>
        <v>0</v>
      </c>
      <c r="R13" s="18">
        <f t="shared" si="3"/>
        <v>0</v>
      </c>
      <c r="S13" s="18">
        <f t="shared" si="4"/>
        <v>0</v>
      </c>
      <c r="T13" s="18">
        <f t="shared" si="5"/>
        <v>0</v>
      </c>
      <c r="U13" s="18">
        <f t="shared" si="6"/>
        <v>0</v>
      </c>
      <c r="V13" s="18">
        <f t="shared" si="7"/>
        <v>0</v>
      </c>
      <c r="X13" s="218"/>
      <c r="Y13" s="218"/>
      <c r="Z13" s="218"/>
      <c r="AA13" s="218"/>
      <c r="AB13" s="218"/>
      <c r="AC13" s="218"/>
      <c r="AD13" s="18"/>
    </row>
    <row r="14" spans="1:42" x14ac:dyDescent="0.3">
      <c r="A14" s="19">
        <v>46267</v>
      </c>
      <c r="B14" s="16" t="s">
        <v>13</v>
      </c>
      <c r="C14" s="424" t="s">
        <v>441</v>
      </c>
      <c r="D14" s="13">
        <v>125</v>
      </c>
      <c r="E14" s="13"/>
      <c r="F14" s="6">
        <v>1000</v>
      </c>
      <c r="G14" s="6"/>
      <c r="H14" s="5"/>
      <c r="I14" s="6"/>
      <c r="J14" s="13"/>
      <c r="K14" s="6"/>
      <c r="L14" s="6"/>
      <c r="N14" s="17">
        <v>46269</v>
      </c>
      <c r="O14" s="18">
        <f t="shared" si="0"/>
        <v>0</v>
      </c>
      <c r="P14" s="18">
        <f t="shared" si="1"/>
        <v>0</v>
      </c>
      <c r="Q14" s="18">
        <f t="shared" si="2"/>
        <v>0</v>
      </c>
      <c r="R14" s="18">
        <f t="shared" si="3"/>
        <v>0</v>
      </c>
      <c r="S14" s="18">
        <f t="shared" si="4"/>
        <v>0</v>
      </c>
      <c r="T14" s="18">
        <f t="shared" si="5"/>
        <v>25</v>
      </c>
      <c r="U14" s="18">
        <f t="shared" si="6"/>
        <v>0</v>
      </c>
      <c r="V14" s="18">
        <f t="shared" si="7"/>
        <v>0</v>
      </c>
      <c r="X14" s="428"/>
      <c r="Y14" s="428"/>
      <c r="Z14" s="428"/>
      <c r="AA14" s="428"/>
      <c r="AB14" s="428"/>
      <c r="AC14" s="428"/>
    </row>
    <row r="15" spans="1:42" x14ac:dyDescent="0.3">
      <c r="A15" s="19">
        <v>46268</v>
      </c>
      <c r="B15" s="16" t="s">
        <v>12</v>
      </c>
      <c r="C15" s="424" t="s">
        <v>440</v>
      </c>
      <c r="D15" s="13">
        <v>100</v>
      </c>
      <c r="E15" s="13">
        <v>250</v>
      </c>
      <c r="F15" s="6"/>
      <c r="G15" s="6"/>
      <c r="H15" s="5"/>
      <c r="I15" s="6"/>
      <c r="J15" s="13"/>
      <c r="K15" s="6"/>
      <c r="L15" s="6"/>
      <c r="N15" s="17">
        <v>46270</v>
      </c>
      <c r="O15" s="18">
        <f t="shared" si="0"/>
        <v>100</v>
      </c>
      <c r="P15" s="18">
        <f t="shared" si="1"/>
        <v>0</v>
      </c>
      <c r="Q15" s="18">
        <f t="shared" si="2"/>
        <v>0</v>
      </c>
      <c r="R15" s="18">
        <f t="shared" si="3"/>
        <v>0</v>
      </c>
      <c r="S15" s="18">
        <f t="shared" si="4"/>
        <v>0</v>
      </c>
      <c r="T15" s="18">
        <f t="shared" si="5"/>
        <v>0</v>
      </c>
      <c r="U15" s="18">
        <f t="shared" si="6"/>
        <v>0</v>
      </c>
      <c r="V15" s="18">
        <f t="shared" si="7"/>
        <v>0</v>
      </c>
    </row>
    <row r="16" spans="1:42" x14ac:dyDescent="0.3">
      <c r="A16" s="19">
        <v>46269</v>
      </c>
      <c r="B16" s="16" t="s">
        <v>12</v>
      </c>
      <c r="C16" s="456" t="s">
        <v>440</v>
      </c>
      <c r="D16" s="13"/>
      <c r="E16" s="13"/>
      <c r="F16" s="6"/>
      <c r="G16" s="6"/>
      <c r="H16" s="5"/>
      <c r="I16" s="6"/>
      <c r="J16" s="13"/>
      <c r="K16" s="6">
        <v>25</v>
      </c>
      <c r="L16" s="6"/>
      <c r="N16" s="17">
        <v>46271</v>
      </c>
      <c r="O16" s="18">
        <f t="shared" si="0"/>
        <v>175</v>
      </c>
      <c r="P16" s="18">
        <f t="shared" si="1"/>
        <v>500</v>
      </c>
      <c r="Q16" s="18">
        <f t="shared" si="2"/>
        <v>0</v>
      </c>
      <c r="R16" s="18">
        <f t="shared" si="3"/>
        <v>0</v>
      </c>
      <c r="S16" s="18">
        <f t="shared" si="4"/>
        <v>0</v>
      </c>
      <c r="T16" s="18">
        <f t="shared" si="5"/>
        <v>0</v>
      </c>
      <c r="U16" s="18">
        <f t="shared" si="6"/>
        <v>0</v>
      </c>
      <c r="V16" s="18">
        <f t="shared" si="7"/>
        <v>0</v>
      </c>
      <c r="Y16" s="680">
        <f>1200000</f>
        <v>1200000</v>
      </c>
      <c r="Z16" s="680">
        <f>1700000</f>
        <v>1700000</v>
      </c>
    </row>
    <row r="17" spans="1:29" x14ac:dyDescent="0.3">
      <c r="A17" s="19">
        <v>46270</v>
      </c>
      <c r="B17" s="16" t="s">
        <v>13</v>
      </c>
      <c r="C17" s="439" t="s">
        <v>441</v>
      </c>
      <c r="D17" s="13">
        <v>100</v>
      </c>
      <c r="E17" s="13"/>
      <c r="F17" s="6"/>
      <c r="G17" s="6"/>
      <c r="H17" s="5"/>
      <c r="I17" s="6"/>
      <c r="J17" s="13"/>
      <c r="K17" s="6"/>
      <c r="L17" s="6"/>
      <c r="N17" s="17">
        <v>46272</v>
      </c>
      <c r="O17" s="18">
        <f t="shared" si="0"/>
        <v>300</v>
      </c>
      <c r="P17" s="18">
        <f t="shared" si="1"/>
        <v>750</v>
      </c>
      <c r="Q17" s="18">
        <f t="shared" si="2"/>
        <v>0</v>
      </c>
      <c r="R17" s="18">
        <f t="shared" si="3"/>
        <v>0</v>
      </c>
      <c r="S17" s="18">
        <f t="shared" si="4"/>
        <v>0</v>
      </c>
      <c r="T17" s="18">
        <f t="shared" si="5"/>
        <v>0</v>
      </c>
      <c r="U17" s="18">
        <f t="shared" si="6"/>
        <v>0</v>
      </c>
      <c r="V17" s="18">
        <f t="shared" si="7"/>
        <v>0</v>
      </c>
      <c r="Y17" s="680">
        <f>Y16/25</f>
        <v>48000</v>
      </c>
      <c r="Z17" s="680">
        <f>Z16/25</f>
        <v>68000</v>
      </c>
      <c r="AA17" s="245"/>
    </row>
    <row r="18" spans="1:29" x14ac:dyDescent="0.3">
      <c r="A18" s="19">
        <v>46271</v>
      </c>
      <c r="B18" s="16" t="s">
        <v>12</v>
      </c>
      <c r="C18" s="443" t="s">
        <v>440</v>
      </c>
      <c r="D18" s="13">
        <v>175</v>
      </c>
      <c r="E18" s="13">
        <v>500</v>
      </c>
      <c r="F18" s="6"/>
      <c r="G18" s="6"/>
      <c r="H18" s="5"/>
      <c r="I18" s="6"/>
      <c r="J18" s="6"/>
      <c r="K18" s="6"/>
      <c r="L18" s="6"/>
      <c r="N18" s="17">
        <v>46273</v>
      </c>
      <c r="O18" s="18">
        <f t="shared" si="0"/>
        <v>175</v>
      </c>
      <c r="P18" s="18">
        <f t="shared" si="1"/>
        <v>0</v>
      </c>
      <c r="Q18" s="18">
        <f t="shared" si="2"/>
        <v>0</v>
      </c>
      <c r="R18" s="18">
        <f t="shared" si="3"/>
        <v>0</v>
      </c>
      <c r="S18" s="18">
        <f t="shared" si="4"/>
        <v>0</v>
      </c>
      <c r="T18" s="18">
        <f t="shared" si="5"/>
        <v>0</v>
      </c>
      <c r="U18" s="18">
        <f t="shared" si="6"/>
        <v>0</v>
      </c>
      <c r="V18" s="18">
        <f t="shared" si="7"/>
        <v>0</v>
      </c>
    </row>
    <row r="19" spans="1:29" x14ac:dyDescent="0.3">
      <c r="A19" s="19">
        <v>46272</v>
      </c>
      <c r="B19" s="16" t="s">
        <v>12</v>
      </c>
      <c r="C19" s="443" t="s">
        <v>516</v>
      </c>
      <c r="D19" s="13">
        <v>150</v>
      </c>
      <c r="E19" s="13">
        <v>750</v>
      </c>
      <c r="F19" s="6"/>
      <c r="G19" s="6"/>
      <c r="H19" s="5"/>
      <c r="I19" s="6"/>
      <c r="J19" s="6"/>
      <c r="K19" s="6"/>
      <c r="L19" s="6"/>
      <c r="N19" s="17">
        <v>46274</v>
      </c>
      <c r="O19" s="18">
        <f t="shared" si="0"/>
        <v>175</v>
      </c>
      <c r="P19" s="18">
        <f t="shared" si="1"/>
        <v>0</v>
      </c>
      <c r="Q19" s="18">
        <f t="shared" si="2"/>
        <v>0</v>
      </c>
      <c r="R19" s="18">
        <f t="shared" si="3"/>
        <v>0</v>
      </c>
      <c r="S19" s="18">
        <f t="shared" si="4"/>
        <v>0</v>
      </c>
      <c r="T19" s="18">
        <f t="shared" si="5"/>
        <v>0</v>
      </c>
      <c r="U19" s="18">
        <f t="shared" si="6"/>
        <v>0</v>
      </c>
      <c r="V19" s="18">
        <f t="shared" si="7"/>
        <v>0</v>
      </c>
      <c r="Y19" s="245"/>
      <c r="AA19" s="245"/>
    </row>
    <row r="20" spans="1:29" x14ac:dyDescent="0.3">
      <c r="A20" s="19">
        <v>46272</v>
      </c>
      <c r="B20" s="16" t="s">
        <v>13</v>
      </c>
      <c r="C20" s="16"/>
      <c r="D20" s="13">
        <v>150</v>
      </c>
      <c r="E20" s="13"/>
      <c r="F20" s="6"/>
      <c r="G20" s="6"/>
      <c r="H20" s="5"/>
      <c r="I20" s="6"/>
      <c r="J20" s="6"/>
      <c r="K20" s="6"/>
      <c r="L20" s="6"/>
      <c r="N20" s="17">
        <v>46275</v>
      </c>
      <c r="O20" s="18">
        <f t="shared" si="0"/>
        <v>300</v>
      </c>
      <c r="P20" s="18">
        <f t="shared" si="1"/>
        <v>0</v>
      </c>
      <c r="Q20" s="18">
        <f t="shared" si="2"/>
        <v>500</v>
      </c>
      <c r="R20" s="18">
        <f t="shared" si="3"/>
        <v>0</v>
      </c>
      <c r="S20" s="18">
        <f t="shared" si="4"/>
        <v>0</v>
      </c>
      <c r="T20" s="18">
        <f t="shared" si="5"/>
        <v>0</v>
      </c>
      <c r="U20" s="18">
        <f t="shared" si="6"/>
        <v>0</v>
      </c>
      <c r="V20" s="18">
        <f t="shared" si="7"/>
        <v>0</v>
      </c>
      <c r="X20" s="1262" t="s">
        <v>578</v>
      </c>
      <c r="Y20" s="1262"/>
      <c r="Z20" s="1262"/>
      <c r="AA20" s="1262"/>
      <c r="AB20" s="1262"/>
      <c r="AC20" s="1262"/>
    </row>
    <row r="21" spans="1:29" x14ac:dyDescent="0.3">
      <c r="A21" s="19">
        <v>46273</v>
      </c>
      <c r="B21" s="16" t="s">
        <v>12</v>
      </c>
      <c r="C21" s="16"/>
      <c r="D21" s="13">
        <v>175</v>
      </c>
      <c r="E21" s="13"/>
      <c r="F21" s="6"/>
      <c r="G21" s="6"/>
      <c r="H21" s="5"/>
      <c r="I21" s="6"/>
      <c r="J21" s="6"/>
      <c r="K21" s="6"/>
      <c r="L21" s="6"/>
      <c r="N21" s="17">
        <v>46276</v>
      </c>
      <c r="O21" s="18">
        <f t="shared" si="0"/>
        <v>200</v>
      </c>
      <c r="P21" s="18">
        <f t="shared" si="1"/>
        <v>0</v>
      </c>
      <c r="Q21" s="18">
        <f t="shared" si="2"/>
        <v>500</v>
      </c>
      <c r="R21" s="18">
        <f t="shared" si="3"/>
        <v>0</v>
      </c>
      <c r="S21" s="18">
        <f t="shared" si="4"/>
        <v>0</v>
      </c>
      <c r="T21" s="18">
        <f t="shared" si="5"/>
        <v>50</v>
      </c>
      <c r="U21" s="18">
        <f t="shared" si="6"/>
        <v>0</v>
      </c>
      <c r="V21" s="18">
        <f t="shared" si="7"/>
        <v>0</v>
      </c>
      <c r="X21" s="14" t="s">
        <v>317</v>
      </c>
      <c r="Y21" s="14" t="s">
        <v>101</v>
      </c>
      <c r="Z21" s="14" t="s">
        <v>301</v>
      </c>
      <c r="AA21" s="14" t="s">
        <v>579</v>
      </c>
      <c r="AB21" s="14" t="s">
        <v>575</v>
      </c>
      <c r="AC21" s="14" t="s">
        <v>576</v>
      </c>
    </row>
    <row r="22" spans="1:29" x14ac:dyDescent="0.3">
      <c r="A22" s="19">
        <v>46274</v>
      </c>
      <c r="B22" s="16" t="s">
        <v>12</v>
      </c>
      <c r="C22" s="16"/>
      <c r="D22" s="13">
        <v>175</v>
      </c>
      <c r="E22" s="13"/>
      <c r="F22" s="6"/>
      <c r="G22" s="6"/>
      <c r="H22" s="5"/>
      <c r="I22" s="6"/>
      <c r="J22" s="6"/>
      <c r="K22" s="6"/>
      <c r="L22" s="6"/>
      <c r="N22" s="17">
        <v>46277</v>
      </c>
      <c r="O22" s="18">
        <f t="shared" si="0"/>
        <v>100</v>
      </c>
      <c r="P22" s="18">
        <f t="shared" si="1"/>
        <v>0</v>
      </c>
      <c r="Q22" s="18">
        <f t="shared" si="2"/>
        <v>0</v>
      </c>
      <c r="R22" s="18">
        <f t="shared" si="3"/>
        <v>0</v>
      </c>
      <c r="S22" s="18">
        <f t="shared" si="4"/>
        <v>0</v>
      </c>
      <c r="T22" s="18">
        <f t="shared" si="5"/>
        <v>0</v>
      </c>
      <c r="U22" s="18">
        <f t="shared" si="6"/>
        <v>0</v>
      </c>
      <c r="V22" s="18">
        <f t="shared" si="7"/>
        <v>0</v>
      </c>
      <c r="X22" s="680">
        <v>68000</v>
      </c>
      <c r="Y22" s="680">
        <v>2300</v>
      </c>
      <c r="Z22" s="680">
        <v>44000</v>
      </c>
      <c r="AA22" s="680">
        <v>30000</v>
      </c>
      <c r="AB22" s="680">
        <v>28000</v>
      </c>
      <c r="AC22" s="680">
        <v>450000</v>
      </c>
    </row>
    <row r="23" spans="1:29" x14ac:dyDescent="0.3">
      <c r="A23" s="19">
        <v>46274</v>
      </c>
      <c r="B23" s="16" t="s">
        <v>13</v>
      </c>
      <c r="C23" s="16"/>
      <c r="D23" s="13"/>
      <c r="E23" s="13"/>
      <c r="F23" s="6"/>
      <c r="G23" s="6"/>
      <c r="H23" s="5"/>
      <c r="I23" s="6"/>
      <c r="J23" s="6"/>
      <c r="K23" s="6"/>
      <c r="L23" s="6"/>
      <c r="N23" s="17">
        <v>46278</v>
      </c>
      <c r="O23" s="18">
        <f t="shared" si="0"/>
        <v>225</v>
      </c>
      <c r="P23" s="18">
        <f t="shared" si="1"/>
        <v>0</v>
      </c>
      <c r="Q23" s="18">
        <f t="shared" si="2"/>
        <v>0</v>
      </c>
      <c r="R23" s="18">
        <f t="shared" si="3"/>
        <v>0</v>
      </c>
      <c r="S23" s="18">
        <f t="shared" si="4"/>
        <v>0</v>
      </c>
      <c r="T23" s="18">
        <f t="shared" si="5"/>
        <v>25</v>
      </c>
      <c r="U23" s="18">
        <f t="shared" si="6"/>
        <v>0</v>
      </c>
      <c r="V23" s="18">
        <f t="shared" si="7"/>
        <v>0</v>
      </c>
    </row>
    <row r="24" spans="1:29" x14ac:dyDescent="0.3">
      <c r="A24" s="19">
        <v>46275</v>
      </c>
      <c r="B24" s="16" t="s">
        <v>12</v>
      </c>
      <c r="C24" s="456" t="s">
        <v>444</v>
      </c>
      <c r="D24" s="13">
        <v>150</v>
      </c>
      <c r="E24" s="13"/>
      <c r="F24" s="6">
        <v>500</v>
      </c>
      <c r="G24" s="6"/>
      <c r="H24" s="5"/>
      <c r="I24" s="6"/>
      <c r="J24" s="6"/>
      <c r="K24" s="6"/>
      <c r="L24" s="6"/>
      <c r="N24" s="17">
        <v>46279</v>
      </c>
      <c r="O24" s="18">
        <f t="shared" si="0"/>
        <v>125</v>
      </c>
      <c r="P24" s="18">
        <f t="shared" si="1"/>
        <v>0</v>
      </c>
      <c r="Q24" s="18">
        <f t="shared" si="2"/>
        <v>0</v>
      </c>
      <c r="R24" s="18">
        <f t="shared" si="3"/>
        <v>0</v>
      </c>
      <c r="S24" s="18">
        <f t="shared" si="4"/>
        <v>0</v>
      </c>
      <c r="T24" s="18">
        <f t="shared" si="5"/>
        <v>0</v>
      </c>
      <c r="U24" s="18">
        <f t="shared" si="6"/>
        <v>0</v>
      </c>
      <c r="V24" s="18">
        <f t="shared" si="7"/>
        <v>0</v>
      </c>
      <c r="X24" s="1279" t="s">
        <v>577</v>
      </c>
      <c r="Y24" s="1279"/>
      <c r="Z24" s="1279"/>
      <c r="AA24" s="1279"/>
      <c r="AB24" s="1279"/>
      <c r="AC24" s="1279"/>
    </row>
    <row r="25" spans="1:29" x14ac:dyDescent="0.3">
      <c r="A25" s="19">
        <v>46275</v>
      </c>
      <c r="B25" s="16" t="s">
        <v>13</v>
      </c>
      <c r="C25" s="457" t="s">
        <v>440</v>
      </c>
      <c r="D25" s="13">
        <v>150</v>
      </c>
      <c r="E25" s="13"/>
      <c r="F25" s="6"/>
      <c r="G25" s="6"/>
      <c r="H25" s="5"/>
      <c r="I25" s="6"/>
      <c r="J25" s="6"/>
      <c r="K25" s="6"/>
      <c r="L25" s="6"/>
      <c r="N25" s="17">
        <v>46280</v>
      </c>
      <c r="O25" s="18">
        <f t="shared" si="0"/>
        <v>375</v>
      </c>
      <c r="P25" s="18">
        <f t="shared" si="1"/>
        <v>0</v>
      </c>
      <c r="Q25" s="18">
        <f t="shared" si="2"/>
        <v>0</v>
      </c>
      <c r="R25" s="18">
        <f t="shared" si="3"/>
        <v>0</v>
      </c>
      <c r="S25" s="18">
        <f t="shared" si="4"/>
        <v>0</v>
      </c>
      <c r="T25" s="18">
        <f t="shared" si="5"/>
        <v>25</v>
      </c>
      <c r="U25" s="18">
        <f t="shared" si="6"/>
        <v>0</v>
      </c>
      <c r="V25" s="18">
        <f t="shared" si="7"/>
        <v>0</v>
      </c>
      <c r="X25" s="681" t="s">
        <v>513</v>
      </c>
      <c r="Y25" s="14" t="s">
        <v>514</v>
      </c>
      <c r="Z25" s="14" t="s">
        <v>301</v>
      </c>
      <c r="AA25" s="14" t="s">
        <v>515</v>
      </c>
      <c r="AB25" s="14" t="s">
        <v>573</v>
      </c>
      <c r="AC25" s="14" t="s">
        <v>574</v>
      </c>
    </row>
    <row r="26" spans="1:29" ht="15" thickBot="1" x14ac:dyDescent="0.35">
      <c r="A26" s="19">
        <v>46276</v>
      </c>
      <c r="B26" s="16" t="s">
        <v>12</v>
      </c>
      <c r="C26" s="679" t="s">
        <v>516</v>
      </c>
      <c r="D26" s="13">
        <v>200</v>
      </c>
      <c r="E26" s="13"/>
      <c r="F26" s="6">
        <v>500</v>
      </c>
      <c r="G26" s="6"/>
      <c r="H26" s="5"/>
      <c r="I26" s="6"/>
      <c r="J26" s="6"/>
      <c r="K26" s="6">
        <v>50</v>
      </c>
      <c r="L26" s="6"/>
      <c r="N26" s="17">
        <v>46281</v>
      </c>
      <c r="O26" s="18">
        <f t="shared" si="0"/>
        <v>200</v>
      </c>
      <c r="P26" s="18">
        <f t="shared" si="1"/>
        <v>0</v>
      </c>
      <c r="Q26" s="18">
        <f t="shared" si="2"/>
        <v>0</v>
      </c>
      <c r="R26" s="18">
        <f t="shared" si="3"/>
        <v>0</v>
      </c>
      <c r="S26" s="18">
        <f t="shared" si="4"/>
        <v>0</v>
      </c>
      <c r="T26" s="18">
        <f t="shared" si="5"/>
        <v>0</v>
      </c>
      <c r="U26" s="18">
        <f t="shared" si="6"/>
        <v>0</v>
      </c>
      <c r="V26" s="18">
        <f t="shared" si="7"/>
        <v>0</v>
      </c>
      <c r="X26" s="682">
        <f>X22*X8</f>
        <v>411400000</v>
      </c>
      <c r="Y26" s="682">
        <f t="shared" ref="Y26:AC26" si="9">Y22*Y8</f>
        <v>9545000</v>
      </c>
      <c r="Z26" s="682">
        <f>Z22*Z8</f>
        <v>176000000</v>
      </c>
      <c r="AA26" s="682">
        <f>AA22*AA8</f>
        <v>9750000</v>
      </c>
      <c r="AB26" s="682">
        <f t="shared" si="9"/>
        <v>2800000</v>
      </c>
      <c r="AC26" s="682">
        <f t="shared" si="9"/>
        <v>3150000</v>
      </c>
    </row>
    <row r="27" spans="1:29" x14ac:dyDescent="0.3">
      <c r="A27" s="19">
        <v>46277</v>
      </c>
      <c r="B27" s="16"/>
      <c r="C27" s="16"/>
      <c r="D27" s="13">
        <v>100</v>
      </c>
      <c r="E27" s="13"/>
      <c r="F27" s="6"/>
      <c r="G27" s="6"/>
      <c r="H27" s="5"/>
      <c r="I27" s="6"/>
      <c r="J27" s="6"/>
      <c r="K27" s="6"/>
      <c r="L27" s="6"/>
      <c r="N27" s="17">
        <v>46282</v>
      </c>
      <c r="O27" s="18">
        <f t="shared" si="0"/>
        <v>250</v>
      </c>
      <c r="P27" s="18">
        <f t="shared" si="1"/>
        <v>0</v>
      </c>
      <c r="Q27" s="18">
        <f t="shared" si="2"/>
        <v>0</v>
      </c>
      <c r="R27" s="18">
        <f t="shared" si="3"/>
        <v>0</v>
      </c>
      <c r="S27" s="18">
        <f t="shared" si="4"/>
        <v>0</v>
      </c>
      <c r="T27" s="18">
        <f t="shared" si="5"/>
        <v>0</v>
      </c>
      <c r="U27" s="18">
        <f t="shared" si="6"/>
        <v>0</v>
      </c>
      <c r="V27" s="18">
        <f t="shared" si="7"/>
        <v>0</v>
      </c>
      <c r="X27" s="1280" t="s">
        <v>577</v>
      </c>
      <c r="Y27" s="1281"/>
      <c r="Z27" s="1282">
        <f>SUM(X26:AC26)</f>
        <v>612645000</v>
      </c>
      <c r="AA27" s="1281"/>
      <c r="AB27" s="1281"/>
      <c r="AC27" s="1283"/>
    </row>
    <row r="28" spans="1:29" ht="15" thickBot="1" x14ac:dyDescent="0.35">
      <c r="A28" s="19">
        <v>46278</v>
      </c>
      <c r="B28" s="16"/>
      <c r="C28" s="16"/>
      <c r="D28" s="13">
        <v>225</v>
      </c>
      <c r="E28" s="13"/>
      <c r="F28" s="6"/>
      <c r="G28" s="6"/>
      <c r="H28" s="5"/>
      <c r="I28" s="6"/>
      <c r="J28" s="6"/>
      <c r="K28" s="6">
        <v>25</v>
      </c>
      <c r="L28" s="6"/>
      <c r="N28" s="17">
        <v>46283</v>
      </c>
      <c r="O28" s="18">
        <f t="shared" si="0"/>
        <v>275</v>
      </c>
      <c r="P28" s="18">
        <f t="shared" si="1"/>
        <v>325</v>
      </c>
      <c r="Q28" s="18">
        <f t="shared" si="2"/>
        <v>0</v>
      </c>
      <c r="R28" s="18">
        <f t="shared" si="3"/>
        <v>0</v>
      </c>
      <c r="S28" s="18">
        <f t="shared" si="4"/>
        <v>0</v>
      </c>
      <c r="T28" s="18">
        <f t="shared" si="5"/>
        <v>25</v>
      </c>
      <c r="U28" s="18">
        <f t="shared" si="6"/>
        <v>0</v>
      </c>
      <c r="V28" s="18">
        <f t="shared" si="7"/>
        <v>0</v>
      </c>
      <c r="X28" s="683">
        <f>X26/$Z$27</f>
        <v>0.67151449860849266</v>
      </c>
      <c r="Y28" s="684">
        <f t="shared" ref="Y28:AC28" si="10">Y26/$Z$27</f>
        <v>1.5579985146373512E-2</v>
      </c>
      <c r="Z28" s="684">
        <f t="shared" si="10"/>
        <v>0.28727892988598619</v>
      </c>
      <c r="AA28" s="684">
        <f t="shared" si="10"/>
        <v>1.5914599809024804E-2</v>
      </c>
      <c r="AB28" s="684">
        <f t="shared" si="10"/>
        <v>4.570346611822507E-3</v>
      </c>
      <c r="AC28" s="685">
        <f t="shared" si="10"/>
        <v>5.1416399383003211E-3</v>
      </c>
    </row>
    <row r="29" spans="1:29" x14ac:dyDescent="0.3">
      <c r="A29" s="19">
        <v>46279</v>
      </c>
      <c r="B29" s="16" t="s">
        <v>13</v>
      </c>
      <c r="C29" s="832" t="s">
        <v>516</v>
      </c>
      <c r="D29" s="13">
        <v>125</v>
      </c>
      <c r="E29" s="13"/>
      <c r="F29" s="13"/>
      <c r="G29" s="13"/>
      <c r="H29" s="37"/>
      <c r="I29" s="13"/>
      <c r="J29" s="13"/>
      <c r="K29" s="6"/>
      <c r="L29" s="6"/>
      <c r="N29" s="17">
        <v>46284</v>
      </c>
      <c r="O29" s="18">
        <f t="shared" si="0"/>
        <v>0</v>
      </c>
      <c r="P29" s="18">
        <f t="shared" si="1"/>
        <v>0</v>
      </c>
      <c r="Q29" s="18">
        <f t="shared" si="2"/>
        <v>0</v>
      </c>
      <c r="R29" s="18">
        <f t="shared" si="3"/>
        <v>0</v>
      </c>
      <c r="S29" s="18">
        <f t="shared" si="4"/>
        <v>0</v>
      </c>
      <c r="T29" s="18">
        <f t="shared" si="5"/>
        <v>0</v>
      </c>
      <c r="U29" s="18">
        <f t="shared" si="6"/>
        <v>0</v>
      </c>
      <c r="V29" s="18">
        <f t="shared" si="7"/>
        <v>0</v>
      </c>
    </row>
    <row r="30" spans="1:29" x14ac:dyDescent="0.3">
      <c r="A30" s="19">
        <v>46280</v>
      </c>
      <c r="B30" s="16" t="s">
        <v>12</v>
      </c>
      <c r="C30" s="832" t="s">
        <v>594</v>
      </c>
      <c r="D30" s="13">
        <v>150</v>
      </c>
      <c r="E30" s="13"/>
      <c r="F30" s="13"/>
      <c r="G30" s="13"/>
      <c r="H30" s="37"/>
      <c r="I30" s="13"/>
      <c r="J30" s="13"/>
      <c r="K30" s="6">
        <v>25</v>
      </c>
      <c r="L30" s="6"/>
      <c r="N30" s="17">
        <v>46285</v>
      </c>
      <c r="O30" s="18">
        <f t="shared" si="0"/>
        <v>0</v>
      </c>
      <c r="P30" s="18">
        <f t="shared" si="1"/>
        <v>0</v>
      </c>
      <c r="Q30" s="18">
        <f t="shared" si="2"/>
        <v>0</v>
      </c>
      <c r="R30" s="18">
        <f t="shared" si="3"/>
        <v>0</v>
      </c>
      <c r="S30" s="18">
        <f t="shared" si="4"/>
        <v>0</v>
      </c>
      <c r="T30" s="18">
        <f t="shared" si="5"/>
        <v>0</v>
      </c>
      <c r="U30" s="18">
        <f t="shared" si="6"/>
        <v>0</v>
      </c>
      <c r="V30" s="18">
        <f t="shared" si="7"/>
        <v>0</v>
      </c>
    </row>
    <row r="31" spans="1:29" x14ac:dyDescent="0.3">
      <c r="A31" s="19">
        <v>46280</v>
      </c>
      <c r="B31" s="16" t="s">
        <v>13</v>
      </c>
      <c r="C31" s="832" t="s">
        <v>516</v>
      </c>
      <c r="D31" s="13">
        <v>225</v>
      </c>
      <c r="E31" s="13"/>
      <c r="F31" s="13"/>
      <c r="G31" s="13"/>
      <c r="H31" s="37"/>
      <c r="I31" s="13"/>
      <c r="J31" s="13"/>
      <c r="K31" s="6"/>
      <c r="L31" s="6"/>
      <c r="N31" s="17">
        <v>46286</v>
      </c>
      <c r="O31" s="18">
        <f t="shared" si="0"/>
        <v>175</v>
      </c>
      <c r="P31" s="18">
        <f t="shared" si="1"/>
        <v>0</v>
      </c>
      <c r="Q31" s="18">
        <f t="shared" si="2"/>
        <v>0</v>
      </c>
      <c r="R31" s="18">
        <f t="shared" si="3"/>
        <v>0</v>
      </c>
      <c r="S31" s="18">
        <f t="shared" si="4"/>
        <v>0</v>
      </c>
      <c r="T31" s="18">
        <f t="shared" si="5"/>
        <v>0</v>
      </c>
      <c r="U31" s="18">
        <f t="shared" si="6"/>
        <v>0</v>
      </c>
      <c r="V31" s="18">
        <f t="shared" si="7"/>
        <v>0</v>
      </c>
    </row>
    <row r="32" spans="1:29" x14ac:dyDescent="0.3">
      <c r="A32" s="19">
        <v>46281</v>
      </c>
      <c r="B32" s="16" t="s">
        <v>12</v>
      </c>
      <c r="C32" s="868" t="s">
        <v>624</v>
      </c>
      <c r="D32" s="13">
        <v>175</v>
      </c>
      <c r="E32" s="13"/>
      <c r="F32" s="6"/>
      <c r="G32" s="6"/>
      <c r="H32" s="5"/>
      <c r="I32" s="6"/>
      <c r="J32" s="13"/>
      <c r="K32" s="6"/>
      <c r="L32" s="6"/>
      <c r="N32" s="17">
        <v>46287</v>
      </c>
      <c r="O32" s="18">
        <f t="shared" si="0"/>
        <v>250</v>
      </c>
      <c r="P32" s="18">
        <f t="shared" si="1"/>
        <v>0</v>
      </c>
      <c r="Q32" s="18">
        <f t="shared" si="2"/>
        <v>0</v>
      </c>
      <c r="R32" s="18">
        <f t="shared" si="3"/>
        <v>0</v>
      </c>
      <c r="S32" s="18">
        <f t="shared" si="4"/>
        <v>0</v>
      </c>
      <c r="T32" s="18">
        <f t="shared" si="5"/>
        <v>50</v>
      </c>
      <c r="U32" s="18">
        <f t="shared" si="6"/>
        <v>0</v>
      </c>
      <c r="V32" s="18">
        <f t="shared" si="7"/>
        <v>0</v>
      </c>
    </row>
    <row r="33" spans="1:22" x14ac:dyDescent="0.3">
      <c r="A33" s="19">
        <v>46281</v>
      </c>
      <c r="B33" s="16" t="s">
        <v>13</v>
      </c>
      <c r="C33" s="832" t="s">
        <v>516</v>
      </c>
      <c r="D33" s="13">
        <v>25</v>
      </c>
      <c r="E33" s="13"/>
      <c r="F33" s="6"/>
      <c r="G33" s="6"/>
      <c r="H33" s="5"/>
      <c r="I33" s="6"/>
      <c r="J33" s="13"/>
      <c r="K33" s="6"/>
      <c r="L33" s="6"/>
      <c r="N33" s="17">
        <v>46288</v>
      </c>
      <c r="O33" s="18">
        <f t="shared" si="0"/>
        <v>125</v>
      </c>
      <c r="P33" s="18">
        <f t="shared" si="1"/>
        <v>0</v>
      </c>
      <c r="Q33" s="18">
        <f t="shared" si="2"/>
        <v>0</v>
      </c>
      <c r="R33" s="18">
        <f t="shared" si="3"/>
        <v>0</v>
      </c>
      <c r="S33" s="18">
        <f t="shared" si="4"/>
        <v>0</v>
      </c>
      <c r="T33" s="18">
        <f t="shared" si="5"/>
        <v>0</v>
      </c>
      <c r="U33" s="18">
        <f t="shared" si="6"/>
        <v>0</v>
      </c>
      <c r="V33" s="18">
        <f t="shared" si="7"/>
        <v>0</v>
      </c>
    </row>
    <row r="34" spans="1:22" x14ac:dyDescent="0.3">
      <c r="A34" s="19">
        <v>46282</v>
      </c>
      <c r="B34" s="16" t="s">
        <v>12</v>
      </c>
      <c r="C34" s="832"/>
      <c r="D34" s="13">
        <v>125</v>
      </c>
      <c r="E34" s="13"/>
      <c r="F34" s="6"/>
      <c r="G34" s="6"/>
      <c r="H34" s="5"/>
      <c r="I34" s="6"/>
      <c r="J34" s="13"/>
      <c r="K34" s="6"/>
      <c r="L34" s="6"/>
      <c r="N34" s="17">
        <v>46289</v>
      </c>
      <c r="O34" s="18">
        <f t="shared" si="0"/>
        <v>675</v>
      </c>
      <c r="P34" s="18">
        <f t="shared" si="1"/>
        <v>325</v>
      </c>
      <c r="Q34" s="18">
        <f t="shared" si="2"/>
        <v>0</v>
      </c>
      <c r="R34" s="18">
        <f t="shared" si="3"/>
        <v>0</v>
      </c>
      <c r="S34" s="18">
        <f t="shared" si="4"/>
        <v>0</v>
      </c>
      <c r="T34" s="18">
        <f t="shared" si="5"/>
        <v>25</v>
      </c>
      <c r="U34" s="18">
        <f t="shared" si="6"/>
        <v>0</v>
      </c>
      <c r="V34" s="18">
        <f t="shared" si="7"/>
        <v>0</v>
      </c>
    </row>
    <row r="35" spans="1:22" x14ac:dyDescent="0.3">
      <c r="A35" s="19">
        <v>46282</v>
      </c>
      <c r="B35" s="16" t="s">
        <v>13</v>
      </c>
      <c r="C35" s="832"/>
      <c r="D35" s="13">
        <v>125</v>
      </c>
      <c r="E35" s="13"/>
      <c r="F35" s="6"/>
      <c r="G35" s="6"/>
      <c r="H35" s="5"/>
      <c r="I35" s="6"/>
      <c r="J35" s="13"/>
      <c r="K35" s="6"/>
      <c r="L35" s="6"/>
      <c r="N35" s="17">
        <v>46290</v>
      </c>
      <c r="O35" s="18">
        <f t="shared" si="0"/>
        <v>175</v>
      </c>
      <c r="P35" s="18">
        <f t="shared" si="1"/>
        <v>0</v>
      </c>
      <c r="Q35" s="18">
        <f t="shared" si="2"/>
        <v>0</v>
      </c>
      <c r="R35" s="18">
        <f t="shared" si="3"/>
        <v>0</v>
      </c>
      <c r="S35" s="18">
        <f t="shared" si="4"/>
        <v>0</v>
      </c>
      <c r="T35" s="18">
        <f t="shared" si="5"/>
        <v>25</v>
      </c>
      <c r="U35" s="18">
        <f t="shared" si="6"/>
        <v>0</v>
      </c>
      <c r="V35" s="18">
        <f t="shared" si="7"/>
        <v>0</v>
      </c>
    </row>
    <row r="36" spans="1:22" x14ac:dyDescent="0.3">
      <c r="A36" s="19">
        <v>46283</v>
      </c>
      <c r="B36" s="16" t="s">
        <v>12</v>
      </c>
      <c r="C36" s="832"/>
      <c r="D36" s="13">
        <v>50</v>
      </c>
      <c r="E36" s="13">
        <v>325</v>
      </c>
      <c r="F36" s="6"/>
      <c r="G36" s="6"/>
      <c r="H36" s="5"/>
      <c r="I36" s="6"/>
      <c r="J36" s="13"/>
      <c r="K36" s="6">
        <v>25</v>
      </c>
      <c r="L36" s="6"/>
      <c r="N36" s="17">
        <v>46291</v>
      </c>
      <c r="O36" s="18">
        <f t="shared" si="0"/>
        <v>0</v>
      </c>
      <c r="P36" s="18">
        <f t="shared" si="1"/>
        <v>0</v>
      </c>
      <c r="Q36" s="18">
        <f t="shared" si="2"/>
        <v>0</v>
      </c>
      <c r="R36" s="18">
        <f t="shared" si="3"/>
        <v>0</v>
      </c>
      <c r="S36" s="18">
        <f t="shared" si="4"/>
        <v>0</v>
      </c>
      <c r="T36" s="18">
        <f t="shared" si="5"/>
        <v>0</v>
      </c>
      <c r="U36" s="18">
        <f t="shared" si="6"/>
        <v>0</v>
      </c>
      <c r="V36" s="18">
        <f t="shared" si="7"/>
        <v>0</v>
      </c>
    </row>
    <row r="37" spans="1:22" x14ac:dyDescent="0.3">
      <c r="A37" s="19">
        <v>46283</v>
      </c>
      <c r="B37" s="16" t="s">
        <v>13</v>
      </c>
      <c r="C37" s="832"/>
      <c r="D37" s="13">
        <v>225</v>
      </c>
      <c r="E37" s="13"/>
      <c r="F37" s="6"/>
      <c r="G37" s="6"/>
      <c r="H37" s="5"/>
      <c r="I37" s="6"/>
      <c r="J37" s="13"/>
      <c r="K37" s="6"/>
      <c r="L37" s="6"/>
      <c r="N37" s="17">
        <v>46292</v>
      </c>
      <c r="O37" s="18">
        <f t="shared" si="0"/>
        <v>150</v>
      </c>
      <c r="P37" s="18">
        <f t="shared" si="1"/>
        <v>0</v>
      </c>
      <c r="Q37" s="18">
        <f t="shared" si="2"/>
        <v>0</v>
      </c>
      <c r="R37" s="18">
        <f t="shared" si="3"/>
        <v>0</v>
      </c>
      <c r="S37" s="18">
        <f t="shared" si="4"/>
        <v>0</v>
      </c>
      <c r="T37" s="18">
        <f t="shared" si="5"/>
        <v>0</v>
      </c>
      <c r="U37" s="18">
        <f t="shared" si="6"/>
        <v>0</v>
      </c>
      <c r="V37" s="18">
        <f t="shared" si="7"/>
        <v>0</v>
      </c>
    </row>
    <row r="38" spans="1:22" x14ac:dyDescent="0.3">
      <c r="A38" s="19">
        <v>46284</v>
      </c>
      <c r="B38" s="16"/>
      <c r="C38" s="16"/>
      <c r="D38" s="13"/>
      <c r="E38" s="13"/>
      <c r="F38" s="6"/>
      <c r="G38" s="6"/>
      <c r="H38" s="5"/>
      <c r="I38" s="6"/>
      <c r="J38" s="13"/>
      <c r="K38" s="6"/>
      <c r="L38" s="6"/>
      <c r="N38" s="17">
        <v>46293</v>
      </c>
      <c r="O38" s="18">
        <f t="shared" si="0"/>
        <v>175</v>
      </c>
      <c r="P38" s="18">
        <f t="shared" si="1"/>
        <v>0</v>
      </c>
      <c r="Q38" s="18">
        <f t="shared" si="2"/>
        <v>0</v>
      </c>
      <c r="R38" s="18">
        <f t="shared" si="3"/>
        <v>0</v>
      </c>
      <c r="S38" s="18">
        <f t="shared" si="4"/>
        <v>0</v>
      </c>
      <c r="T38" s="18">
        <f t="shared" si="5"/>
        <v>25</v>
      </c>
      <c r="U38" s="18">
        <f t="shared" si="6"/>
        <v>0</v>
      </c>
      <c r="V38" s="18">
        <f t="shared" si="7"/>
        <v>0</v>
      </c>
    </row>
    <row r="39" spans="1:22" x14ac:dyDescent="0.3">
      <c r="A39" s="19">
        <v>46285</v>
      </c>
      <c r="B39" s="16" t="s">
        <v>12</v>
      </c>
      <c r="C39" s="1074" t="s">
        <v>441</v>
      </c>
      <c r="D39" s="13"/>
      <c r="E39" s="13"/>
      <c r="F39" s="6"/>
      <c r="G39" s="6"/>
      <c r="H39" s="5"/>
      <c r="I39" s="6"/>
      <c r="J39" s="13"/>
      <c r="K39" s="6"/>
      <c r="L39" s="6"/>
      <c r="N39" s="17">
        <v>46294</v>
      </c>
      <c r="O39" s="18">
        <f t="shared" si="0"/>
        <v>175</v>
      </c>
      <c r="P39" s="18">
        <f t="shared" si="1"/>
        <v>0</v>
      </c>
      <c r="Q39" s="18">
        <f t="shared" si="2"/>
        <v>0</v>
      </c>
      <c r="R39" s="18">
        <f t="shared" si="3"/>
        <v>0</v>
      </c>
      <c r="S39" s="18">
        <f t="shared" si="4"/>
        <v>0</v>
      </c>
      <c r="T39" s="18">
        <f t="shared" si="5"/>
        <v>0</v>
      </c>
      <c r="U39" s="18">
        <f t="shared" si="6"/>
        <v>0</v>
      </c>
      <c r="V39" s="18">
        <f t="shared" si="7"/>
        <v>0</v>
      </c>
    </row>
    <row r="40" spans="1:22" x14ac:dyDescent="0.3">
      <c r="A40" s="19">
        <v>46285</v>
      </c>
      <c r="B40" s="16" t="s">
        <v>13</v>
      </c>
      <c r="C40" s="16"/>
      <c r="D40" s="13"/>
      <c r="E40" s="13"/>
      <c r="F40" s="6"/>
      <c r="G40" s="6"/>
      <c r="H40" s="5"/>
      <c r="I40" s="6"/>
      <c r="J40" s="13"/>
      <c r="K40" s="6"/>
      <c r="L40" s="6"/>
      <c r="N40" s="17">
        <v>46295</v>
      </c>
      <c r="O40" s="18">
        <f t="shared" si="0"/>
        <v>0</v>
      </c>
      <c r="P40" s="18">
        <f t="shared" si="1"/>
        <v>0</v>
      </c>
      <c r="Q40" s="18">
        <f t="shared" si="2"/>
        <v>0</v>
      </c>
      <c r="R40" s="18">
        <f t="shared" si="3"/>
        <v>0</v>
      </c>
      <c r="S40" s="18">
        <f t="shared" si="4"/>
        <v>0</v>
      </c>
      <c r="T40" s="18">
        <f t="shared" si="5"/>
        <v>0</v>
      </c>
      <c r="U40" s="18">
        <f t="shared" si="6"/>
        <v>0</v>
      </c>
      <c r="V40" s="18">
        <f t="shared" si="7"/>
        <v>0</v>
      </c>
    </row>
    <row r="41" spans="1:22" x14ac:dyDescent="0.3">
      <c r="A41" s="19">
        <v>46286</v>
      </c>
      <c r="B41" s="16" t="s">
        <v>12</v>
      </c>
      <c r="C41" s="1090" t="s">
        <v>698</v>
      </c>
      <c r="D41" s="13">
        <v>25</v>
      </c>
      <c r="E41" s="13"/>
      <c r="F41" s="6"/>
      <c r="G41" s="6"/>
      <c r="H41" s="5"/>
      <c r="I41" s="6"/>
      <c r="J41" s="13"/>
      <c r="K41" s="6"/>
      <c r="L41" s="6"/>
      <c r="N41" s="17">
        <v>46296</v>
      </c>
      <c r="O41" s="18">
        <f t="shared" si="0"/>
        <v>0</v>
      </c>
      <c r="P41" s="18">
        <f t="shared" si="1"/>
        <v>0</v>
      </c>
      <c r="Q41" s="18">
        <f t="shared" si="2"/>
        <v>0</v>
      </c>
      <c r="R41" s="18">
        <f t="shared" si="3"/>
        <v>0</v>
      </c>
      <c r="S41" s="18">
        <f t="shared" si="4"/>
        <v>0</v>
      </c>
      <c r="T41" s="18">
        <f t="shared" si="5"/>
        <v>0</v>
      </c>
      <c r="U41" s="18">
        <f t="shared" si="6"/>
        <v>0</v>
      </c>
      <c r="V41" s="18">
        <f t="shared" si="7"/>
        <v>0</v>
      </c>
    </row>
    <row r="42" spans="1:22" x14ac:dyDescent="0.3">
      <c r="A42" s="19">
        <v>46286</v>
      </c>
      <c r="B42" s="16" t="s">
        <v>13</v>
      </c>
      <c r="C42" s="1090" t="s">
        <v>570</v>
      </c>
      <c r="D42" s="13">
        <v>150</v>
      </c>
      <c r="E42" s="13"/>
      <c r="F42" s="6"/>
      <c r="G42" s="6"/>
      <c r="H42" s="5"/>
      <c r="I42" s="6"/>
      <c r="J42" s="13"/>
      <c r="K42" s="6"/>
      <c r="L42" s="6"/>
      <c r="N42" s="17">
        <v>46297</v>
      </c>
      <c r="O42" s="18">
        <f t="shared" si="0"/>
        <v>0</v>
      </c>
      <c r="P42" s="18">
        <f t="shared" si="1"/>
        <v>0</v>
      </c>
      <c r="Q42" s="18">
        <f t="shared" si="2"/>
        <v>0</v>
      </c>
      <c r="R42" s="18">
        <f t="shared" si="3"/>
        <v>0</v>
      </c>
      <c r="S42" s="18">
        <f t="shared" si="4"/>
        <v>0</v>
      </c>
      <c r="T42" s="18">
        <f t="shared" si="5"/>
        <v>0</v>
      </c>
      <c r="U42" s="18">
        <f t="shared" si="6"/>
        <v>0</v>
      </c>
      <c r="V42" s="18">
        <f t="shared" si="7"/>
        <v>0</v>
      </c>
    </row>
    <row r="43" spans="1:22" x14ac:dyDescent="0.3">
      <c r="A43" s="19">
        <v>46287</v>
      </c>
      <c r="B43" s="16" t="s">
        <v>12</v>
      </c>
      <c r="C43" s="1090" t="s">
        <v>508</v>
      </c>
      <c r="D43" s="13">
        <v>125</v>
      </c>
      <c r="E43" s="13"/>
      <c r="F43" s="6"/>
      <c r="G43" s="6"/>
      <c r="H43" s="5"/>
      <c r="I43" s="6"/>
      <c r="J43" s="13"/>
      <c r="K43" s="6">
        <v>50</v>
      </c>
      <c r="L43" s="6"/>
      <c r="N43" s="17">
        <v>46298</v>
      </c>
      <c r="O43" s="18">
        <f t="shared" si="0"/>
        <v>0</v>
      </c>
      <c r="P43" s="18">
        <f t="shared" si="1"/>
        <v>0</v>
      </c>
      <c r="Q43" s="18">
        <f t="shared" si="2"/>
        <v>0</v>
      </c>
      <c r="R43" s="18">
        <f t="shared" si="3"/>
        <v>100</v>
      </c>
      <c r="S43" s="18">
        <f t="shared" si="4"/>
        <v>7</v>
      </c>
      <c r="T43" s="18">
        <f t="shared" si="5"/>
        <v>0</v>
      </c>
      <c r="U43" s="18">
        <f t="shared" si="6"/>
        <v>25</v>
      </c>
      <c r="V43" s="18">
        <f t="shared" si="7"/>
        <v>7</v>
      </c>
    </row>
    <row r="44" spans="1:22" x14ac:dyDescent="0.3">
      <c r="A44" s="19">
        <v>46287</v>
      </c>
      <c r="B44" s="16" t="s">
        <v>13</v>
      </c>
      <c r="C44" s="1090" t="s">
        <v>440</v>
      </c>
      <c r="D44" s="13">
        <v>125</v>
      </c>
      <c r="E44" s="13"/>
      <c r="F44" s="6"/>
      <c r="G44" s="6"/>
      <c r="H44" s="5"/>
      <c r="I44" s="6"/>
      <c r="J44" s="13"/>
      <c r="K44" s="6"/>
      <c r="L44" s="6"/>
      <c r="N44" s="17">
        <v>46299</v>
      </c>
      <c r="O44" s="18">
        <f t="shared" si="0"/>
        <v>175</v>
      </c>
      <c r="P44" s="18">
        <f t="shared" si="1"/>
        <v>0</v>
      </c>
      <c r="Q44" s="18">
        <f t="shared" si="2"/>
        <v>0</v>
      </c>
      <c r="R44" s="18">
        <f t="shared" si="3"/>
        <v>0</v>
      </c>
      <c r="S44" s="18">
        <f t="shared" si="4"/>
        <v>0</v>
      </c>
      <c r="T44" s="18">
        <f t="shared" si="5"/>
        <v>0</v>
      </c>
      <c r="U44" s="18">
        <f t="shared" si="6"/>
        <v>0</v>
      </c>
      <c r="V44" s="18">
        <f t="shared" si="7"/>
        <v>0</v>
      </c>
    </row>
    <row r="45" spans="1:22" x14ac:dyDescent="0.3">
      <c r="A45" s="19">
        <v>46288</v>
      </c>
      <c r="B45" s="16" t="s">
        <v>12</v>
      </c>
      <c r="C45" s="1107" t="s">
        <v>516</v>
      </c>
      <c r="D45" s="13">
        <v>50</v>
      </c>
      <c r="E45" s="13"/>
      <c r="F45" s="6"/>
      <c r="G45" s="6"/>
      <c r="H45" s="5"/>
      <c r="I45" s="6"/>
      <c r="J45" s="13"/>
      <c r="K45" s="6"/>
      <c r="L45" s="6"/>
      <c r="N45" s="17">
        <v>46300</v>
      </c>
      <c r="O45" s="18">
        <f t="shared" si="0"/>
        <v>225</v>
      </c>
      <c r="P45" s="18">
        <f t="shared" si="1"/>
        <v>0</v>
      </c>
      <c r="Q45" s="18">
        <f t="shared" si="2"/>
        <v>1000</v>
      </c>
      <c r="R45" s="18">
        <f t="shared" si="3"/>
        <v>0</v>
      </c>
      <c r="S45" s="18">
        <f t="shared" si="4"/>
        <v>0</v>
      </c>
      <c r="T45" s="18">
        <f t="shared" si="5"/>
        <v>0</v>
      </c>
      <c r="U45" s="18">
        <f t="shared" si="6"/>
        <v>0</v>
      </c>
      <c r="V45" s="18">
        <f t="shared" si="7"/>
        <v>0</v>
      </c>
    </row>
    <row r="46" spans="1:22" x14ac:dyDescent="0.3">
      <c r="A46" s="19">
        <v>46288</v>
      </c>
      <c r="B46" s="16" t="s">
        <v>13</v>
      </c>
      <c r="C46" s="1107" t="s">
        <v>440</v>
      </c>
      <c r="D46" s="13">
        <v>75</v>
      </c>
      <c r="E46" s="13"/>
      <c r="F46" s="6"/>
      <c r="G46" s="6"/>
      <c r="H46" s="5"/>
      <c r="I46" s="6"/>
      <c r="J46" s="13"/>
      <c r="K46" s="6"/>
      <c r="L46" s="6"/>
      <c r="N46" s="17">
        <v>46301</v>
      </c>
      <c r="O46" s="18">
        <f t="shared" si="0"/>
        <v>0</v>
      </c>
      <c r="P46" s="18">
        <f t="shared" si="1"/>
        <v>0</v>
      </c>
      <c r="Q46" s="18">
        <f t="shared" si="2"/>
        <v>0</v>
      </c>
      <c r="R46" s="18">
        <f t="shared" si="3"/>
        <v>0</v>
      </c>
      <c r="S46" s="18">
        <f t="shared" si="4"/>
        <v>0</v>
      </c>
      <c r="T46" s="18">
        <f t="shared" si="5"/>
        <v>0</v>
      </c>
      <c r="U46" s="18">
        <f t="shared" si="6"/>
        <v>0</v>
      </c>
      <c r="V46" s="18">
        <f t="shared" si="7"/>
        <v>0</v>
      </c>
    </row>
    <row r="47" spans="1:22" x14ac:dyDescent="0.3">
      <c r="A47" s="19">
        <v>46289</v>
      </c>
      <c r="B47" s="16" t="s">
        <v>12</v>
      </c>
      <c r="C47" s="1108" t="s">
        <v>508</v>
      </c>
      <c r="D47" s="13">
        <v>325</v>
      </c>
      <c r="E47" s="13">
        <v>325</v>
      </c>
      <c r="F47" s="6"/>
      <c r="G47" s="6"/>
      <c r="H47" s="5"/>
      <c r="I47" s="6"/>
      <c r="J47" s="13"/>
      <c r="K47" s="6">
        <v>25</v>
      </c>
      <c r="L47" s="6"/>
      <c r="N47" s="17">
        <v>46302</v>
      </c>
      <c r="O47" s="18">
        <f t="shared" si="0"/>
        <v>0</v>
      </c>
      <c r="P47" s="18">
        <f t="shared" si="1"/>
        <v>0</v>
      </c>
      <c r="Q47" s="18">
        <f t="shared" si="2"/>
        <v>0</v>
      </c>
      <c r="R47" s="18">
        <f t="shared" si="3"/>
        <v>0</v>
      </c>
      <c r="S47" s="18">
        <f t="shared" si="4"/>
        <v>0</v>
      </c>
      <c r="T47" s="18">
        <f t="shared" si="5"/>
        <v>0</v>
      </c>
      <c r="U47" s="18">
        <f t="shared" si="6"/>
        <v>0</v>
      </c>
      <c r="V47" s="18">
        <f t="shared" si="7"/>
        <v>0</v>
      </c>
    </row>
    <row r="48" spans="1:22" x14ac:dyDescent="0.3">
      <c r="A48" s="19">
        <v>46289</v>
      </c>
      <c r="B48" s="16" t="s">
        <v>13</v>
      </c>
      <c r="C48" s="1108" t="s">
        <v>440</v>
      </c>
      <c r="D48" s="13">
        <v>350</v>
      </c>
      <c r="E48" s="13"/>
      <c r="F48" s="6"/>
      <c r="G48" s="6"/>
      <c r="H48" s="5"/>
      <c r="I48" s="6"/>
      <c r="J48" s="13"/>
      <c r="K48" s="6"/>
      <c r="L48" s="6"/>
      <c r="N48" s="17">
        <v>46303</v>
      </c>
      <c r="O48" s="18">
        <f t="shared" si="0"/>
        <v>0</v>
      </c>
      <c r="P48" s="18">
        <f t="shared" si="1"/>
        <v>0</v>
      </c>
      <c r="Q48" s="18">
        <f t="shared" si="2"/>
        <v>0</v>
      </c>
      <c r="R48" s="18">
        <f t="shared" si="3"/>
        <v>0</v>
      </c>
      <c r="S48" s="18">
        <f t="shared" si="4"/>
        <v>0</v>
      </c>
      <c r="T48" s="18">
        <f t="shared" si="5"/>
        <v>0</v>
      </c>
      <c r="U48" s="18">
        <f t="shared" si="6"/>
        <v>0</v>
      </c>
      <c r="V48" s="18">
        <f t="shared" si="7"/>
        <v>0</v>
      </c>
    </row>
    <row r="49" spans="1:22" x14ac:dyDescent="0.3">
      <c r="A49" s="19">
        <v>46290</v>
      </c>
      <c r="B49" s="16" t="s">
        <v>12</v>
      </c>
      <c r="C49" s="1134" t="s">
        <v>508</v>
      </c>
      <c r="D49" s="13">
        <v>150</v>
      </c>
      <c r="E49" s="13"/>
      <c r="F49" s="6"/>
      <c r="G49" s="6"/>
      <c r="H49" s="5"/>
      <c r="I49" s="6"/>
      <c r="J49" s="6"/>
      <c r="K49" s="6">
        <v>25</v>
      </c>
      <c r="L49" s="66"/>
      <c r="N49" s="17">
        <v>46304</v>
      </c>
      <c r="O49" s="18">
        <f t="shared" si="0"/>
        <v>0</v>
      </c>
      <c r="P49" s="18">
        <f t="shared" si="1"/>
        <v>0</v>
      </c>
      <c r="Q49" s="18">
        <f t="shared" si="2"/>
        <v>0</v>
      </c>
      <c r="R49" s="18">
        <f t="shared" si="3"/>
        <v>0</v>
      </c>
      <c r="S49" s="18">
        <f t="shared" si="4"/>
        <v>0</v>
      </c>
      <c r="T49" s="18">
        <f t="shared" si="5"/>
        <v>0</v>
      </c>
      <c r="U49" s="18">
        <f t="shared" si="6"/>
        <v>0</v>
      </c>
      <c r="V49" s="18">
        <f t="shared" si="7"/>
        <v>0</v>
      </c>
    </row>
    <row r="50" spans="1:22" x14ac:dyDescent="0.3">
      <c r="A50" s="19">
        <v>46290</v>
      </c>
      <c r="B50" s="16" t="s">
        <v>13</v>
      </c>
      <c r="C50" s="16"/>
      <c r="D50" s="13">
        <v>25</v>
      </c>
      <c r="E50" s="13"/>
      <c r="F50" s="6"/>
      <c r="G50" s="6"/>
      <c r="H50" s="5"/>
      <c r="I50" s="6"/>
      <c r="J50" s="6"/>
      <c r="K50" s="6"/>
      <c r="L50" s="66"/>
      <c r="N50" s="17">
        <v>46305</v>
      </c>
      <c r="O50" s="18">
        <f t="shared" si="0"/>
        <v>0</v>
      </c>
      <c r="P50" s="18">
        <f t="shared" si="1"/>
        <v>0</v>
      </c>
      <c r="Q50" s="18">
        <f t="shared" si="2"/>
        <v>0</v>
      </c>
      <c r="R50" s="18">
        <f t="shared" si="3"/>
        <v>0</v>
      </c>
      <c r="S50" s="18">
        <f t="shared" si="4"/>
        <v>0</v>
      </c>
      <c r="T50" s="18">
        <f t="shared" si="5"/>
        <v>0</v>
      </c>
      <c r="U50" s="18">
        <f t="shared" si="6"/>
        <v>0</v>
      </c>
      <c r="V50" s="18">
        <f t="shared" si="7"/>
        <v>0</v>
      </c>
    </row>
    <row r="51" spans="1:22" x14ac:dyDescent="0.3">
      <c r="A51" s="19">
        <v>46291</v>
      </c>
      <c r="B51" s="16"/>
      <c r="C51" s="16"/>
      <c r="D51" s="13"/>
      <c r="E51" s="13"/>
      <c r="F51" s="6"/>
      <c r="G51" s="6"/>
      <c r="H51" s="5"/>
      <c r="I51" s="6"/>
      <c r="J51" s="6"/>
      <c r="K51" s="6"/>
      <c r="L51" s="6"/>
      <c r="N51" s="17">
        <v>46306</v>
      </c>
      <c r="O51" s="18">
        <f t="shared" si="0"/>
        <v>0</v>
      </c>
      <c r="P51" s="18">
        <f t="shared" si="1"/>
        <v>0</v>
      </c>
      <c r="Q51" s="18">
        <f t="shared" si="2"/>
        <v>0</v>
      </c>
      <c r="R51" s="18">
        <f t="shared" si="3"/>
        <v>0</v>
      </c>
      <c r="S51" s="18">
        <f t="shared" si="4"/>
        <v>0</v>
      </c>
      <c r="T51" s="18">
        <f t="shared" si="5"/>
        <v>0</v>
      </c>
      <c r="U51" s="18">
        <f t="shared" si="6"/>
        <v>0</v>
      </c>
      <c r="V51" s="18">
        <f t="shared" si="7"/>
        <v>0</v>
      </c>
    </row>
    <row r="52" spans="1:22" x14ac:dyDescent="0.3">
      <c r="A52" s="19">
        <v>46292</v>
      </c>
      <c r="B52" s="16" t="s">
        <v>12</v>
      </c>
      <c r="C52" s="16"/>
      <c r="D52" s="13"/>
      <c r="E52" s="13"/>
      <c r="F52" s="6"/>
      <c r="G52" s="6"/>
      <c r="H52" s="5"/>
      <c r="I52" s="6"/>
      <c r="J52" s="6"/>
      <c r="K52" s="6"/>
      <c r="L52" s="6"/>
      <c r="N52" s="17">
        <v>46307</v>
      </c>
      <c r="O52" s="18">
        <f t="shared" si="0"/>
        <v>0</v>
      </c>
      <c r="P52" s="18">
        <f t="shared" si="1"/>
        <v>0</v>
      </c>
      <c r="Q52" s="18">
        <f t="shared" si="2"/>
        <v>0</v>
      </c>
      <c r="R52" s="18">
        <f t="shared" si="3"/>
        <v>0</v>
      </c>
      <c r="S52" s="18">
        <f t="shared" si="4"/>
        <v>0</v>
      </c>
      <c r="T52" s="18">
        <f t="shared" si="5"/>
        <v>0</v>
      </c>
      <c r="U52" s="18">
        <f t="shared" si="6"/>
        <v>0</v>
      </c>
      <c r="V52" s="18">
        <f t="shared" si="7"/>
        <v>0</v>
      </c>
    </row>
    <row r="53" spans="1:22" x14ac:dyDescent="0.3">
      <c r="A53" s="19">
        <v>46292</v>
      </c>
      <c r="B53" s="16" t="s">
        <v>13</v>
      </c>
      <c r="C53" s="1159" t="s">
        <v>749</v>
      </c>
      <c r="D53" s="13">
        <v>150</v>
      </c>
      <c r="E53" s="13"/>
      <c r="F53" s="6"/>
      <c r="G53" s="6"/>
      <c r="H53" s="5"/>
      <c r="I53" s="6"/>
      <c r="J53" s="6"/>
      <c r="K53" s="6"/>
      <c r="L53" s="6"/>
      <c r="N53" s="17">
        <v>46308</v>
      </c>
      <c r="O53" s="18">
        <f t="shared" si="0"/>
        <v>0</v>
      </c>
      <c r="P53" s="18">
        <f t="shared" si="1"/>
        <v>0</v>
      </c>
      <c r="Q53" s="18">
        <f t="shared" si="2"/>
        <v>0</v>
      </c>
      <c r="R53" s="18">
        <f t="shared" si="3"/>
        <v>0</v>
      </c>
      <c r="S53" s="18">
        <f t="shared" si="4"/>
        <v>0</v>
      </c>
      <c r="T53" s="18">
        <f t="shared" si="5"/>
        <v>0</v>
      </c>
      <c r="U53" s="18">
        <f t="shared" si="6"/>
        <v>0</v>
      </c>
      <c r="V53" s="18">
        <f t="shared" si="7"/>
        <v>0</v>
      </c>
    </row>
    <row r="54" spans="1:22" x14ac:dyDescent="0.3">
      <c r="A54" s="19">
        <v>46293</v>
      </c>
      <c r="B54" s="16" t="s">
        <v>12</v>
      </c>
      <c r="C54" s="1173" t="s">
        <v>417</v>
      </c>
      <c r="D54" s="13">
        <v>75</v>
      </c>
      <c r="E54" s="13"/>
      <c r="F54" s="6"/>
      <c r="G54" s="6"/>
      <c r="H54" s="5"/>
      <c r="I54" s="6"/>
      <c r="J54" s="6"/>
      <c r="K54" s="6">
        <v>25</v>
      </c>
      <c r="L54" s="6"/>
      <c r="N54" s="17">
        <v>46309</v>
      </c>
      <c r="O54" s="18">
        <f t="shared" si="0"/>
        <v>0</v>
      </c>
      <c r="P54" s="18">
        <f t="shared" si="1"/>
        <v>0</v>
      </c>
      <c r="Q54" s="18">
        <f t="shared" si="2"/>
        <v>0</v>
      </c>
      <c r="R54" s="18">
        <f t="shared" si="3"/>
        <v>0</v>
      </c>
      <c r="S54" s="18">
        <f t="shared" si="4"/>
        <v>0</v>
      </c>
      <c r="T54" s="18">
        <f t="shared" si="5"/>
        <v>0</v>
      </c>
      <c r="U54" s="18">
        <f t="shared" si="6"/>
        <v>0</v>
      </c>
      <c r="V54" s="18">
        <f t="shared" si="7"/>
        <v>0</v>
      </c>
    </row>
    <row r="55" spans="1:22" x14ac:dyDescent="0.3">
      <c r="A55" s="19">
        <v>46293</v>
      </c>
      <c r="B55" s="16" t="s">
        <v>13</v>
      </c>
      <c r="C55" s="1173" t="s">
        <v>508</v>
      </c>
      <c r="D55" s="13">
        <v>100</v>
      </c>
      <c r="E55" s="13"/>
      <c r="F55" s="6"/>
      <c r="G55" s="6"/>
      <c r="H55" s="5"/>
      <c r="I55" s="6"/>
      <c r="J55" s="6"/>
      <c r="K55" s="6"/>
      <c r="L55" s="6"/>
      <c r="N55" s="17">
        <v>46310</v>
      </c>
      <c r="O55" s="18">
        <f t="shared" si="0"/>
        <v>0</v>
      </c>
      <c r="P55" s="18">
        <f t="shared" si="1"/>
        <v>0</v>
      </c>
      <c r="Q55" s="18">
        <f t="shared" si="2"/>
        <v>0</v>
      </c>
      <c r="R55" s="18">
        <f t="shared" si="3"/>
        <v>0</v>
      </c>
      <c r="S55" s="18">
        <f t="shared" si="4"/>
        <v>0</v>
      </c>
      <c r="T55" s="18">
        <f t="shared" si="5"/>
        <v>0</v>
      </c>
      <c r="U55" s="18">
        <f t="shared" si="6"/>
        <v>0</v>
      </c>
      <c r="V55" s="18">
        <f t="shared" si="7"/>
        <v>0</v>
      </c>
    </row>
    <row r="56" spans="1:22" x14ac:dyDescent="0.3">
      <c r="A56" s="19">
        <v>46294</v>
      </c>
      <c r="B56" s="16" t="s">
        <v>12</v>
      </c>
      <c r="C56" s="1173" t="s">
        <v>417</v>
      </c>
      <c r="D56" s="13">
        <v>175</v>
      </c>
      <c r="E56" s="13"/>
      <c r="F56" s="6"/>
      <c r="G56" s="6"/>
      <c r="H56" s="5"/>
      <c r="I56" s="6"/>
      <c r="J56" s="6"/>
      <c r="K56" s="6"/>
      <c r="L56" s="6"/>
      <c r="N56" s="17">
        <v>46311</v>
      </c>
      <c r="O56" s="18">
        <f t="shared" si="0"/>
        <v>0</v>
      </c>
      <c r="P56" s="18">
        <f t="shared" si="1"/>
        <v>0</v>
      </c>
      <c r="Q56" s="18">
        <f t="shared" si="2"/>
        <v>0</v>
      </c>
      <c r="R56" s="18">
        <f t="shared" si="3"/>
        <v>0</v>
      </c>
      <c r="S56" s="18">
        <f t="shared" si="4"/>
        <v>0</v>
      </c>
      <c r="T56" s="18">
        <f t="shared" si="5"/>
        <v>0</v>
      </c>
      <c r="U56" s="18">
        <f t="shared" si="6"/>
        <v>0</v>
      </c>
      <c r="V56" s="18">
        <f t="shared" si="7"/>
        <v>0</v>
      </c>
    </row>
    <row r="57" spans="1:22" x14ac:dyDescent="0.3">
      <c r="A57" s="19">
        <v>46295</v>
      </c>
      <c r="B57" s="16"/>
      <c r="C57" s="16"/>
      <c r="D57" s="13"/>
      <c r="E57" s="13"/>
      <c r="F57" s="6"/>
      <c r="G57" s="6"/>
      <c r="H57" s="5"/>
      <c r="I57" s="6"/>
      <c r="J57" s="6"/>
      <c r="K57" s="6"/>
      <c r="L57" s="6"/>
      <c r="N57" s="17">
        <v>46312</v>
      </c>
      <c r="O57" s="18">
        <f t="shared" si="0"/>
        <v>0</v>
      </c>
      <c r="P57" s="18">
        <f t="shared" si="1"/>
        <v>0</v>
      </c>
      <c r="Q57" s="18">
        <f t="shared" si="2"/>
        <v>0</v>
      </c>
      <c r="R57" s="18">
        <f t="shared" si="3"/>
        <v>0</v>
      </c>
      <c r="S57" s="18">
        <f t="shared" si="4"/>
        <v>0</v>
      </c>
      <c r="T57" s="18">
        <f t="shared" si="5"/>
        <v>0</v>
      </c>
      <c r="U57" s="18">
        <f t="shared" si="6"/>
        <v>0</v>
      </c>
      <c r="V57" s="18">
        <f t="shared" si="7"/>
        <v>0</v>
      </c>
    </row>
    <row r="58" spans="1:22" x14ac:dyDescent="0.3">
      <c r="A58" s="19">
        <v>46296</v>
      </c>
      <c r="B58" s="16"/>
      <c r="C58" s="16"/>
      <c r="D58" s="13"/>
      <c r="E58" s="13"/>
      <c r="F58" s="6"/>
      <c r="G58" s="6"/>
      <c r="H58" s="5"/>
      <c r="I58" s="6"/>
      <c r="J58" s="6"/>
      <c r="K58" s="6"/>
      <c r="L58" s="6"/>
      <c r="N58" s="17">
        <v>46313</v>
      </c>
      <c r="O58" s="18">
        <f t="shared" si="0"/>
        <v>0</v>
      </c>
      <c r="P58" s="18">
        <f t="shared" si="1"/>
        <v>0</v>
      </c>
      <c r="Q58" s="18">
        <f t="shared" si="2"/>
        <v>0</v>
      </c>
      <c r="R58" s="18">
        <f t="shared" si="3"/>
        <v>0</v>
      </c>
      <c r="S58" s="18">
        <f t="shared" si="4"/>
        <v>0</v>
      </c>
      <c r="T58" s="18">
        <f t="shared" si="5"/>
        <v>0</v>
      </c>
      <c r="U58" s="18">
        <f t="shared" si="6"/>
        <v>0</v>
      </c>
      <c r="V58" s="18">
        <f t="shared" si="7"/>
        <v>0</v>
      </c>
    </row>
    <row r="59" spans="1:22" x14ac:dyDescent="0.3">
      <c r="A59" s="19">
        <v>46297</v>
      </c>
      <c r="B59" s="16"/>
      <c r="C59" s="16"/>
      <c r="D59" s="13"/>
      <c r="E59" s="13"/>
      <c r="F59" s="6"/>
      <c r="G59" s="6"/>
      <c r="H59" s="5"/>
      <c r="I59" s="6"/>
      <c r="J59" s="6"/>
      <c r="K59" s="6"/>
      <c r="L59" s="6"/>
      <c r="N59" s="17">
        <v>46314</v>
      </c>
      <c r="O59" s="18">
        <f t="shared" si="0"/>
        <v>0</v>
      </c>
      <c r="P59" s="18">
        <f t="shared" si="1"/>
        <v>0</v>
      </c>
      <c r="Q59" s="18">
        <f t="shared" si="2"/>
        <v>0</v>
      </c>
      <c r="R59" s="18">
        <f t="shared" si="3"/>
        <v>0</v>
      </c>
      <c r="S59" s="18">
        <f t="shared" si="4"/>
        <v>0</v>
      </c>
      <c r="T59" s="18">
        <f t="shared" si="5"/>
        <v>0</v>
      </c>
      <c r="U59" s="18">
        <f t="shared" si="6"/>
        <v>0</v>
      </c>
      <c r="V59" s="18">
        <f t="shared" si="7"/>
        <v>0</v>
      </c>
    </row>
    <row r="60" spans="1:22" x14ac:dyDescent="0.3">
      <c r="A60" s="19">
        <v>46298</v>
      </c>
      <c r="B60" s="16" t="s">
        <v>12</v>
      </c>
      <c r="C60" s="16"/>
      <c r="D60" s="13"/>
      <c r="E60" s="13"/>
      <c r="F60" s="6"/>
      <c r="G60" s="6">
        <v>25</v>
      </c>
      <c r="H60" s="5">
        <v>100</v>
      </c>
      <c r="I60" s="6">
        <v>7</v>
      </c>
      <c r="J60" s="6"/>
      <c r="K60" s="6"/>
      <c r="L60" s="6"/>
      <c r="N60" s="17">
        <v>46315</v>
      </c>
      <c r="O60" s="18">
        <f t="shared" si="0"/>
        <v>0</v>
      </c>
      <c r="P60" s="18">
        <f t="shared" si="1"/>
        <v>0</v>
      </c>
      <c r="Q60" s="18">
        <f t="shared" si="2"/>
        <v>0</v>
      </c>
      <c r="R60" s="18">
        <f t="shared" si="3"/>
        <v>0</v>
      </c>
      <c r="S60" s="18">
        <f t="shared" si="4"/>
        <v>0</v>
      </c>
      <c r="T60" s="18">
        <f t="shared" si="5"/>
        <v>0</v>
      </c>
      <c r="U60" s="18">
        <f t="shared" si="6"/>
        <v>0</v>
      </c>
      <c r="V60" s="18">
        <f t="shared" si="7"/>
        <v>0</v>
      </c>
    </row>
    <row r="61" spans="1:22" x14ac:dyDescent="0.3">
      <c r="A61" s="19">
        <v>46299</v>
      </c>
      <c r="B61" s="16" t="s">
        <v>12</v>
      </c>
      <c r="C61" s="16"/>
      <c r="D61" s="13"/>
      <c r="E61" s="13"/>
      <c r="F61" s="6"/>
      <c r="G61" s="6"/>
      <c r="H61" s="5"/>
      <c r="I61" s="6"/>
      <c r="J61" s="6"/>
      <c r="K61" s="6"/>
      <c r="L61" s="6"/>
      <c r="N61" s="17">
        <v>46316</v>
      </c>
      <c r="O61" s="18">
        <f t="shared" si="0"/>
        <v>0</v>
      </c>
      <c r="P61" s="18">
        <f t="shared" si="1"/>
        <v>0</v>
      </c>
      <c r="Q61" s="18">
        <f t="shared" si="2"/>
        <v>0</v>
      </c>
      <c r="R61" s="18">
        <f t="shared" si="3"/>
        <v>0</v>
      </c>
      <c r="S61" s="18">
        <f t="shared" si="4"/>
        <v>0</v>
      </c>
      <c r="T61" s="18">
        <f t="shared" si="5"/>
        <v>0</v>
      </c>
      <c r="U61" s="18">
        <f t="shared" si="6"/>
        <v>0</v>
      </c>
      <c r="V61" s="18">
        <f t="shared" si="7"/>
        <v>0</v>
      </c>
    </row>
    <row r="62" spans="1:22" x14ac:dyDescent="0.3">
      <c r="A62" s="19">
        <v>46299</v>
      </c>
      <c r="B62" s="16" t="s">
        <v>13</v>
      </c>
      <c r="C62" s="16"/>
      <c r="D62" s="13">
        <v>175</v>
      </c>
      <c r="E62" s="13"/>
      <c r="F62" s="6"/>
      <c r="G62" s="6"/>
      <c r="H62" s="5"/>
      <c r="I62" s="6"/>
      <c r="J62" s="6"/>
      <c r="K62" s="6"/>
      <c r="L62" s="6"/>
      <c r="N62" s="17">
        <v>46317</v>
      </c>
      <c r="O62" s="18">
        <f t="shared" si="0"/>
        <v>0</v>
      </c>
      <c r="P62" s="18">
        <f t="shared" si="1"/>
        <v>0</v>
      </c>
      <c r="Q62" s="18">
        <f t="shared" si="2"/>
        <v>0</v>
      </c>
      <c r="R62" s="18">
        <f t="shared" si="3"/>
        <v>0</v>
      </c>
      <c r="S62" s="18">
        <f t="shared" si="4"/>
        <v>0</v>
      </c>
      <c r="T62" s="18">
        <f t="shared" si="5"/>
        <v>0</v>
      </c>
      <c r="U62" s="18">
        <f t="shared" si="6"/>
        <v>0</v>
      </c>
      <c r="V62" s="18">
        <f t="shared" si="7"/>
        <v>0</v>
      </c>
    </row>
    <row r="63" spans="1:22" x14ac:dyDescent="0.3">
      <c r="A63" s="19">
        <v>46300</v>
      </c>
      <c r="B63" s="16" t="s">
        <v>12</v>
      </c>
      <c r="C63" s="16"/>
      <c r="D63" s="13">
        <v>225</v>
      </c>
      <c r="E63" s="13"/>
      <c r="F63" s="6">
        <v>1000</v>
      </c>
      <c r="G63" s="6"/>
      <c r="H63" s="5"/>
      <c r="I63" s="6"/>
      <c r="J63" s="6"/>
      <c r="K63" s="6"/>
      <c r="L63" s="6"/>
      <c r="N63" s="17">
        <v>46318</v>
      </c>
      <c r="O63" s="18">
        <f t="shared" si="0"/>
        <v>0</v>
      </c>
      <c r="P63" s="18">
        <f t="shared" si="1"/>
        <v>0</v>
      </c>
      <c r="Q63" s="18">
        <f t="shared" si="2"/>
        <v>0</v>
      </c>
      <c r="R63" s="18">
        <f t="shared" si="3"/>
        <v>0</v>
      </c>
      <c r="S63" s="18">
        <f t="shared" si="4"/>
        <v>0</v>
      </c>
      <c r="T63" s="18">
        <f t="shared" si="5"/>
        <v>0</v>
      </c>
      <c r="U63" s="18">
        <f t="shared" si="6"/>
        <v>0</v>
      </c>
      <c r="V63" s="18">
        <f t="shared" si="7"/>
        <v>0</v>
      </c>
    </row>
    <row r="64" spans="1:22" x14ac:dyDescent="0.3">
      <c r="A64" s="19">
        <v>46301</v>
      </c>
      <c r="B64" s="16"/>
      <c r="C64" s="16"/>
      <c r="D64" s="13"/>
      <c r="E64" s="13"/>
      <c r="F64" s="6"/>
      <c r="G64" s="6"/>
      <c r="H64" s="5"/>
      <c r="I64" s="6"/>
      <c r="J64" s="6"/>
      <c r="K64" s="6"/>
      <c r="L64" s="6"/>
      <c r="N64" s="17">
        <v>46319</v>
      </c>
      <c r="O64" s="18">
        <f t="shared" si="0"/>
        <v>0</v>
      </c>
      <c r="P64" s="18">
        <f t="shared" si="1"/>
        <v>0</v>
      </c>
      <c r="Q64" s="18">
        <f t="shared" si="2"/>
        <v>0</v>
      </c>
      <c r="R64" s="18">
        <f t="shared" si="3"/>
        <v>0</v>
      </c>
      <c r="S64" s="18">
        <f t="shared" si="4"/>
        <v>0</v>
      </c>
      <c r="T64" s="18">
        <f t="shared" si="5"/>
        <v>0</v>
      </c>
      <c r="U64" s="18">
        <f t="shared" si="6"/>
        <v>0</v>
      </c>
      <c r="V64" s="18">
        <f t="shared" si="7"/>
        <v>0</v>
      </c>
    </row>
    <row r="65" spans="1:22" x14ac:dyDescent="0.3">
      <c r="A65" s="19">
        <v>46302</v>
      </c>
      <c r="B65" s="16"/>
      <c r="C65" s="16"/>
      <c r="D65" s="13"/>
      <c r="E65" s="13"/>
      <c r="F65" s="6"/>
      <c r="G65" s="6"/>
      <c r="H65" s="5"/>
      <c r="I65" s="6"/>
      <c r="J65" s="6"/>
      <c r="K65" s="6"/>
      <c r="L65" s="6"/>
      <c r="N65" s="17">
        <v>46320</v>
      </c>
      <c r="O65" s="18">
        <f t="shared" si="0"/>
        <v>0</v>
      </c>
      <c r="P65" s="18">
        <f t="shared" si="1"/>
        <v>0</v>
      </c>
      <c r="Q65" s="18">
        <f t="shared" si="2"/>
        <v>0</v>
      </c>
      <c r="R65" s="18">
        <f t="shared" si="3"/>
        <v>0</v>
      </c>
      <c r="S65" s="18">
        <f t="shared" si="4"/>
        <v>0</v>
      </c>
      <c r="T65" s="18">
        <f t="shared" si="5"/>
        <v>0</v>
      </c>
      <c r="U65" s="18">
        <f t="shared" si="6"/>
        <v>0</v>
      </c>
      <c r="V65" s="18">
        <f t="shared" si="7"/>
        <v>0</v>
      </c>
    </row>
    <row r="66" spans="1:22" x14ac:dyDescent="0.3">
      <c r="A66" s="19">
        <v>46303</v>
      </c>
      <c r="B66" s="16"/>
      <c r="C66" s="16"/>
      <c r="D66" s="13"/>
      <c r="E66" s="13"/>
      <c r="F66" s="6"/>
      <c r="G66" s="6"/>
      <c r="H66" s="5"/>
      <c r="I66" s="6"/>
      <c r="J66" s="6"/>
      <c r="K66" s="6"/>
      <c r="L66" s="6"/>
      <c r="N66" s="17">
        <v>46321</v>
      </c>
      <c r="O66" s="18">
        <f t="shared" si="0"/>
        <v>0</v>
      </c>
      <c r="P66" s="18">
        <f t="shared" si="1"/>
        <v>0</v>
      </c>
      <c r="Q66" s="18">
        <f t="shared" si="2"/>
        <v>0</v>
      </c>
      <c r="R66" s="18">
        <f t="shared" si="3"/>
        <v>0</v>
      </c>
      <c r="S66" s="18">
        <f t="shared" si="4"/>
        <v>0</v>
      </c>
      <c r="T66" s="18">
        <f t="shared" si="5"/>
        <v>0</v>
      </c>
      <c r="U66" s="18">
        <f t="shared" si="6"/>
        <v>0</v>
      </c>
      <c r="V66" s="18">
        <f t="shared" si="7"/>
        <v>0</v>
      </c>
    </row>
    <row r="67" spans="1:22" x14ac:dyDescent="0.3">
      <c r="A67" s="19">
        <v>46304</v>
      </c>
      <c r="B67" s="16"/>
      <c r="C67" s="16"/>
      <c r="D67" s="13"/>
      <c r="E67" s="13"/>
      <c r="F67" s="6"/>
      <c r="G67" s="6"/>
      <c r="H67" s="5"/>
      <c r="I67" s="6"/>
      <c r="J67" s="6"/>
      <c r="K67" s="6"/>
      <c r="L67" s="6"/>
      <c r="N67" s="17">
        <v>46322</v>
      </c>
      <c r="O67" s="18">
        <f t="shared" si="0"/>
        <v>0</v>
      </c>
      <c r="P67" s="18">
        <f t="shared" si="1"/>
        <v>0</v>
      </c>
      <c r="Q67" s="18">
        <f t="shared" si="2"/>
        <v>0</v>
      </c>
      <c r="R67" s="18">
        <f t="shared" si="3"/>
        <v>0</v>
      </c>
      <c r="S67" s="18">
        <f t="shared" si="4"/>
        <v>0</v>
      </c>
      <c r="T67" s="18">
        <f t="shared" si="5"/>
        <v>0</v>
      </c>
      <c r="U67" s="18">
        <f t="shared" si="6"/>
        <v>0</v>
      </c>
      <c r="V67" s="18">
        <f t="shared" si="7"/>
        <v>0</v>
      </c>
    </row>
    <row r="68" spans="1:22" x14ac:dyDescent="0.3">
      <c r="A68" s="19">
        <v>46305</v>
      </c>
      <c r="B68" s="16"/>
      <c r="C68" s="16"/>
      <c r="D68" s="13"/>
      <c r="E68" s="13"/>
      <c r="F68" s="6"/>
      <c r="G68" s="6"/>
      <c r="H68" s="5"/>
      <c r="I68" s="6"/>
      <c r="J68" s="6"/>
      <c r="K68" s="6"/>
      <c r="L68" s="6"/>
      <c r="N68" s="17">
        <v>46323</v>
      </c>
      <c r="O68" s="18">
        <f t="shared" si="0"/>
        <v>0</v>
      </c>
      <c r="P68" s="18">
        <f t="shared" si="1"/>
        <v>0</v>
      </c>
      <c r="Q68" s="18">
        <f t="shared" si="2"/>
        <v>0</v>
      </c>
      <c r="R68" s="18">
        <f t="shared" si="3"/>
        <v>0</v>
      </c>
      <c r="S68" s="18">
        <f t="shared" si="4"/>
        <v>0</v>
      </c>
      <c r="T68" s="18">
        <f t="shared" si="5"/>
        <v>0</v>
      </c>
      <c r="U68" s="18">
        <f t="shared" si="6"/>
        <v>0</v>
      </c>
      <c r="V68" s="18">
        <f t="shared" si="7"/>
        <v>0</v>
      </c>
    </row>
    <row r="69" spans="1:22" x14ac:dyDescent="0.3">
      <c r="A69" s="19">
        <v>46306</v>
      </c>
      <c r="B69" s="16"/>
      <c r="C69" s="16"/>
      <c r="D69" s="13"/>
      <c r="E69" s="13"/>
      <c r="F69" s="6"/>
      <c r="G69" s="6"/>
      <c r="H69" s="5"/>
      <c r="I69" s="6"/>
      <c r="J69" s="6"/>
      <c r="K69" s="6"/>
      <c r="L69" s="6"/>
      <c r="N69" s="17">
        <v>46324</v>
      </c>
      <c r="O69" s="18">
        <f t="shared" si="0"/>
        <v>0</v>
      </c>
      <c r="P69" s="18">
        <f t="shared" si="1"/>
        <v>0</v>
      </c>
      <c r="Q69" s="18">
        <f t="shared" si="2"/>
        <v>0</v>
      </c>
      <c r="R69" s="18">
        <f t="shared" si="3"/>
        <v>0</v>
      </c>
      <c r="S69" s="18">
        <f t="shared" si="4"/>
        <v>0</v>
      </c>
      <c r="T69" s="18">
        <f t="shared" si="5"/>
        <v>0</v>
      </c>
      <c r="U69" s="18">
        <f t="shared" si="6"/>
        <v>0</v>
      </c>
      <c r="V69" s="18">
        <f t="shared" si="7"/>
        <v>0</v>
      </c>
    </row>
    <row r="70" spans="1:22" x14ac:dyDescent="0.3">
      <c r="A70" s="19">
        <v>46307</v>
      </c>
      <c r="B70" s="16"/>
      <c r="C70" s="16"/>
      <c r="D70" s="13"/>
      <c r="E70" s="13"/>
      <c r="F70" s="6"/>
      <c r="G70" s="6"/>
      <c r="H70" s="5"/>
      <c r="I70" s="6"/>
      <c r="J70" s="6"/>
      <c r="K70" s="6"/>
      <c r="L70" s="6"/>
      <c r="N70" s="17">
        <v>46325</v>
      </c>
      <c r="O70" s="18">
        <f t="shared" si="0"/>
        <v>0</v>
      </c>
      <c r="P70" s="18">
        <f t="shared" si="1"/>
        <v>0</v>
      </c>
      <c r="Q70" s="18">
        <f t="shared" si="2"/>
        <v>0</v>
      </c>
      <c r="R70" s="18">
        <f t="shared" si="3"/>
        <v>0</v>
      </c>
      <c r="S70" s="18">
        <f t="shared" si="4"/>
        <v>0</v>
      </c>
      <c r="T70" s="18">
        <f t="shared" si="5"/>
        <v>0</v>
      </c>
      <c r="U70" s="18">
        <f t="shared" si="6"/>
        <v>0</v>
      </c>
      <c r="V70" s="18">
        <f t="shared" si="7"/>
        <v>0</v>
      </c>
    </row>
    <row r="71" spans="1:22" x14ac:dyDescent="0.3">
      <c r="A71" s="19">
        <v>46308</v>
      </c>
      <c r="B71" s="16"/>
      <c r="C71" s="16"/>
      <c r="D71" s="13"/>
      <c r="E71" s="13"/>
      <c r="F71" s="6"/>
      <c r="G71" s="6"/>
      <c r="H71" s="5"/>
      <c r="I71" s="6"/>
      <c r="J71" s="6"/>
      <c r="K71" s="6"/>
      <c r="L71" s="6"/>
      <c r="N71" s="17">
        <v>46326</v>
      </c>
      <c r="O71" s="18">
        <f t="shared" si="0"/>
        <v>0</v>
      </c>
      <c r="P71" s="18">
        <f t="shared" si="1"/>
        <v>0</v>
      </c>
      <c r="Q71" s="18">
        <f t="shared" si="2"/>
        <v>0</v>
      </c>
      <c r="R71" s="18">
        <f t="shared" si="3"/>
        <v>0</v>
      </c>
      <c r="S71" s="18">
        <f t="shared" si="4"/>
        <v>0</v>
      </c>
      <c r="T71" s="18">
        <f t="shared" si="5"/>
        <v>0</v>
      </c>
      <c r="U71" s="18">
        <f t="shared" si="6"/>
        <v>0</v>
      </c>
      <c r="V71" s="18">
        <f t="shared" si="7"/>
        <v>0</v>
      </c>
    </row>
    <row r="72" spans="1:22" x14ac:dyDescent="0.3">
      <c r="A72" s="19"/>
      <c r="B72" s="16"/>
      <c r="C72" s="16"/>
      <c r="D72" s="13"/>
      <c r="E72" s="13"/>
      <c r="F72" s="6"/>
      <c r="G72" s="6"/>
      <c r="H72" s="5"/>
      <c r="I72" s="6"/>
      <c r="J72" s="6"/>
      <c r="K72" s="6"/>
      <c r="L72" s="6"/>
      <c r="N72" s="20" t="s">
        <v>17</v>
      </c>
      <c r="O72" s="21">
        <f>SUM(O7:O71)</f>
        <v>6025</v>
      </c>
      <c r="P72" s="21">
        <f t="shared" ref="P72:V72" si="11">SUM(P7:P71)</f>
        <v>4150</v>
      </c>
      <c r="Q72" s="21">
        <f t="shared" si="11"/>
        <v>4000</v>
      </c>
      <c r="R72" s="21">
        <f t="shared" si="11"/>
        <v>100</v>
      </c>
      <c r="S72" s="21">
        <f t="shared" si="11"/>
        <v>7</v>
      </c>
      <c r="T72" s="21">
        <f t="shared" si="11"/>
        <v>325</v>
      </c>
      <c r="U72" s="21">
        <f t="shared" si="11"/>
        <v>25</v>
      </c>
      <c r="V72" s="21">
        <f t="shared" si="11"/>
        <v>7</v>
      </c>
    </row>
    <row r="74" spans="1:22" x14ac:dyDescent="0.3">
      <c r="T74">
        <f>Z22*T72</f>
        <v>14300000</v>
      </c>
    </row>
  </sheetData>
  <mergeCells count="13">
    <mergeCell ref="X20:AC20"/>
    <mergeCell ref="X24:AC24"/>
    <mergeCell ref="X27:Y27"/>
    <mergeCell ref="Z27:AC27"/>
    <mergeCell ref="B1:S1"/>
    <mergeCell ref="B2:S2"/>
    <mergeCell ref="B3:S3"/>
    <mergeCell ref="B5:C5"/>
    <mergeCell ref="D5:F5"/>
    <mergeCell ref="G5:I5"/>
    <mergeCell ref="J5:K5"/>
    <mergeCell ref="X6:AD6"/>
    <mergeCell ref="X10:AD10"/>
  </mergeCells>
  <dataValidations disablePrompts="1" count="1">
    <dataValidation type="list" allowBlank="1" showInputMessage="1" showErrorMessage="1" sqref="B7:B72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122"/>
  <sheetViews>
    <sheetView view="pageBreakPreview" zoomScale="55" zoomScaleNormal="44" zoomScaleSheetLayoutView="74" workbookViewId="0">
      <pane ySplit="5" topLeftCell="A20" activePane="bottomLeft" state="frozen"/>
      <selection pane="bottomLeft" activeCell="M20" sqref="M20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.44140625" style="1" bestFit="1" customWidth="1"/>
    <col min="5" max="5" width="11.77734375" style="1" bestFit="1" customWidth="1"/>
    <col min="6" max="6" width="9.6640625" style="263" bestFit="1" customWidth="1"/>
    <col min="7" max="7" width="14.88671875" style="1" bestFit="1" customWidth="1"/>
    <col min="8" max="8" width="14.5546875" style="266" customWidth="1"/>
    <col min="9" max="9" width="10.44140625" style="268" customWidth="1"/>
    <col min="10" max="10" width="12.5546875" style="1" customWidth="1"/>
    <col min="11" max="11" width="14.77734375" style="1" customWidth="1"/>
    <col min="12" max="12" width="13.21875" style="1" customWidth="1"/>
    <col min="13" max="13" width="12.6640625" style="1" customWidth="1"/>
    <col min="14" max="14" width="14.109375" style="332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36" customHeight="1" thickBot="1" x14ac:dyDescent="0.35"/>
    <row r="4" spans="2:27" ht="39" customHeight="1" thickBot="1" x14ac:dyDescent="0.45">
      <c r="B4" s="1307" t="s">
        <v>665</v>
      </c>
      <c r="C4" s="1308"/>
      <c r="D4" s="1308"/>
      <c r="E4" s="1308"/>
      <c r="F4" s="1308"/>
      <c r="G4" s="1308"/>
      <c r="H4" s="1308"/>
      <c r="I4" s="1308"/>
      <c r="J4" s="1308"/>
      <c r="K4" s="1308"/>
      <c r="L4" s="1308"/>
      <c r="M4" s="1308"/>
      <c r="N4" s="1308"/>
      <c r="O4" s="1309"/>
    </row>
    <row r="5" spans="2:27" ht="75.599999999999994" customHeight="1" thickBot="1" x14ac:dyDescent="0.35">
      <c r="B5" s="1319" t="s">
        <v>0</v>
      </c>
      <c r="C5" s="1320"/>
      <c r="D5" s="270" t="s">
        <v>289</v>
      </c>
      <c r="E5" s="335" t="s">
        <v>1</v>
      </c>
      <c r="F5" s="271" t="s">
        <v>2</v>
      </c>
      <c r="G5" s="272" t="s">
        <v>3</v>
      </c>
      <c r="H5" s="273" t="s">
        <v>4</v>
      </c>
      <c r="I5" s="274" t="s">
        <v>5</v>
      </c>
      <c r="J5" s="334" t="s">
        <v>6</v>
      </c>
      <c r="K5" s="334" t="s">
        <v>7</v>
      </c>
      <c r="L5" s="336" t="s">
        <v>8</v>
      </c>
      <c r="M5" s="334" t="s">
        <v>9</v>
      </c>
      <c r="N5" s="334" t="s">
        <v>10</v>
      </c>
      <c r="O5" s="337" t="s">
        <v>176</v>
      </c>
      <c r="S5" s="1285" t="s">
        <v>11</v>
      </c>
      <c r="T5" s="1286"/>
      <c r="W5" s="1262" t="s">
        <v>18</v>
      </c>
      <c r="X5" s="1262"/>
      <c r="Y5" s="1262"/>
      <c r="Z5" s="1262"/>
      <c r="AA5" s="1262"/>
    </row>
    <row r="6" spans="2:27" ht="13.95" customHeight="1" thickBot="1" x14ac:dyDescent="0.4">
      <c r="B6" s="1295">
        <v>46174</v>
      </c>
      <c r="C6" s="1296"/>
      <c r="D6" s="275" t="s">
        <v>12</v>
      </c>
      <c r="E6" s="276"/>
      <c r="F6" s="277"/>
      <c r="G6" s="278"/>
      <c r="H6" s="279"/>
      <c r="I6" s="280" t="str">
        <f>IFERROR((VLOOKUP(G6,S$6:T$8,2,FALSE)),"")</f>
        <v/>
      </c>
      <c r="J6" s="281"/>
      <c r="K6" s="282" t="str">
        <f>IFERROR((F6*I6*J6),"")</f>
        <v/>
      </c>
      <c r="L6" s="283" t="str">
        <f>IFERROR(((F6*I6)*J6)*(1-H6),"")</f>
        <v/>
      </c>
      <c r="M6" s="283" t="str">
        <f>IFERROR((K6/12),"")</f>
        <v/>
      </c>
      <c r="N6" s="1321">
        <f>SUM(L6:L7)</f>
        <v>0</v>
      </c>
      <c r="O6" s="284"/>
      <c r="P6" s="4"/>
      <c r="S6" s="254" t="s">
        <v>428</v>
      </c>
      <c r="T6" s="6">
        <v>0.5</v>
      </c>
      <c r="U6" s="1">
        <v>0.6</v>
      </c>
      <c r="W6" s="14" t="s">
        <v>171</v>
      </c>
      <c r="X6" s="14" t="s">
        <v>19</v>
      </c>
      <c r="Y6" s="14" t="s">
        <v>20</v>
      </c>
      <c r="Z6" s="14" t="s">
        <v>21</v>
      </c>
      <c r="AA6" s="14" t="s">
        <v>22</v>
      </c>
    </row>
    <row r="7" spans="2:27" ht="13.95" customHeight="1" thickBot="1" x14ac:dyDescent="0.4">
      <c r="B7" s="1297"/>
      <c r="C7" s="1298"/>
      <c r="D7" s="285" t="s">
        <v>13</v>
      </c>
      <c r="E7" s="286"/>
      <c r="F7" s="287"/>
      <c r="G7" s="288"/>
      <c r="H7" s="289"/>
      <c r="I7" s="280" t="str">
        <f t="shared" ref="I7" si="0">IFERROR((VLOOKUP(G7,S$6:T$8,2,FALSE)),"")</f>
        <v/>
      </c>
      <c r="J7" s="281"/>
      <c r="K7" s="282" t="str">
        <f>IFERROR((F7*I7*J7),"")</f>
        <v/>
      </c>
      <c r="L7" s="283" t="str">
        <f t="shared" ref="L7:L9" si="1">IFERROR(((F7*I7)*J7)*(1-H7),"")</f>
        <v/>
      </c>
      <c r="M7" s="283" t="str">
        <f t="shared" ref="M7:M9" si="2">IFERROR((K7/12),"")</f>
        <v/>
      </c>
      <c r="N7" s="1322"/>
      <c r="O7" s="284"/>
      <c r="S7" s="5" t="s">
        <v>14</v>
      </c>
      <c r="T7" s="6">
        <v>0.7</v>
      </c>
      <c r="W7" s="6"/>
      <c r="X7" s="13"/>
      <c r="Y7" s="13">
        <v>2860</v>
      </c>
      <c r="Z7" s="13">
        <v>2795</v>
      </c>
      <c r="AA7" s="38">
        <f>(Y7-Z7)/Y7</f>
        <v>2.2727272727272728E-2</v>
      </c>
    </row>
    <row r="8" spans="2:27" ht="13.95" customHeight="1" thickBot="1" x14ac:dyDescent="0.4">
      <c r="B8" s="1311">
        <v>46175</v>
      </c>
      <c r="C8" s="1312"/>
      <c r="D8" s="338" t="s">
        <v>12</v>
      </c>
      <c r="E8" s="339" t="s">
        <v>169</v>
      </c>
      <c r="F8" s="340">
        <v>141</v>
      </c>
      <c r="G8" s="341" t="s">
        <v>428</v>
      </c>
      <c r="H8" s="342">
        <v>0.18</v>
      </c>
      <c r="I8" s="343">
        <f>IFERROR((VLOOKUP(G8,S$6:T$8,2,FALSE)),"")</f>
        <v>0.5</v>
      </c>
      <c r="J8" s="281">
        <v>1.35</v>
      </c>
      <c r="K8" s="344">
        <f t="shared" ref="K8:K61" si="3">IFERROR((F8*I8*J8),"")</f>
        <v>95.175000000000011</v>
      </c>
      <c r="L8" s="345">
        <f t="shared" si="1"/>
        <v>78.043500000000009</v>
      </c>
      <c r="M8" s="345">
        <f>IFERROR((K8/6),"")</f>
        <v>15.862500000000002</v>
      </c>
      <c r="N8" s="1315">
        <f>SUM(L8:L9)</f>
        <v>78.043500000000009</v>
      </c>
      <c r="O8" s="346"/>
      <c r="S8" s="5" t="s">
        <v>15</v>
      </c>
      <c r="T8" s="6">
        <v>3</v>
      </c>
      <c r="U8" s="1">
        <v>3</v>
      </c>
      <c r="W8" s="6"/>
      <c r="X8" s="13"/>
      <c r="Y8" s="13">
        <v>3025</v>
      </c>
      <c r="Z8" s="13">
        <v>2935</v>
      </c>
      <c r="AA8" s="38">
        <f>(Y8-Z8)/Y8</f>
        <v>2.9752066115702479E-2</v>
      </c>
    </row>
    <row r="9" spans="2:27" ht="18.600000000000001" thickBot="1" x14ac:dyDescent="0.4">
      <c r="B9" s="1313"/>
      <c r="C9" s="1314"/>
      <c r="D9" s="347" t="s">
        <v>13</v>
      </c>
      <c r="E9" s="348"/>
      <c r="F9" s="349"/>
      <c r="G9" s="384"/>
      <c r="H9" s="350"/>
      <c r="I9" s="351" t="str">
        <f t="shared" ref="I9:I114" si="4">IFERROR((VLOOKUP(G9,S$6:T$8,2,FALSE)),"")</f>
        <v/>
      </c>
      <c r="J9" s="281"/>
      <c r="K9" s="344" t="str">
        <f t="shared" si="3"/>
        <v/>
      </c>
      <c r="L9" s="345" t="str">
        <f t="shared" si="1"/>
        <v/>
      </c>
      <c r="M9" s="345" t="str">
        <f t="shared" si="2"/>
        <v/>
      </c>
      <c r="N9" s="1316"/>
      <c r="O9" s="353"/>
      <c r="S9" s="7"/>
      <c r="W9" s="6"/>
      <c r="X9" s="13"/>
      <c r="Y9" s="13">
        <v>2535</v>
      </c>
      <c r="Z9" s="13">
        <v>2430</v>
      </c>
      <c r="AA9" s="38">
        <f>(Y9-Z9)/Y9</f>
        <v>4.142011834319527E-2</v>
      </c>
    </row>
    <row r="10" spans="2:27" ht="18.600000000000001" thickBot="1" x14ac:dyDescent="0.4">
      <c r="B10" s="1295">
        <v>46176</v>
      </c>
      <c r="C10" s="1296"/>
      <c r="D10" s="275" t="s">
        <v>12</v>
      </c>
      <c r="E10" s="276" t="s">
        <v>169</v>
      </c>
      <c r="F10" s="277">
        <v>32</v>
      </c>
      <c r="G10" s="388" t="s">
        <v>428</v>
      </c>
      <c r="H10" s="279">
        <v>0.18</v>
      </c>
      <c r="I10" s="280">
        <f t="shared" si="4"/>
        <v>0.5</v>
      </c>
      <c r="J10" s="281">
        <v>1.35</v>
      </c>
      <c r="K10" s="282">
        <f t="shared" si="3"/>
        <v>21.6</v>
      </c>
      <c r="L10" s="283">
        <f t="shared" ref="L10:L61" si="5">IFERROR(((F10*I10)*J10)*(1-H10),"")</f>
        <v>17.712000000000003</v>
      </c>
      <c r="M10" s="283">
        <f t="shared" ref="M10:M61" si="6">IFERROR((K10/12),"")</f>
        <v>1.8</v>
      </c>
      <c r="N10" s="1293">
        <f>SUM(L10:L11)</f>
        <v>17.712000000000003</v>
      </c>
      <c r="O10" s="293"/>
      <c r="S10" s="7"/>
      <c r="W10" s="6"/>
      <c r="X10" s="6"/>
      <c r="Y10" s="13">
        <v>2695</v>
      </c>
      <c r="Z10" s="13">
        <v>2555</v>
      </c>
      <c r="AA10" s="38">
        <f t="shared" ref="AA10:AA14" si="7">(Y10-Z10)/Y10</f>
        <v>5.1948051948051951E-2</v>
      </c>
    </row>
    <row r="11" spans="2:27" ht="18.600000000000001" thickBot="1" x14ac:dyDescent="0.4">
      <c r="B11" s="1297"/>
      <c r="C11" s="1298"/>
      <c r="D11" s="285" t="s">
        <v>13</v>
      </c>
      <c r="E11" s="286"/>
      <c r="F11" s="290"/>
      <c r="G11" s="387"/>
      <c r="H11" s="289"/>
      <c r="I11" s="291" t="str">
        <f t="shared" si="4"/>
        <v/>
      </c>
      <c r="J11" s="281"/>
      <c r="K11" s="282" t="str">
        <f t="shared" si="3"/>
        <v/>
      </c>
      <c r="L11" s="294" t="str">
        <f t="shared" si="5"/>
        <v/>
      </c>
      <c r="M11" s="295" t="str">
        <f t="shared" si="6"/>
        <v/>
      </c>
      <c r="N11" s="1294"/>
      <c r="O11" s="296"/>
      <c r="S11" s="7"/>
      <c r="W11" s="6"/>
      <c r="X11" s="6"/>
      <c r="Y11" s="13">
        <v>2530</v>
      </c>
      <c r="Z11" s="13">
        <v>2460</v>
      </c>
      <c r="AA11" s="38">
        <f>(Y11-Z11)/Y11</f>
        <v>2.766798418972332E-2</v>
      </c>
    </row>
    <row r="12" spans="2:27" ht="18.600000000000001" thickBot="1" x14ac:dyDescent="0.4">
      <c r="B12" s="1311">
        <v>46177</v>
      </c>
      <c r="C12" s="1312"/>
      <c r="D12" s="338" t="s">
        <v>12</v>
      </c>
      <c r="E12" s="339" t="s">
        <v>172</v>
      </c>
      <c r="F12" s="340">
        <v>282</v>
      </c>
      <c r="G12" s="341" t="s">
        <v>428</v>
      </c>
      <c r="H12" s="342">
        <v>0.17</v>
      </c>
      <c r="I12" s="343">
        <f t="shared" si="4"/>
        <v>0.5</v>
      </c>
      <c r="J12" s="281">
        <v>1.35</v>
      </c>
      <c r="K12" s="344">
        <f t="shared" si="3"/>
        <v>190.35000000000002</v>
      </c>
      <c r="L12" s="345">
        <f t="shared" si="5"/>
        <v>157.9905</v>
      </c>
      <c r="M12" s="345">
        <f t="shared" si="6"/>
        <v>15.862500000000002</v>
      </c>
      <c r="N12" s="1315">
        <f t="shared" ref="N12" si="8">SUM(L12:L13)</f>
        <v>157.9905</v>
      </c>
      <c r="O12" s="346"/>
      <c r="W12" s="6"/>
      <c r="X12" s="6"/>
      <c r="Y12" s="13">
        <v>2130</v>
      </c>
      <c r="Z12" s="13">
        <v>2075</v>
      </c>
      <c r="AA12" s="38">
        <f t="shared" si="7"/>
        <v>2.5821596244131457E-2</v>
      </c>
    </row>
    <row r="13" spans="2:27" ht="18.600000000000001" thickBot="1" x14ac:dyDescent="0.4">
      <c r="B13" s="1313"/>
      <c r="C13" s="1314"/>
      <c r="D13" s="347" t="s">
        <v>13</v>
      </c>
      <c r="E13" s="348"/>
      <c r="F13" s="349"/>
      <c r="G13" s="386"/>
      <c r="H13" s="350"/>
      <c r="I13" s="351" t="str">
        <f t="shared" si="4"/>
        <v/>
      </c>
      <c r="J13" s="281"/>
      <c r="K13" s="344" t="str">
        <f t="shared" si="3"/>
        <v/>
      </c>
      <c r="L13" s="352" t="str">
        <f t="shared" si="5"/>
        <v/>
      </c>
      <c r="M13" s="354" t="str">
        <f t="shared" si="6"/>
        <v/>
      </c>
      <c r="N13" s="1316"/>
      <c r="O13" s="346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1295">
        <v>46252</v>
      </c>
      <c r="C14" s="1296"/>
      <c r="D14" s="275" t="s">
        <v>12</v>
      </c>
      <c r="E14" s="276" t="s">
        <v>199</v>
      </c>
      <c r="F14" s="277">
        <v>62</v>
      </c>
      <c r="G14" s="388" t="s">
        <v>428</v>
      </c>
      <c r="H14" s="279">
        <v>0.12</v>
      </c>
      <c r="I14" s="280">
        <f t="shared" si="4"/>
        <v>0.5</v>
      </c>
      <c r="J14" s="281">
        <v>1.39</v>
      </c>
      <c r="K14" s="282">
        <f>IFERROR((F14*I14*J14),"")</f>
        <v>43.089999999999996</v>
      </c>
      <c r="L14" s="283">
        <f t="shared" si="5"/>
        <v>37.919199999999996</v>
      </c>
      <c r="M14" s="283">
        <f>IFERROR((K14/12),"")</f>
        <v>3.5908333333333329</v>
      </c>
      <c r="N14" s="1293">
        <f t="shared" ref="N14" si="9">SUM(L14:L15)</f>
        <v>37.919199999999996</v>
      </c>
      <c r="O14" s="284" t="s">
        <v>409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1297"/>
      <c r="C15" s="1298"/>
      <c r="D15" s="285" t="s">
        <v>13</v>
      </c>
      <c r="E15" s="297"/>
      <c r="F15" s="290"/>
      <c r="G15" s="387"/>
      <c r="H15" s="289"/>
      <c r="I15" s="291" t="str">
        <f t="shared" si="4"/>
        <v/>
      </c>
      <c r="J15" s="281"/>
      <c r="K15" s="298" t="str">
        <f t="shared" si="3"/>
        <v/>
      </c>
      <c r="L15" s="294" t="str">
        <f t="shared" si="5"/>
        <v/>
      </c>
      <c r="M15" s="295" t="str">
        <f t="shared" si="6"/>
        <v/>
      </c>
      <c r="N15" s="1294"/>
      <c r="O15" s="284"/>
    </row>
    <row r="16" spans="2:27" ht="18.600000000000001" thickBot="1" x14ac:dyDescent="0.4">
      <c r="B16" s="1311">
        <v>46253</v>
      </c>
      <c r="C16" s="1312"/>
      <c r="D16" s="338" t="s">
        <v>12</v>
      </c>
      <c r="E16" s="339" t="s">
        <v>199</v>
      </c>
      <c r="F16" s="340">
        <v>463</v>
      </c>
      <c r="G16" s="341" t="s">
        <v>428</v>
      </c>
      <c r="H16" s="342">
        <v>0.12</v>
      </c>
      <c r="I16" s="343">
        <f t="shared" si="4"/>
        <v>0.5</v>
      </c>
      <c r="J16" s="281">
        <v>1.39</v>
      </c>
      <c r="K16" s="344">
        <f t="shared" si="3"/>
        <v>321.78499999999997</v>
      </c>
      <c r="L16" s="345">
        <f>IFERROR(((F16*I16)*J16)*(1-H16),"")</f>
        <v>283.17079999999999</v>
      </c>
      <c r="M16" s="345">
        <f t="shared" si="6"/>
        <v>26.815416666666664</v>
      </c>
      <c r="N16" s="1315">
        <f>SUM(L16:L17)</f>
        <v>283.17079999999999</v>
      </c>
      <c r="O16" s="346" t="s">
        <v>407</v>
      </c>
      <c r="S16" s="1">
        <f>S14/1.4</f>
        <v>45.714285714285715</v>
      </c>
    </row>
    <row r="17" spans="2:23" ht="18.600000000000001" thickBot="1" x14ac:dyDescent="0.4">
      <c r="B17" s="1313"/>
      <c r="C17" s="1314"/>
      <c r="D17" s="347" t="s">
        <v>13</v>
      </c>
      <c r="E17" s="355"/>
      <c r="F17" s="349"/>
      <c r="G17" s="386"/>
      <c r="H17" s="350"/>
      <c r="I17" s="351" t="str">
        <f t="shared" si="4"/>
        <v/>
      </c>
      <c r="J17" s="281"/>
      <c r="K17" s="356" t="str">
        <f t="shared" si="3"/>
        <v/>
      </c>
      <c r="L17" s="352" t="str">
        <f t="shared" si="5"/>
        <v/>
      </c>
      <c r="M17" s="354" t="str">
        <f t="shared" si="6"/>
        <v/>
      </c>
      <c r="N17" s="1316"/>
      <c r="O17" s="346" t="s">
        <v>386</v>
      </c>
    </row>
    <row r="18" spans="2:23" ht="18.600000000000001" thickBot="1" x14ac:dyDescent="0.4">
      <c r="B18" s="1295">
        <v>46254</v>
      </c>
      <c r="C18" s="1296"/>
      <c r="D18" s="275" t="s">
        <v>12</v>
      </c>
      <c r="E18" s="276" t="s">
        <v>199</v>
      </c>
      <c r="F18" s="277">
        <v>539</v>
      </c>
      <c r="G18" s="388" t="s">
        <v>428</v>
      </c>
      <c r="H18" s="279">
        <v>0.1</v>
      </c>
      <c r="I18" s="280">
        <f>IFERROR((VLOOKUP(G18,S$6:T$8,2,FALSE)),"")</f>
        <v>0.5</v>
      </c>
      <c r="J18" s="281">
        <v>1.39</v>
      </c>
      <c r="K18" s="282">
        <f t="shared" si="3"/>
        <v>374.60499999999996</v>
      </c>
      <c r="L18" s="283">
        <f>IFERROR(((F18*I18)*J18)*(1-H18),"")</f>
        <v>337.14449999999999</v>
      </c>
      <c r="M18" s="283">
        <f>IFERROR((K18/12),"")</f>
        <v>31.217083333333331</v>
      </c>
      <c r="N18" s="1293">
        <f>SUM(L18:L19)</f>
        <v>337.14449999999999</v>
      </c>
      <c r="O18" s="284" t="s">
        <v>407</v>
      </c>
      <c r="T18" s="3"/>
      <c r="V18" s="1">
        <f>(T8*3)*(1-12%)</f>
        <v>7.92</v>
      </c>
      <c r="W18" s="1" t="s">
        <v>200</v>
      </c>
    </row>
    <row r="19" spans="2:23" ht="18.600000000000001" thickBot="1" x14ac:dyDescent="0.4">
      <c r="B19" s="1297"/>
      <c r="C19" s="1298"/>
      <c r="D19" s="299" t="s">
        <v>13</v>
      </c>
      <c r="E19" s="300"/>
      <c r="F19" s="301"/>
      <c r="G19" s="385"/>
      <c r="H19" s="303"/>
      <c r="I19" s="304" t="str">
        <f t="shared" si="4"/>
        <v/>
      </c>
      <c r="J19" s="281"/>
      <c r="K19" s="305" t="str">
        <f t="shared" si="3"/>
        <v/>
      </c>
      <c r="L19" s="306" t="str">
        <f t="shared" si="5"/>
        <v/>
      </c>
      <c r="M19" s="307" t="str">
        <f t="shared" si="6"/>
        <v/>
      </c>
      <c r="N19" s="1310"/>
      <c r="O19" s="284" t="s">
        <v>408</v>
      </c>
      <c r="T19" s="109"/>
    </row>
    <row r="20" spans="2:23" ht="18.600000000000001" thickBot="1" x14ac:dyDescent="0.4">
      <c r="B20" s="1295">
        <v>46255</v>
      </c>
      <c r="C20" s="1296"/>
      <c r="D20" s="275" t="s">
        <v>12</v>
      </c>
      <c r="E20" s="276" t="s">
        <v>199</v>
      </c>
      <c r="F20" s="277">
        <v>409</v>
      </c>
      <c r="G20" s="388" t="s">
        <v>428</v>
      </c>
      <c r="H20" s="279">
        <v>0.1</v>
      </c>
      <c r="I20" s="280">
        <f>IFERROR((VLOOKUP(G20,S$6:T$8,2,FALSE)),"")</f>
        <v>0.5</v>
      </c>
      <c r="J20" s="281">
        <v>1.39</v>
      </c>
      <c r="K20" s="282">
        <f t="shared" ref="K20:K21" si="10">IFERROR((F20*I20*J20),"")</f>
        <v>284.255</v>
      </c>
      <c r="L20" s="283">
        <f>IFERROR(((F20*I20)*J20)*(1-H20),"")</f>
        <v>255.8295</v>
      </c>
      <c r="M20" s="283">
        <f>IFERROR(((K20+K21)/12),"")</f>
        <v>27.162916666666664</v>
      </c>
      <c r="N20" s="1293">
        <f>SUM(L20:L21)</f>
        <v>293.35949999999997</v>
      </c>
      <c r="O20" s="284" t="str">
        <f>'Crushing Down Time Hours'!G9</f>
        <v>isitrahat jumat 11-13, 16:20-16:55 Perbaikan Cone Crusher</v>
      </c>
      <c r="S20" s="2"/>
      <c r="T20" s="109"/>
    </row>
    <row r="21" spans="2:23" ht="18.600000000000001" thickBot="1" x14ac:dyDescent="0.4">
      <c r="B21" s="1297"/>
      <c r="C21" s="1298"/>
      <c r="D21" s="299" t="s">
        <v>13</v>
      </c>
      <c r="E21" s="300"/>
      <c r="F21" s="301">
        <v>10</v>
      </c>
      <c r="G21" s="302" t="s">
        <v>15</v>
      </c>
      <c r="H21" s="303">
        <v>0.1</v>
      </c>
      <c r="I21" s="304">
        <f t="shared" ref="I21" si="11">IFERROR((VLOOKUP(G21,S$6:T$8,2,FALSE)),"")</f>
        <v>3</v>
      </c>
      <c r="J21" s="281">
        <v>1.39</v>
      </c>
      <c r="K21" s="305">
        <f t="shared" si="10"/>
        <v>41.699999999999996</v>
      </c>
      <c r="L21" s="306">
        <f t="shared" ref="L21" si="12">IFERROR(((F21*I21)*J21)*(1-H21),"")</f>
        <v>37.529999999999994</v>
      </c>
      <c r="M21" s="307"/>
      <c r="N21" s="1310"/>
      <c r="O21" s="284"/>
      <c r="S21" s="2"/>
      <c r="T21" s="110"/>
    </row>
    <row r="22" spans="2:23" ht="18.600000000000001" thickBot="1" x14ac:dyDescent="0.4">
      <c r="B22" s="1295">
        <v>46256</v>
      </c>
      <c r="C22" s="1296"/>
      <c r="D22" s="275" t="s">
        <v>12</v>
      </c>
      <c r="E22" s="276" t="s">
        <v>199</v>
      </c>
      <c r="F22" s="277">
        <v>315</v>
      </c>
      <c r="G22" s="278" t="s">
        <v>428</v>
      </c>
      <c r="H22" s="279">
        <v>0.1</v>
      </c>
      <c r="I22" s="280">
        <f>IFERROR((VLOOKUP(G22,S$6:T$8,2,FALSE)),"")</f>
        <v>0.5</v>
      </c>
      <c r="J22" s="281">
        <v>1.39</v>
      </c>
      <c r="K22" s="282">
        <f t="shared" si="3"/>
        <v>218.92499999999998</v>
      </c>
      <c r="L22" s="283">
        <f t="shared" si="5"/>
        <v>197.0325</v>
      </c>
      <c r="M22" s="308">
        <f t="shared" si="6"/>
        <v>18.243749999999999</v>
      </c>
      <c r="N22" s="1293">
        <f>SUM(L22:L23)</f>
        <v>197.0325</v>
      </c>
      <c r="O22" s="292" t="str">
        <f>'Crushing Down Time Hours'!G10</f>
        <v xml:space="preserve">Material Habis hanya running 9 Jam </v>
      </c>
      <c r="Q22" s="4"/>
      <c r="S22" s="3"/>
      <c r="T22" s="109"/>
    </row>
    <row r="23" spans="2:23" ht="18.600000000000001" thickBot="1" x14ac:dyDescent="0.4">
      <c r="B23" s="1297"/>
      <c r="C23" s="1298"/>
      <c r="D23" s="285" t="s">
        <v>13</v>
      </c>
      <c r="E23" s="297"/>
      <c r="F23" s="290"/>
      <c r="G23" s="288"/>
      <c r="H23" s="289"/>
      <c r="I23" s="291" t="str">
        <f t="shared" si="4"/>
        <v/>
      </c>
      <c r="J23" s="281"/>
      <c r="K23" s="298" t="str">
        <f t="shared" si="3"/>
        <v/>
      </c>
      <c r="L23" s="294" t="str">
        <f t="shared" si="5"/>
        <v/>
      </c>
      <c r="M23" s="309" t="str">
        <f t="shared" si="6"/>
        <v/>
      </c>
      <c r="N23" s="1294"/>
      <c r="O23" s="284"/>
      <c r="P23" s="8"/>
      <c r="T23" s="109"/>
    </row>
    <row r="24" spans="2:23" ht="18.600000000000001" thickBot="1" x14ac:dyDescent="0.4">
      <c r="B24" s="1295">
        <v>46257</v>
      </c>
      <c r="C24" s="1296"/>
      <c r="D24" s="275" t="s">
        <v>12</v>
      </c>
      <c r="E24" s="276"/>
      <c r="F24" s="277"/>
      <c r="G24" s="278"/>
      <c r="H24" s="279"/>
      <c r="I24" s="280" t="str">
        <f t="shared" si="4"/>
        <v/>
      </c>
      <c r="J24" s="281"/>
      <c r="K24" s="282" t="str">
        <f t="shared" si="3"/>
        <v/>
      </c>
      <c r="L24" s="283" t="str">
        <f t="shared" si="5"/>
        <v/>
      </c>
      <c r="M24" s="283" t="str">
        <f t="shared" si="6"/>
        <v/>
      </c>
      <c r="N24" s="1293">
        <f>SUM(L24:L25)</f>
        <v>0</v>
      </c>
      <c r="O24" s="284"/>
    </row>
    <row r="25" spans="2:23" ht="18.600000000000001" thickBot="1" x14ac:dyDescent="0.4">
      <c r="B25" s="1297"/>
      <c r="C25" s="1298"/>
      <c r="D25" s="285" t="s">
        <v>13</v>
      </c>
      <c r="E25" s="297"/>
      <c r="F25" s="290"/>
      <c r="G25" s="288"/>
      <c r="H25" s="279"/>
      <c r="I25" s="291" t="str">
        <f t="shared" si="4"/>
        <v/>
      </c>
      <c r="J25" s="281"/>
      <c r="K25" s="298" t="str">
        <f t="shared" si="3"/>
        <v/>
      </c>
      <c r="L25" s="294" t="str">
        <f t="shared" si="5"/>
        <v/>
      </c>
      <c r="M25" s="295" t="str">
        <f t="shared" si="6"/>
        <v/>
      </c>
      <c r="N25" s="1294"/>
      <c r="O25" s="284"/>
      <c r="T25" s="3"/>
    </row>
    <row r="26" spans="2:23" ht="18.600000000000001" thickBot="1" x14ac:dyDescent="0.4">
      <c r="B26" s="1295">
        <v>46258</v>
      </c>
      <c r="C26" s="1296"/>
      <c r="D26" s="275" t="s">
        <v>12</v>
      </c>
      <c r="E26" s="276" t="s">
        <v>199</v>
      </c>
      <c r="F26" s="277">
        <v>234</v>
      </c>
      <c r="G26" s="278" t="s">
        <v>428</v>
      </c>
      <c r="H26" s="279">
        <v>0.1</v>
      </c>
      <c r="I26" s="280">
        <f t="shared" si="4"/>
        <v>0.5</v>
      </c>
      <c r="J26" s="281">
        <v>1.39</v>
      </c>
      <c r="K26" s="282">
        <f t="shared" si="3"/>
        <v>162.63</v>
      </c>
      <c r="L26" s="283">
        <f t="shared" si="5"/>
        <v>146.36699999999999</v>
      </c>
      <c r="M26" s="283">
        <f t="shared" si="6"/>
        <v>13.5525</v>
      </c>
      <c r="N26" s="1293">
        <f>SUM(L26:L27)</f>
        <v>165.13199999999998</v>
      </c>
      <c r="O26" s="284" t="str">
        <f>'Crushing Down Time Hours'!G12</f>
        <v>istirahat jam 12-13, material habis dan selesai jam 17:30</v>
      </c>
      <c r="P26" s="4"/>
      <c r="Q26" s="8"/>
      <c r="T26" s="2"/>
    </row>
    <row r="27" spans="2:23" ht="18.600000000000001" thickBot="1" x14ac:dyDescent="0.4">
      <c r="B27" s="1297"/>
      <c r="C27" s="1298"/>
      <c r="D27" s="285" t="s">
        <v>13</v>
      </c>
      <c r="E27" s="297" t="s">
        <v>169</v>
      </c>
      <c r="F27" s="290">
        <v>5</v>
      </c>
      <c r="G27" s="288" t="s">
        <v>15</v>
      </c>
      <c r="H27" s="289">
        <v>0.1</v>
      </c>
      <c r="I27" s="291">
        <f t="shared" si="4"/>
        <v>3</v>
      </c>
      <c r="J27" s="281">
        <v>1.39</v>
      </c>
      <c r="K27" s="310">
        <f t="shared" si="3"/>
        <v>20.849999999999998</v>
      </c>
      <c r="L27" s="294">
        <f t="shared" si="5"/>
        <v>18.764999999999997</v>
      </c>
      <c r="M27" s="295">
        <f t="shared" si="6"/>
        <v>1.7374999999999998</v>
      </c>
      <c r="N27" s="1294"/>
      <c r="O27" s="284"/>
    </row>
    <row r="28" spans="2:23" ht="18.600000000000001" thickBot="1" x14ac:dyDescent="0.4">
      <c r="B28" s="1295">
        <v>46259</v>
      </c>
      <c r="C28" s="1296"/>
      <c r="D28" s="275" t="s">
        <v>12</v>
      </c>
      <c r="E28" s="276"/>
      <c r="F28" s="277"/>
      <c r="G28" s="278"/>
      <c r="H28" s="279"/>
      <c r="I28" s="280" t="str">
        <f t="shared" si="4"/>
        <v/>
      </c>
      <c r="J28" s="281"/>
      <c r="K28" s="282" t="str">
        <f t="shared" si="3"/>
        <v/>
      </c>
      <c r="L28" s="283" t="str">
        <f>IFERROR(((F28*I28)*J28)*(1-H28),"")</f>
        <v/>
      </c>
      <c r="M28" s="283" t="str">
        <f t="shared" si="6"/>
        <v/>
      </c>
      <c r="N28" s="1293">
        <f>SUM(L28:L29)</f>
        <v>0</v>
      </c>
      <c r="O28" s="284"/>
    </row>
    <row r="29" spans="2:23" ht="18.600000000000001" thickBot="1" x14ac:dyDescent="0.4">
      <c r="B29" s="1297"/>
      <c r="C29" s="1298"/>
      <c r="D29" s="285" t="s">
        <v>13</v>
      </c>
      <c r="E29" s="297"/>
      <c r="F29" s="290"/>
      <c r="G29" s="288"/>
      <c r="H29" s="289"/>
      <c r="I29" s="280" t="str">
        <f t="shared" si="4"/>
        <v/>
      </c>
      <c r="J29" s="281"/>
      <c r="K29" s="282" t="str">
        <f t="shared" si="3"/>
        <v/>
      </c>
      <c r="L29" s="294" t="str">
        <f t="shared" si="5"/>
        <v/>
      </c>
      <c r="M29" s="295" t="str">
        <f t="shared" si="6"/>
        <v/>
      </c>
      <c r="N29" s="1294"/>
      <c r="O29" s="284"/>
      <c r="P29" s="8"/>
    </row>
    <row r="30" spans="2:23" ht="18.600000000000001" thickBot="1" x14ac:dyDescent="0.4">
      <c r="B30" s="1295">
        <v>46260</v>
      </c>
      <c r="C30" s="1296"/>
      <c r="D30" s="275" t="s">
        <v>12</v>
      </c>
      <c r="E30" s="276"/>
      <c r="F30" s="277"/>
      <c r="G30" s="278"/>
      <c r="H30" s="279"/>
      <c r="I30" s="280" t="str">
        <f t="shared" si="4"/>
        <v/>
      </c>
      <c r="J30" s="281"/>
      <c r="K30" s="282" t="str">
        <f t="shared" si="3"/>
        <v/>
      </c>
      <c r="L30" s="283" t="str">
        <f t="shared" si="5"/>
        <v/>
      </c>
      <c r="M30" s="283" t="str">
        <f t="shared" si="6"/>
        <v/>
      </c>
      <c r="N30" s="1293">
        <f t="shared" ref="N30" si="13">SUM(L30:L31)</f>
        <v>0</v>
      </c>
      <c r="O30" s="284"/>
    </row>
    <row r="31" spans="2:23" ht="18.600000000000001" thickBot="1" x14ac:dyDescent="0.4">
      <c r="B31" s="1297"/>
      <c r="C31" s="1298"/>
      <c r="D31" s="285" t="s">
        <v>13</v>
      </c>
      <c r="E31" s="297"/>
      <c r="F31" s="290"/>
      <c r="G31" s="288"/>
      <c r="H31" s="289"/>
      <c r="I31" s="280" t="str">
        <f t="shared" si="4"/>
        <v/>
      </c>
      <c r="J31" s="281"/>
      <c r="K31" s="282" t="str">
        <f t="shared" si="3"/>
        <v/>
      </c>
      <c r="L31" s="294" t="str">
        <f t="shared" si="5"/>
        <v/>
      </c>
      <c r="M31" s="295" t="str">
        <f t="shared" si="6"/>
        <v/>
      </c>
      <c r="N31" s="1294"/>
      <c r="O31" s="284"/>
    </row>
    <row r="32" spans="2:23" ht="54.6" thickBot="1" x14ac:dyDescent="0.4">
      <c r="B32" s="1295">
        <v>46261</v>
      </c>
      <c r="C32" s="1296"/>
      <c r="D32" s="275" t="s">
        <v>12</v>
      </c>
      <c r="E32" s="276" t="s">
        <v>416</v>
      </c>
      <c r="F32" s="277">
        <v>202</v>
      </c>
      <c r="G32" s="278" t="s">
        <v>428</v>
      </c>
      <c r="H32" s="279">
        <v>0.11</v>
      </c>
      <c r="I32" s="280">
        <f t="shared" si="4"/>
        <v>0.5</v>
      </c>
      <c r="J32" s="281">
        <v>1.39</v>
      </c>
      <c r="K32" s="282">
        <f t="shared" si="3"/>
        <v>140.38999999999999</v>
      </c>
      <c r="L32" s="283">
        <f t="shared" si="5"/>
        <v>124.94709999999999</v>
      </c>
      <c r="M32" s="283">
        <f t="shared" si="6"/>
        <v>11.699166666666665</v>
      </c>
      <c r="N32" s="1321">
        <f>SUM(L32:L33)</f>
        <v>124.94709999999999</v>
      </c>
      <c r="O32" s="380" t="str">
        <f>'Crushing Down Time Hours'!G15</f>
        <v>Start Crusher jam 10:00, dikarenakan bari loading material jam 08:00, pada jam 15:30-17:15 stop dikarenakan material stuck pada cone crusher</v>
      </c>
      <c r="S32" s="8"/>
      <c r="W32" s="8"/>
    </row>
    <row r="33" spans="2:24" ht="18.600000000000001" thickBot="1" x14ac:dyDescent="0.4">
      <c r="B33" s="1297"/>
      <c r="C33" s="1298"/>
      <c r="D33" s="285" t="s">
        <v>13</v>
      </c>
      <c r="E33" s="297"/>
      <c r="F33" s="290"/>
      <c r="G33" s="288"/>
      <c r="H33" s="289"/>
      <c r="I33" s="280" t="str">
        <f t="shared" si="4"/>
        <v/>
      </c>
      <c r="J33" s="281"/>
      <c r="K33" s="282" t="str">
        <f t="shared" si="3"/>
        <v/>
      </c>
      <c r="L33" s="294" t="str">
        <f t="shared" si="5"/>
        <v/>
      </c>
      <c r="M33" s="295" t="str">
        <f t="shared" si="6"/>
        <v/>
      </c>
      <c r="N33" s="1322"/>
      <c r="O33" s="284"/>
    </row>
    <row r="34" spans="2:24" ht="18.600000000000001" thickBot="1" x14ac:dyDescent="0.4">
      <c r="B34" s="1295">
        <v>46262</v>
      </c>
      <c r="C34" s="1296"/>
      <c r="D34" s="275" t="s">
        <v>12</v>
      </c>
      <c r="E34" s="276" t="s">
        <v>169</v>
      </c>
      <c r="F34" s="277">
        <v>290</v>
      </c>
      <c r="G34" s="278" t="s">
        <v>428</v>
      </c>
      <c r="H34" s="279">
        <v>0.11</v>
      </c>
      <c r="I34" s="280">
        <f t="shared" si="4"/>
        <v>0.5</v>
      </c>
      <c r="J34" s="281">
        <v>1.3</v>
      </c>
      <c r="K34" s="282">
        <f t="shared" si="3"/>
        <v>188.5</v>
      </c>
      <c r="L34" s="283">
        <f t="shared" si="5"/>
        <v>167.76500000000001</v>
      </c>
      <c r="M34" s="283">
        <f t="shared" si="6"/>
        <v>15.708333333333334</v>
      </c>
      <c r="N34" s="1321">
        <f>SUM(L34:L35)</f>
        <v>167.76500000000001</v>
      </c>
      <c r="O34" s="284" t="str">
        <f>'Crushing Down Time Hours'!G16</f>
        <v>Start Crusher jam 08:00, istirahat jam 11:00-13:00</v>
      </c>
      <c r="P34" s="9"/>
      <c r="Q34" s="9"/>
      <c r="R34" s="9"/>
      <c r="S34" s="3"/>
      <c r="T34" s="9"/>
      <c r="U34" s="9"/>
      <c r="V34" s="9"/>
      <c r="W34" s="3"/>
      <c r="X34" s="3"/>
    </row>
    <row r="35" spans="2:24" ht="18.600000000000001" thickBot="1" x14ac:dyDescent="0.4">
      <c r="B35" s="1297"/>
      <c r="C35" s="1298"/>
      <c r="D35" s="285" t="s">
        <v>13</v>
      </c>
      <c r="E35" s="297"/>
      <c r="F35" s="290"/>
      <c r="G35" s="288"/>
      <c r="H35" s="289"/>
      <c r="I35" s="280" t="str">
        <f t="shared" si="4"/>
        <v/>
      </c>
      <c r="J35" s="281"/>
      <c r="K35" s="282" t="str">
        <f t="shared" si="3"/>
        <v/>
      </c>
      <c r="L35" s="294" t="str">
        <f>IFERROR(((F35*I35)*J35)*(1-H35),"")</f>
        <v/>
      </c>
      <c r="M35" s="295" t="str">
        <f t="shared" si="6"/>
        <v/>
      </c>
      <c r="N35" s="1322"/>
      <c r="O35" s="284"/>
    </row>
    <row r="36" spans="2:24" ht="18.600000000000001" thickBot="1" x14ac:dyDescent="0.35">
      <c r="B36" s="1295">
        <v>46263</v>
      </c>
      <c r="C36" s="1296"/>
      <c r="D36" s="275" t="s">
        <v>12</v>
      </c>
      <c r="E36" s="276" t="s">
        <v>169</v>
      </c>
      <c r="F36" s="277">
        <v>411</v>
      </c>
      <c r="G36" s="278" t="s">
        <v>428</v>
      </c>
      <c r="H36" s="279">
        <v>0.1</v>
      </c>
      <c r="I36" s="280">
        <f t="shared" si="4"/>
        <v>0.5</v>
      </c>
      <c r="J36" s="281">
        <v>1.3</v>
      </c>
      <c r="K36" s="282">
        <f t="shared" si="3"/>
        <v>267.15000000000003</v>
      </c>
      <c r="L36" s="283">
        <f t="shared" si="5"/>
        <v>240.43500000000003</v>
      </c>
      <c r="M36" s="283">
        <f t="shared" ref="M36:M37" si="14">IFERROR((K36/12),"")</f>
        <v>22.262500000000003</v>
      </c>
      <c r="N36" s="1321">
        <f>SUM(L36:L37)</f>
        <v>240.43500000000003</v>
      </c>
      <c r="O36" s="1323" t="str">
        <f>'Crushing Down Time Hours'!G17</f>
        <v>istirahat jam 12-13, 14:00-15:00 ada loading material dari mining</v>
      </c>
    </row>
    <row r="37" spans="2:24" ht="18.600000000000001" thickBot="1" x14ac:dyDescent="0.35">
      <c r="B37" s="1297"/>
      <c r="C37" s="1298"/>
      <c r="D37" s="285" t="s">
        <v>13</v>
      </c>
      <c r="E37" s="297"/>
      <c r="F37" s="290"/>
      <c r="G37" s="288"/>
      <c r="H37" s="289"/>
      <c r="I37" s="280" t="str">
        <f t="shared" si="4"/>
        <v/>
      </c>
      <c r="J37" s="281"/>
      <c r="K37" s="282" t="str">
        <f t="shared" si="3"/>
        <v/>
      </c>
      <c r="L37" s="294" t="str">
        <f t="shared" si="5"/>
        <v/>
      </c>
      <c r="M37" s="295" t="str">
        <f t="shared" si="14"/>
        <v/>
      </c>
      <c r="N37" s="1322"/>
      <c r="O37" s="1324"/>
    </row>
    <row r="38" spans="2:24" ht="18.600000000000001" thickBot="1" x14ac:dyDescent="0.4">
      <c r="B38" s="1295">
        <v>46264</v>
      </c>
      <c r="C38" s="1296"/>
      <c r="D38" s="275" t="s">
        <v>12</v>
      </c>
      <c r="E38" s="276" t="s">
        <v>169</v>
      </c>
      <c r="F38" s="277">
        <v>92</v>
      </c>
      <c r="G38" s="278" t="s">
        <v>428</v>
      </c>
      <c r="H38" s="279">
        <v>0.1</v>
      </c>
      <c r="I38" s="280">
        <f t="shared" si="4"/>
        <v>0.5</v>
      </c>
      <c r="J38" s="281">
        <v>1.3</v>
      </c>
      <c r="K38" s="282">
        <f t="shared" si="3"/>
        <v>59.800000000000004</v>
      </c>
      <c r="L38" s="283">
        <f t="shared" si="5"/>
        <v>53.820000000000007</v>
      </c>
      <c r="M38" s="283">
        <f t="shared" si="6"/>
        <v>4.9833333333333334</v>
      </c>
      <c r="N38" s="1321">
        <f t="shared" ref="N38" si="15">SUM(L38:L39)</f>
        <v>53.820000000000007</v>
      </c>
      <c r="O38" s="284"/>
      <c r="Q38" s="4"/>
    </row>
    <row r="39" spans="2:24" ht="18.600000000000001" thickBot="1" x14ac:dyDescent="0.4">
      <c r="B39" s="1297"/>
      <c r="C39" s="1298"/>
      <c r="D39" s="285" t="s">
        <v>13</v>
      </c>
      <c r="E39" s="297"/>
      <c r="F39" s="290"/>
      <c r="G39" s="288"/>
      <c r="H39" s="289"/>
      <c r="I39" s="280" t="str">
        <f t="shared" si="4"/>
        <v/>
      </c>
      <c r="J39" s="281"/>
      <c r="K39" s="282" t="str">
        <f t="shared" si="3"/>
        <v/>
      </c>
      <c r="L39" s="294" t="str">
        <f t="shared" si="5"/>
        <v/>
      </c>
      <c r="M39" s="295" t="str">
        <f t="shared" si="6"/>
        <v/>
      </c>
      <c r="N39" s="1322"/>
      <c r="O39" s="284"/>
    </row>
    <row r="40" spans="2:24" ht="18.600000000000001" thickBot="1" x14ac:dyDescent="0.4">
      <c r="B40" s="1295">
        <v>46265</v>
      </c>
      <c r="C40" s="1296"/>
      <c r="D40" s="275" t="s">
        <v>12</v>
      </c>
      <c r="E40" s="276"/>
      <c r="F40" s="277"/>
      <c r="G40" s="278"/>
      <c r="H40" s="279"/>
      <c r="I40" s="280" t="str">
        <f t="shared" si="4"/>
        <v/>
      </c>
      <c r="J40" s="281"/>
      <c r="K40" s="282" t="str">
        <f t="shared" si="3"/>
        <v/>
      </c>
      <c r="L40" s="283" t="str">
        <f>IFERROR(((F40*I40)*J40)*(1-H40),"")</f>
        <v/>
      </c>
      <c r="M40" s="283" t="str">
        <f t="shared" si="6"/>
        <v/>
      </c>
      <c r="N40" s="1293">
        <f>SUM(L40:L41)</f>
        <v>0</v>
      </c>
      <c r="O40" s="284"/>
    </row>
    <row r="41" spans="2:24" ht="18.600000000000001" thickBot="1" x14ac:dyDescent="0.4">
      <c r="B41" s="1297"/>
      <c r="C41" s="1298"/>
      <c r="D41" s="285" t="s">
        <v>13</v>
      </c>
      <c r="E41" s="297"/>
      <c r="F41" s="290"/>
      <c r="G41" s="288"/>
      <c r="H41" s="289"/>
      <c r="I41" s="280" t="str">
        <f t="shared" si="4"/>
        <v/>
      </c>
      <c r="J41" s="281"/>
      <c r="K41" s="282" t="str">
        <f t="shared" si="3"/>
        <v/>
      </c>
      <c r="L41" s="294" t="str">
        <f t="shared" si="5"/>
        <v/>
      </c>
      <c r="M41" s="295" t="str">
        <f t="shared" si="6"/>
        <v/>
      </c>
      <c r="N41" s="1294"/>
      <c r="O41" s="284"/>
    </row>
    <row r="42" spans="2:24" ht="18.600000000000001" thickBot="1" x14ac:dyDescent="0.4">
      <c r="B42" s="1295">
        <v>46266</v>
      </c>
      <c r="C42" s="1296"/>
      <c r="D42" s="275" t="s">
        <v>12</v>
      </c>
      <c r="E42" s="311"/>
      <c r="F42" s="312"/>
      <c r="G42" s="313"/>
      <c r="H42" s="314"/>
      <c r="I42" s="280" t="str">
        <f t="shared" si="4"/>
        <v/>
      </c>
      <c r="J42" s="281"/>
      <c r="K42" s="282" t="str">
        <f t="shared" si="3"/>
        <v/>
      </c>
      <c r="L42" s="283" t="str">
        <f t="shared" si="5"/>
        <v/>
      </c>
      <c r="M42" s="283" t="str">
        <f t="shared" si="6"/>
        <v/>
      </c>
      <c r="N42" s="1293">
        <f t="shared" ref="N42" si="16">SUM(L42:L43)</f>
        <v>0</v>
      </c>
      <c r="O42" s="284"/>
    </row>
    <row r="43" spans="2:24" ht="18.600000000000001" thickBot="1" x14ac:dyDescent="0.4">
      <c r="B43" s="1297"/>
      <c r="C43" s="1298"/>
      <c r="D43" s="285" t="s">
        <v>13</v>
      </c>
      <c r="E43" s="297"/>
      <c r="F43" s="290"/>
      <c r="G43" s="288"/>
      <c r="H43" s="289"/>
      <c r="I43" s="280" t="str">
        <f t="shared" si="4"/>
        <v/>
      </c>
      <c r="J43" s="281"/>
      <c r="K43" s="282" t="str">
        <f t="shared" si="3"/>
        <v/>
      </c>
      <c r="L43" s="294" t="str">
        <f t="shared" si="5"/>
        <v/>
      </c>
      <c r="M43" s="295" t="str">
        <f t="shared" si="6"/>
        <v/>
      </c>
      <c r="N43" s="1294"/>
      <c r="O43" s="284"/>
    </row>
    <row r="44" spans="2:24" ht="18.600000000000001" thickBot="1" x14ac:dyDescent="0.4">
      <c r="B44" s="1295">
        <v>46267</v>
      </c>
      <c r="C44" s="1296"/>
      <c r="D44" s="275" t="s">
        <v>12</v>
      </c>
      <c r="E44" s="311"/>
      <c r="F44" s="312"/>
      <c r="G44" s="313"/>
      <c r="H44" s="314"/>
      <c r="I44" s="280" t="str">
        <f t="shared" si="4"/>
        <v/>
      </c>
      <c r="J44" s="281"/>
      <c r="K44" s="282" t="str">
        <f t="shared" si="3"/>
        <v/>
      </c>
      <c r="L44" s="283" t="str">
        <f t="shared" si="5"/>
        <v/>
      </c>
      <c r="M44" s="283" t="str">
        <f t="shared" si="6"/>
        <v/>
      </c>
      <c r="N44" s="1293">
        <f t="shared" ref="N44" si="17">SUM(L44:L45)</f>
        <v>0</v>
      </c>
      <c r="O44" s="284"/>
    </row>
    <row r="45" spans="2:24" ht="18.600000000000001" thickBot="1" x14ac:dyDescent="0.4">
      <c r="B45" s="1297"/>
      <c r="C45" s="1298"/>
      <c r="D45" s="285" t="s">
        <v>13</v>
      </c>
      <c r="E45" s="297"/>
      <c r="F45" s="290"/>
      <c r="G45" s="288"/>
      <c r="H45" s="289"/>
      <c r="I45" s="280" t="str">
        <f t="shared" si="4"/>
        <v/>
      </c>
      <c r="J45" s="281"/>
      <c r="K45" s="282" t="str">
        <f t="shared" si="3"/>
        <v/>
      </c>
      <c r="L45" s="315" t="str">
        <f t="shared" si="5"/>
        <v/>
      </c>
      <c r="M45" s="316" t="str">
        <f>IFERROR((K45/12),"")</f>
        <v/>
      </c>
      <c r="N45" s="1294"/>
      <c r="O45" s="284"/>
    </row>
    <row r="46" spans="2:24" ht="18.600000000000001" thickBot="1" x14ac:dyDescent="0.4">
      <c r="B46" s="1295">
        <v>46268</v>
      </c>
      <c r="C46" s="1296"/>
      <c r="D46" s="275" t="s">
        <v>12</v>
      </c>
      <c r="E46" s="311"/>
      <c r="F46" s="312"/>
      <c r="G46" s="313"/>
      <c r="H46" s="314"/>
      <c r="I46" s="280" t="str">
        <f t="shared" si="4"/>
        <v/>
      </c>
      <c r="J46" s="281"/>
      <c r="K46" s="282" t="str">
        <f t="shared" si="3"/>
        <v/>
      </c>
      <c r="L46" s="283" t="str">
        <f t="shared" si="5"/>
        <v/>
      </c>
      <c r="M46" s="283" t="str">
        <f t="shared" si="6"/>
        <v/>
      </c>
      <c r="N46" s="1293">
        <f t="shared" ref="N46:N58" si="18">SUM(L46:L47)</f>
        <v>0</v>
      </c>
      <c r="O46" s="284"/>
    </row>
    <row r="47" spans="2:24" ht="18.600000000000001" thickBot="1" x14ac:dyDescent="0.4">
      <c r="B47" s="1297"/>
      <c r="C47" s="1298"/>
      <c r="D47" s="285" t="s">
        <v>13</v>
      </c>
      <c r="E47" s="297"/>
      <c r="F47" s="290"/>
      <c r="G47" s="288"/>
      <c r="H47" s="289"/>
      <c r="I47" s="280" t="str">
        <f t="shared" si="4"/>
        <v/>
      </c>
      <c r="J47" s="281"/>
      <c r="K47" s="282" t="str">
        <f t="shared" si="3"/>
        <v/>
      </c>
      <c r="L47" s="294" t="str">
        <f t="shared" si="5"/>
        <v/>
      </c>
      <c r="M47" s="295" t="str">
        <f t="shared" si="6"/>
        <v/>
      </c>
      <c r="N47" s="1294"/>
      <c r="O47" s="284"/>
    </row>
    <row r="48" spans="2:24" ht="18.600000000000001" thickBot="1" x14ac:dyDescent="0.4">
      <c r="B48" s="1295">
        <v>46269</v>
      </c>
      <c r="C48" s="1296"/>
      <c r="D48" s="275" t="s">
        <v>12</v>
      </c>
      <c r="E48" s="311"/>
      <c r="F48" s="312"/>
      <c r="G48" s="313"/>
      <c r="H48" s="314"/>
      <c r="I48" s="280" t="str">
        <f t="shared" si="4"/>
        <v/>
      </c>
      <c r="J48" s="281"/>
      <c r="K48" s="282" t="str">
        <f t="shared" si="3"/>
        <v/>
      </c>
      <c r="L48" s="283" t="str">
        <f t="shared" si="5"/>
        <v/>
      </c>
      <c r="M48" s="283" t="str">
        <f>IFERROR((K48/12),"")</f>
        <v/>
      </c>
      <c r="N48" s="1293">
        <f t="shared" si="18"/>
        <v>0</v>
      </c>
      <c r="O48" s="284"/>
    </row>
    <row r="49" spans="2:22" ht="18.600000000000001" thickBot="1" x14ac:dyDescent="0.4">
      <c r="B49" s="1297"/>
      <c r="C49" s="1298"/>
      <c r="D49" s="285" t="s">
        <v>13</v>
      </c>
      <c r="E49" s="297"/>
      <c r="F49" s="290"/>
      <c r="G49" s="288"/>
      <c r="H49" s="289"/>
      <c r="I49" s="280" t="str">
        <f t="shared" si="4"/>
        <v/>
      </c>
      <c r="J49" s="281"/>
      <c r="K49" s="282" t="str">
        <f t="shared" si="3"/>
        <v/>
      </c>
      <c r="L49" s="294" t="str">
        <f t="shared" si="5"/>
        <v/>
      </c>
      <c r="M49" s="295" t="str">
        <f>IFERROR((K49/12),"")</f>
        <v/>
      </c>
      <c r="N49" s="1294"/>
      <c r="O49" s="284"/>
    </row>
    <row r="50" spans="2:22" ht="18.600000000000001" thickBot="1" x14ac:dyDescent="0.4">
      <c r="B50" s="1295">
        <v>46270</v>
      </c>
      <c r="C50" s="1296"/>
      <c r="D50" s="275" t="s">
        <v>12</v>
      </c>
      <c r="E50" s="311"/>
      <c r="F50" s="312"/>
      <c r="G50" s="313"/>
      <c r="H50" s="317"/>
      <c r="I50" s="280" t="str">
        <f t="shared" si="4"/>
        <v/>
      </c>
      <c r="J50" s="281"/>
      <c r="K50" s="282" t="str">
        <f t="shared" si="3"/>
        <v/>
      </c>
      <c r="L50" s="283" t="str">
        <f t="shared" si="5"/>
        <v/>
      </c>
      <c r="M50" s="283" t="str">
        <f t="shared" si="6"/>
        <v/>
      </c>
      <c r="N50" s="1293">
        <f t="shared" si="18"/>
        <v>0</v>
      </c>
      <c r="O50" s="284"/>
      <c r="R50" s="1">
        <f>180/12</f>
        <v>15</v>
      </c>
    </row>
    <row r="51" spans="2:22" ht="18.600000000000001" thickBot="1" x14ac:dyDescent="0.4">
      <c r="B51" s="1297"/>
      <c r="C51" s="1298"/>
      <c r="D51" s="285" t="s">
        <v>13</v>
      </c>
      <c r="E51" s="297"/>
      <c r="F51" s="290"/>
      <c r="G51" s="288"/>
      <c r="H51" s="289"/>
      <c r="I51" s="280" t="str">
        <f t="shared" si="4"/>
        <v/>
      </c>
      <c r="J51" s="281"/>
      <c r="K51" s="282" t="str">
        <f t="shared" si="3"/>
        <v/>
      </c>
      <c r="L51" s="294" t="str">
        <f t="shared" si="5"/>
        <v/>
      </c>
      <c r="M51" s="295" t="str">
        <f t="shared" si="6"/>
        <v/>
      </c>
      <c r="N51" s="1294"/>
      <c r="O51" s="284"/>
      <c r="P51" s="4"/>
    </row>
    <row r="52" spans="2:22" ht="18.600000000000001" thickBot="1" x14ac:dyDescent="0.4">
      <c r="B52" s="1295">
        <v>46271</v>
      </c>
      <c r="C52" s="1296"/>
      <c r="D52" s="275" t="s">
        <v>12</v>
      </c>
      <c r="E52" s="311"/>
      <c r="F52" s="312"/>
      <c r="G52" s="313"/>
      <c r="H52" s="314"/>
      <c r="I52" s="280" t="str">
        <f t="shared" si="4"/>
        <v/>
      </c>
      <c r="J52" s="281"/>
      <c r="K52" s="282" t="str">
        <f t="shared" si="3"/>
        <v/>
      </c>
      <c r="L52" s="283" t="str">
        <f t="shared" si="5"/>
        <v/>
      </c>
      <c r="M52" s="283" t="str">
        <f t="shared" si="6"/>
        <v/>
      </c>
      <c r="N52" s="1293">
        <f t="shared" si="18"/>
        <v>0</v>
      </c>
      <c r="O52" s="284"/>
    </row>
    <row r="53" spans="2:22" ht="18.600000000000001" thickBot="1" x14ac:dyDescent="0.4">
      <c r="B53" s="1297"/>
      <c r="C53" s="1298"/>
      <c r="D53" s="285" t="s">
        <v>13</v>
      </c>
      <c r="E53" s="297"/>
      <c r="F53" s="290"/>
      <c r="G53" s="288"/>
      <c r="H53" s="289"/>
      <c r="I53" s="280" t="str">
        <f>IFERROR((VLOOKUP(G53,S$6:T$8,2,FALSE)),"")</f>
        <v/>
      </c>
      <c r="J53" s="281"/>
      <c r="K53" s="282" t="str">
        <f>IFERROR((F53*I53*J53),"")</f>
        <v/>
      </c>
      <c r="L53" s="294" t="str">
        <f t="shared" si="5"/>
        <v/>
      </c>
      <c r="M53" s="295" t="str">
        <f t="shared" si="6"/>
        <v/>
      </c>
      <c r="N53" s="1294"/>
      <c r="O53" s="284"/>
      <c r="R53" s="1">
        <f>R50*4</f>
        <v>60</v>
      </c>
    </row>
    <row r="54" spans="2:22" ht="18.600000000000001" thickBot="1" x14ac:dyDescent="0.4">
      <c r="B54" s="1295">
        <v>46272</v>
      </c>
      <c r="C54" s="1296"/>
      <c r="D54" s="275" t="s">
        <v>12</v>
      </c>
      <c r="E54" s="297"/>
      <c r="F54" s="290"/>
      <c r="G54" s="313"/>
      <c r="H54" s="314"/>
      <c r="I54" s="280" t="str">
        <f t="shared" si="4"/>
        <v/>
      </c>
      <c r="J54" s="281"/>
      <c r="K54" s="282" t="str">
        <f t="shared" si="3"/>
        <v/>
      </c>
      <c r="L54" s="283" t="str">
        <f t="shared" si="5"/>
        <v/>
      </c>
      <c r="M54" s="283" t="str">
        <f t="shared" si="6"/>
        <v/>
      </c>
      <c r="N54" s="1293">
        <f t="shared" si="18"/>
        <v>0</v>
      </c>
      <c r="O54" s="284"/>
    </row>
    <row r="55" spans="2:22" ht="18.600000000000001" thickBot="1" x14ac:dyDescent="0.4">
      <c r="B55" s="1297"/>
      <c r="C55" s="1298"/>
      <c r="D55" s="285" t="s">
        <v>13</v>
      </c>
      <c r="E55" s="297"/>
      <c r="F55" s="290"/>
      <c r="G55" s="288"/>
      <c r="H55" s="289"/>
      <c r="I55" s="280" t="str">
        <f t="shared" si="4"/>
        <v/>
      </c>
      <c r="J55" s="281"/>
      <c r="K55" s="282" t="str">
        <f t="shared" si="3"/>
        <v/>
      </c>
      <c r="L55" s="294" t="str">
        <f t="shared" si="5"/>
        <v/>
      </c>
      <c r="M55" s="295" t="str">
        <f t="shared" si="6"/>
        <v/>
      </c>
      <c r="N55" s="1294"/>
      <c r="O55" s="284"/>
      <c r="R55" s="1">
        <f>R53*1.7</f>
        <v>102</v>
      </c>
      <c r="S55" s="1">
        <v>9570</v>
      </c>
    </row>
    <row r="56" spans="2:22" ht="18.600000000000001" thickBot="1" x14ac:dyDescent="0.4">
      <c r="B56" s="1295">
        <v>46273</v>
      </c>
      <c r="C56" s="1296"/>
      <c r="D56" s="275" t="s">
        <v>12</v>
      </c>
      <c r="E56" s="311"/>
      <c r="F56" s="312"/>
      <c r="G56" s="313"/>
      <c r="H56" s="314"/>
      <c r="I56" s="280" t="str">
        <f t="shared" si="4"/>
        <v/>
      </c>
      <c r="J56" s="281"/>
      <c r="K56" s="282" t="str">
        <f t="shared" si="3"/>
        <v/>
      </c>
      <c r="L56" s="283" t="str">
        <f t="shared" si="5"/>
        <v/>
      </c>
      <c r="M56" s="283" t="str">
        <f t="shared" si="6"/>
        <v/>
      </c>
      <c r="N56" s="1293">
        <f t="shared" si="18"/>
        <v>0</v>
      </c>
      <c r="O56" s="284"/>
      <c r="R56" s="4"/>
      <c r="S56" s="1">
        <v>9795</v>
      </c>
      <c r="U56" s="2"/>
      <c r="V56" s="2"/>
    </row>
    <row r="57" spans="2:22" ht="18.600000000000001" thickBot="1" x14ac:dyDescent="0.4">
      <c r="B57" s="1297"/>
      <c r="C57" s="1298"/>
      <c r="D57" s="285" t="s">
        <v>13</v>
      </c>
      <c r="E57" s="297"/>
      <c r="F57" s="290"/>
      <c r="G57" s="288"/>
      <c r="H57" s="289"/>
      <c r="I57" s="280" t="str">
        <f t="shared" si="4"/>
        <v/>
      </c>
      <c r="J57" s="281"/>
      <c r="K57" s="282" t="str">
        <f t="shared" si="3"/>
        <v/>
      </c>
      <c r="L57" s="294" t="str">
        <f t="shared" si="5"/>
        <v/>
      </c>
      <c r="M57" s="295" t="str">
        <f t="shared" si="6"/>
        <v/>
      </c>
      <c r="N57" s="1294"/>
      <c r="O57" s="284"/>
      <c r="Q57" s="4"/>
      <c r="R57" s="4"/>
      <c r="S57" s="1">
        <v>1190</v>
      </c>
    </row>
    <row r="58" spans="2:22" ht="18.600000000000001" thickBot="1" x14ac:dyDescent="0.4">
      <c r="B58" s="1295">
        <v>46274</v>
      </c>
      <c r="C58" s="1296"/>
      <c r="D58" s="275" t="s">
        <v>12</v>
      </c>
      <c r="E58" s="311"/>
      <c r="F58" s="312"/>
      <c r="G58" s="313"/>
      <c r="H58" s="314"/>
      <c r="I58" s="280" t="str">
        <f t="shared" si="4"/>
        <v/>
      </c>
      <c r="J58" s="281"/>
      <c r="K58" s="282" t="str">
        <f t="shared" si="3"/>
        <v/>
      </c>
      <c r="L58" s="283" t="str">
        <f t="shared" si="5"/>
        <v/>
      </c>
      <c r="M58" s="283" t="str">
        <f t="shared" si="6"/>
        <v/>
      </c>
      <c r="N58" s="1293">
        <f t="shared" si="18"/>
        <v>0</v>
      </c>
      <c r="O58" s="284"/>
      <c r="P58" s="8"/>
      <c r="S58" s="1">
        <f>S56-S57</f>
        <v>8605</v>
      </c>
    </row>
    <row r="59" spans="2:22" ht="18.600000000000001" thickBot="1" x14ac:dyDescent="0.4">
      <c r="B59" s="1297"/>
      <c r="C59" s="1298"/>
      <c r="D59" s="285" t="s">
        <v>13</v>
      </c>
      <c r="E59" s="297"/>
      <c r="F59" s="290"/>
      <c r="G59" s="288"/>
      <c r="H59" s="314"/>
      <c r="I59" s="280" t="str">
        <f t="shared" si="4"/>
        <v/>
      </c>
      <c r="J59" s="281"/>
      <c r="K59" s="298" t="str">
        <f t="shared" si="3"/>
        <v/>
      </c>
      <c r="L59" s="294" t="str">
        <f t="shared" si="5"/>
        <v/>
      </c>
      <c r="M59" s="295" t="str">
        <f t="shared" si="6"/>
        <v/>
      </c>
      <c r="N59" s="1294"/>
      <c r="O59" s="284"/>
      <c r="P59" s="4"/>
      <c r="S59" s="2">
        <f>(S55-S58)/S55</f>
        <v>0.10083594566353186</v>
      </c>
    </row>
    <row r="60" spans="2:22" ht="18.600000000000001" thickBot="1" x14ac:dyDescent="0.4">
      <c r="B60" s="1295">
        <v>46275</v>
      </c>
      <c r="C60" s="1296"/>
      <c r="D60" s="275" t="s">
        <v>12</v>
      </c>
      <c r="E60" s="311" t="s">
        <v>169</v>
      </c>
      <c r="F60" s="312">
        <v>113</v>
      </c>
      <c r="G60" s="313" t="s">
        <v>428</v>
      </c>
      <c r="H60" s="314">
        <v>0.1</v>
      </c>
      <c r="I60" s="280">
        <f t="shared" si="4"/>
        <v>0.5</v>
      </c>
      <c r="J60" s="281">
        <v>1.3</v>
      </c>
      <c r="K60" s="282">
        <f t="shared" si="3"/>
        <v>73.45</v>
      </c>
      <c r="L60" s="283">
        <f t="shared" si="5"/>
        <v>66.105000000000004</v>
      </c>
      <c r="M60" s="308">
        <f>IFERROR((K60/12),"")</f>
        <v>6.1208333333333336</v>
      </c>
      <c r="N60" s="1303">
        <f>SUM(L60:L61)</f>
        <v>73.125</v>
      </c>
      <c r="O60" s="284"/>
      <c r="P60" s="8"/>
    </row>
    <row r="61" spans="2:22" ht="18.600000000000001" thickBot="1" x14ac:dyDescent="0.4">
      <c r="B61" s="1297"/>
      <c r="C61" s="1298"/>
      <c r="D61" s="285" t="s">
        <v>13</v>
      </c>
      <c r="E61" s="297" t="s">
        <v>169</v>
      </c>
      <c r="F61" s="290">
        <v>2</v>
      </c>
      <c r="G61" s="288" t="s">
        <v>15</v>
      </c>
      <c r="H61" s="289">
        <v>0.1</v>
      </c>
      <c r="I61" s="280">
        <f t="shared" si="4"/>
        <v>3</v>
      </c>
      <c r="J61" s="281">
        <v>1.3</v>
      </c>
      <c r="K61" s="298">
        <f t="shared" si="3"/>
        <v>7.8000000000000007</v>
      </c>
      <c r="L61" s="294">
        <f t="shared" si="5"/>
        <v>7.0200000000000005</v>
      </c>
      <c r="M61" s="309">
        <f t="shared" si="6"/>
        <v>0.65</v>
      </c>
      <c r="N61" s="1304"/>
      <c r="O61" s="284"/>
      <c r="P61" s="8"/>
    </row>
    <row r="62" spans="2:22" ht="18.600000000000001" thickBot="1" x14ac:dyDescent="0.4">
      <c r="B62" s="1295">
        <v>46276</v>
      </c>
      <c r="C62" s="1296"/>
      <c r="D62" s="275" t="s">
        <v>12</v>
      </c>
      <c r="E62" s="311"/>
      <c r="F62" s="312"/>
      <c r="G62" s="313"/>
      <c r="H62" s="314"/>
      <c r="I62" s="280" t="str">
        <f t="shared" si="4"/>
        <v/>
      </c>
      <c r="J62" s="281"/>
      <c r="K62" s="282" t="str">
        <f t="shared" ref="K62:K63" si="19">IFERROR((F62*I62*J62),"")</f>
        <v/>
      </c>
      <c r="L62" s="283" t="str">
        <f t="shared" ref="L62:L63" si="20">IFERROR(((F62*I62)*J62)*(1-H62),"")</f>
        <v/>
      </c>
      <c r="M62" s="308" t="str">
        <f t="shared" ref="M62:M63" si="21">IFERROR((K62/12),"")</f>
        <v/>
      </c>
      <c r="N62" s="1303">
        <f>SUM(L62:L63)</f>
        <v>0</v>
      </c>
      <c r="O62" s="284"/>
      <c r="P62" s="8"/>
    </row>
    <row r="63" spans="2:22" ht="18.600000000000001" thickBot="1" x14ac:dyDescent="0.4">
      <c r="B63" s="1297"/>
      <c r="C63" s="1298"/>
      <c r="D63" s="285" t="s">
        <v>13</v>
      </c>
      <c r="E63" s="297"/>
      <c r="F63" s="290"/>
      <c r="G63" s="288"/>
      <c r="H63" s="289"/>
      <c r="I63" s="280" t="str">
        <f t="shared" si="4"/>
        <v/>
      </c>
      <c r="J63" s="281"/>
      <c r="K63" s="298" t="str">
        <f t="shared" si="19"/>
        <v/>
      </c>
      <c r="L63" s="294" t="str">
        <f t="shared" si="20"/>
        <v/>
      </c>
      <c r="M63" s="309" t="str">
        <f t="shared" si="21"/>
        <v/>
      </c>
      <c r="N63" s="1304"/>
      <c r="O63" s="284"/>
      <c r="P63" s="8"/>
    </row>
    <row r="64" spans="2:22" ht="18.600000000000001" thickBot="1" x14ac:dyDescent="0.4">
      <c r="B64" s="1295">
        <v>46277</v>
      </c>
      <c r="C64" s="1296"/>
      <c r="D64" s="275" t="s">
        <v>12</v>
      </c>
      <c r="E64" s="311" t="s">
        <v>169</v>
      </c>
      <c r="F64" s="312">
        <v>329</v>
      </c>
      <c r="G64" s="313" t="s">
        <v>428</v>
      </c>
      <c r="H64" s="314">
        <v>0.1</v>
      </c>
      <c r="I64" s="280">
        <f t="shared" si="4"/>
        <v>0.5</v>
      </c>
      <c r="J64" s="281">
        <v>1.3</v>
      </c>
      <c r="K64" s="282">
        <f t="shared" ref="K64:K65" si="22">IFERROR((F64*I64*J64),"")</f>
        <v>213.85</v>
      </c>
      <c r="L64" s="283">
        <f t="shared" ref="L64:L65" si="23">IFERROR(((F64*I64)*J64)*(1-H64),"")</f>
        <v>192.465</v>
      </c>
      <c r="M64" s="308">
        <f t="shared" ref="M64:M65" si="24">IFERROR((K64/12),"")</f>
        <v>17.820833333333333</v>
      </c>
      <c r="N64" s="1303">
        <f>SUM(L64:L65)</f>
        <v>328.77</v>
      </c>
      <c r="O64" s="284"/>
      <c r="P64" s="8"/>
    </row>
    <row r="65" spans="2:16" ht="18.600000000000001" thickBot="1" x14ac:dyDescent="0.4">
      <c r="B65" s="1297"/>
      <c r="C65" s="1298"/>
      <c r="D65" s="285" t="s">
        <v>13</v>
      </c>
      <c r="E65" s="297" t="s">
        <v>553</v>
      </c>
      <c r="F65" s="290">
        <v>233</v>
      </c>
      <c r="G65" s="288" t="s">
        <v>428</v>
      </c>
      <c r="H65" s="289">
        <v>0.1</v>
      </c>
      <c r="I65" s="280">
        <f t="shared" si="4"/>
        <v>0.5</v>
      </c>
      <c r="J65" s="281">
        <v>1.3</v>
      </c>
      <c r="K65" s="298">
        <f t="shared" si="22"/>
        <v>151.45000000000002</v>
      </c>
      <c r="L65" s="294">
        <f t="shared" si="23"/>
        <v>136.30500000000001</v>
      </c>
      <c r="M65" s="309">
        <f t="shared" si="24"/>
        <v>12.620833333333335</v>
      </c>
      <c r="N65" s="1304"/>
      <c r="O65" s="284"/>
      <c r="P65" s="8"/>
    </row>
    <row r="66" spans="2:16" ht="18.600000000000001" thickBot="1" x14ac:dyDescent="0.4">
      <c r="B66" s="1295">
        <v>46278</v>
      </c>
      <c r="C66" s="1296"/>
      <c r="D66" s="275" t="s">
        <v>12</v>
      </c>
      <c r="E66" s="311" t="s">
        <v>623</v>
      </c>
      <c r="F66" s="312">
        <v>204</v>
      </c>
      <c r="G66" s="313" t="s">
        <v>428</v>
      </c>
      <c r="H66" s="314">
        <v>0.1</v>
      </c>
      <c r="I66" s="280">
        <f t="shared" si="4"/>
        <v>0.5</v>
      </c>
      <c r="J66" s="281">
        <v>1.3</v>
      </c>
      <c r="K66" s="282">
        <f t="shared" ref="K66:K67" si="25">IFERROR((F66*I66*J66),"")</f>
        <v>132.6</v>
      </c>
      <c r="L66" s="283">
        <f t="shared" ref="L66:L67" si="26">IFERROR(((F66*I66)*J66)*(1-H66),"")</f>
        <v>119.34</v>
      </c>
      <c r="M66" s="308">
        <f t="shared" ref="M66:M67" si="27">IFERROR((K66/12),"")</f>
        <v>11.049999999999999</v>
      </c>
      <c r="N66" s="1303">
        <f>SUM(L66:L67)</f>
        <v>262.66500000000002</v>
      </c>
      <c r="O66" s="284"/>
      <c r="P66" s="8"/>
    </row>
    <row r="67" spans="2:16" ht="18.600000000000001" thickBot="1" x14ac:dyDescent="0.4">
      <c r="B67" s="1297"/>
      <c r="C67" s="1298"/>
      <c r="D67" s="285" t="s">
        <v>13</v>
      </c>
      <c r="E67" s="297" t="s">
        <v>169</v>
      </c>
      <c r="F67" s="290">
        <v>245</v>
      </c>
      <c r="G67" s="288" t="s">
        <v>428</v>
      </c>
      <c r="H67" s="289">
        <v>0.1</v>
      </c>
      <c r="I67" s="280">
        <f t="shared" si="4"/>
        <v>0.5</v>
      </c>
      <c r="J67" s="281">
        <v>1.3</v>
      </c>
      <c r="K67" s="298">
        <f t="shared" si="25"/>
        <v>159.25</v>
      </c>
      <c r="L67" s="294">
        <f t="shared" si="26"/>
        <v>143.32500000000002</v>
      </c>
      <c r="M67" s="309">
        <f t="shared" si="27"/>
        <v>13.270833333333334</v>
      </c>
      <c r="N67" s="1304"/>
      <c r="O67" s="284"/>
      <c r="P67" s="8"/>
    </row>
    <row r="68" spans="2:16" ht="18.600000000000001" thickBot="1" x14ac:dyDescent="0.4">
      <c r="B68" s="1295">
        <v>46279</v>
      </c>
      <c r="C68" s="1296"/>
      <c r="D68" s="275" t="s">
        <v>12</v>
      </c>
      <c r="E68" s="311"/>
      <c r="F68" s="312"/>
      <c r="G68" s="313"/>
      <c r="H68" s="314"/>
      <c r="I68" s="280" t="str">
        <f t="shared" si="4"/>
        <v/>
      </c>
      <c r="J68" s="281"/>
      <c r="K68" s="282" t="str">
        <f t="shared" ref="K68:K75" si="28">IFERROR((F68*I68*J68),"")</f>
        <v/>
      </c>
      <c r="L68" s="283" t="str">
        <f t="shared" ref="L68:L77" si="29">IFERROR(((F68*I68)*J68)*(1-H68),"")</f>
        <v/>
      </c>
      <c r="M68" s="308" t="str">
        <f t="shared" ref="M68:M75" si="30">IFERROR((K68/12),"")</f>
        <v/>
      </c>
      <c r="N68" s="1305">
        <f t="shared" ref="N68" si="31">SUM(L68:L69)</f>
        <v>0</v>
      </c>
      <c r="O68" s="284"/>
      <c r="P68" s="8"/>
    </row>
    <row r="69" spans="2:16" ht="18.600000000000001" thickBot="1" x14ac:dyDescent="0.4">
      <c r="B69" s="1297"/>
      <c r="C69" s="1298"/>
      <c r="D69" s="285" t="s">
        <v>13</v>
      </c>
      <c r="E69" s="297"/>
      <c r="F69" s="290"/>
      <c r="G69" s="288"/>
      <c r="H69" s="289"/>
      <c r="I69" s="280" t="str">
        <f t="shared" si="4"/>
        <v/>
      </c>
      <c r="J69" s="281"/>
      <c r="K69" s="310" t="str">
        <f t="shared" si="28"/>
        <v/>
      </c>
      <c r="L69" s="294" t="str">
        <f t="shared" si="29"/>
        <v/>
      </c>
      <c r="M69" s="309" t="str">
        <f t="shared" si="30"/>
        <v/>
      </c>
      <c r="N69" s="1306"/>
      <c r="O69" s="284"/>
      <c r="P69" s="8"/>
    </row>
    <row r="70" spans="2:16" ht="18.600000000000001" thickBot="1" x14ac:dyDescent="0.4">
      <c r="B70" s="1295">
        <v>46280</v>
      </c>
      <c r="C70" s="1296"/>
      <c r="D70" s="275" t="s">
        <v>12</v>
      </c>
      <c r="E70" s="311"/>
      <c r="F70" s="312"/>
      <c r="G70" s="313"/>
      <c r="H70" s="314"/>
      <c r="I70" s="280" t="str">
        <f t="shared" si="4"/>
        <v/>
      </c>
      <c r="J70" s="281"/>
      <c r="K70" s="282" t="str">
        <f t="shared" si="28"/>
        <v/>
      </c>
      <c r="L70" s="283" t="str">
        <f t="shared" si="29"/>
        <v/>
      </c>
      <c r="M70" s="308" t="str">
        <f t="shared" si="30"/>
        <v/>
      </c>
      <c r="N70" s="1305">
        <f t="shared" ref="N70" si="32">SUM(L70:L71)</f>
        <v>0</v>
      </c>
      <c r="O70" s="284"/>
      <c r="P70" s="8"/>
    </row>
    <row r="71" spans="2:16" ht="18.600000000000001" thickBot="1" x14ac:dyDescent="0.4">
      <c r="B71" s="1297"/>
      <c r="C71" s="1298"/>
      <c r="D71" s="285" t="s">
        <v>13</v>
      </c>
      <c r="E71" s="297"/>
      <c r="F71" s="290"/>
      <c r="G71" s="288"/>
      <c r="H71" s="289"/>
      <c r="I71" s="280" t="str">
        <f t="shared" si="4"/>
        <v/>
      </c>
      <c r="J71" s="281"/>
      <c r="K71" s="310" t="str">
        <f t="shared" si="28"/>
        <v/>
      </c>
      <c r="L71" s="294" t="str">
        <f t="shared" si="29"/>
        <v/>
      </c>
      <c r="M71" s="309" t="str">
        <f t="shared" si="30"/>
        <v/>
      </c>
      <c r="N71" s="1306"/>
      <c r="O71" s="284"/>
      <c r="P71" s="8"/>
    </row>
    <row r="72" spans="2:16" ht="18.600000000000001" thickBot="1" x14ac:dyDescent="0.4">
      <c r="B72" s="1295">
        <v>46281</v>
      </c>
      <c r="C72" s="1296"/>
      <c r="D72" s="275" t="s">
        <v>12</v>
      </c>
      <c r="E72" s="311"/>
      <c r="F72" s="312"/>
      <c r="G72" s="313"/>
      <c r="H72" s="314"/>
      <c r="I72" s="280" t="str">
        <f t="shared" si="4"/>
        <v/>
      </c>
      <c r="J72" s="281"/>
      <c r="K72" s="282" t="str">
        <f t="shared" si="28"/>
        <v/>
      </c>
      <c r="L72" s="283" t="str">
        <f t="shared" si="29"/>
        <v/>
      </c>
      <c r="M72" s="308" t="str">
        <f t="shared" si="30"/>
        <v/>
      </c>
      <c r="N72" s="1305">
        <f t="shared" ref="N72" si="33">SUM(L72:L73)</f>
        <v>0</v>
      </c>
      <c r="O72" s="284"/>
      <c r="P72" s="8"/>
    </row>
    <row r="73" spans="2:16" ht="18.600000000000001" thickBot="1" x14ac:dyDescent="0.4">
      <c r="B73" s="1297"/>
      <c r="C73" s="1298"/>
      <c r="D73" s="285" t="s">
        <v>13</v>
      </c>
      <c r="E73" s="297"/>
      <c r="F73" s="290"/>
      <c r="G73" s="288"/>
      <c r="H73" s="289"/>
      <c r="I73" s="280" t="str">
        <f t="shared" si="4"/>
        <v/>
      </c>
      <c r="J73" s="281"/>
      <c r="K73" s="310" t="str">
        <f t="shared" si="28"/>
        <v/>
      </c>
      <c r="L73" s="294" t="str">
        <f t="shared" si="29"/>
        <v/>
      </c>
      <c r="M73" s="309" t="str">
        <f t="shared" si="30"/>
        <v/>
      </c>
      <c r="N73" s="1306"/>
      <c r="O73" s="284"/>
      <c r="P73" s="8"/>
    </row>
    <row r="74" spans="2:16" ht="18.600000000000001" thickBot="1" x14ac:dyDescent="0.4">
      <c r="B74" s="1295">
        <v>46282</v>
      </c>
      <c r="C74" s="1296"/>
      <c r="D74" s="275" t="s">
        <v>12</v>
      </c>
      <c r="E74" s="311"/>
      <c r="F74" s="312"/>
      <c r="G74" s="313"/>
      <c r="H74" s="314"/>
      <c r="I74" s="280" t="str">
        <f t="shared" si="4"/>
        <v/>
      </c>
      <c r="J74" s="281"/>
      <c r="K74" s="282" t="str">
        <f t="shared" si="28"/>
        <v/>
      </c>
      <c r="L74" s="283" t="str">
        <f t="shared" si="29"/>
        <v/>
      </c>
      <c r="M74" s="308" t="str">
        <f t="shared" si="30"/>
        <v/>
      </c>
      <c r="N74" s="1305">
        <f t="shared" ref="N74" si="34">SUM(L74:L75)</f>
        <v>0</v>
      </c>
      <c r="O74" s="284"/>
      <c r="P74" s="8"/>
    </row>
    <row r="75" spans="2:16" ht="18.600000000000001" thickBot="1" x14ac:dyDescent="0.4">
      <c r="B75" s="1297"/>
      <c r="C75" s="1298"/>
      <c r="D75" s="285" t="s">
        <v>13</v>
      </c>
      <c r="E75" s="297"/>
      <c r="F75" s="290"/>
      <c r="G75" s="288"/>
      <c r="H75" s="289"/>
      <c r="I75" s="280" t="str">
        <f t="shared" si="4"/>
        <v/>
      </c>
      <c r="J75" s="281"/>
      <c r="K75" s="310" t="str">
        <f t="shared" si="28"/>
        <v/>
      </c>
      <c r="L75" s="294" t="str">
        <f t="shared" si="29"/>
        <v/>
      </c>
      <c r="M75" s="309" t="str">
        <f t="shared" si="30"/>
        <v/>
      </c>
      <c r="N75" s="1306"/>
      <c r="O75" s="284"/>
      <c r="P75" s="8"/>
    </row>
    <row r="76" spans="2:16" ht="18.600000000000001" thickBot="1" x14ac:dyDescent="0.4">
      <c r="B76" s="1295">
        <v>46283</v>
      </c>
      <c r="C76" s="1296"/>
      <c r="D76" s="275" t="s">
        <v>12</v>
      </c>
      <c r="E76" s="311"/>
      <c r="F76" s="312"/>
      <c r="G76" s="313"/>
      <c r="H76" s="314"/>
      <c r="I76" s="280"/>
      <c r="J76" s="281"/>
      <c r="K76" s="282"/>
      <c r="L76" s="294">
        <f t="shared" si="29"/>
        <v>0</v>
      </c>
      <c r="M76" s="308"/>
      <c r="N76" s="1305">
        <f>SUM(L76:L77)</f>
        <v>201.24</v>
      </c>
      <c r="O76" s="284" t="s">
        <v>639</v>
      </c>
      <c r="P76" s="8"/>
    </row>
    <row r="77" spans="2:16" ht="18.600000000000001" thickBot="1" x14ac:dyDescent="0.4">
      <c r="B77" s="1297"/>
      <c r="C77" s="1298"/>
      <c r="D77" s="285" t="s">
        <v>13</v>
      </c>
      <c r="E77" s="297" t="s">
        <v>169</v>
      </c>
      <c r="F77" s="290">
        <v>360</v>
      </c>
      <c r="G77" s="288" t="s">
        <v>428</v>
      </c>
      <c r="H77" s="289">
        <v>0.14000000000000001</v>
      </c>
      <c r="I77" s="280">
        <f t="shared" si="4"/>
        <v>0.5</v>
      </c>
      <c r="J77" s="281">
        <v>1.3</v>
      </c>
      <c r="K77" s="298">
        <f t="shared" ref="K77:K80" si="35">IFERROR((F77*I77*J77),"")</f>
        <v>234</v>
      </c>
      <c r="L77" s="1003">
        <f t="shared" si="29"/>
        <v>201.24</v>
      </c>
      <c r="M77" s="1004">
        <f t="shared" ref="M77:M80" si="36">IFERROR((K77/12),"")</f>
        <v>19.5</v>
      </c>
      <c r="N77" s="1306"/>
      <c r="O77" s="284" t="s">
        <v>640</v>
      </c>
      <c r="P77" s="8"/>
    </row>
    <row r="78" spans="2:16" ht="18" x14ac:dyDescent="0.35">
      <c r="B78" s="1295">
        <v>46284</v>
      </c>
      <c r="C78" s="1296"/>
      <c r="D78" s="985" t="s">
        <v>12</v>
      </c>
      <c r="E78" s="1005" t="s">
        <v>169</v>
      </c>
      <c r="F78" s="1006">
        <v>178</v>
      </c>
      <c r="G78" s="1007" t="s">
        <v>14</v>
      </c>
      <c r="H78" s="1008">
        <v>0.13</v>
      </c>
      <c r="I78" s="1009">
        <f t="shared" si="4"/>
        <v>0.7</v>
      </c>
      <c r="J78" s="1010">
        <v>1.3</v>
      </c>
      <c r="K78" s="1011">
        <f t="shared" si="35"/>
        <v>161.97999999999999</v>
      </c>
      <c r="L78" s="1012">
        <f t="shared" ref="L78:L80" si="37">IFERROR(((F78*I78)*J78)*(1-H78),"")</f>
        <v>140.92259999999999</v>
      </c>
      <c r="M78" s="1013">
        <f t="shared" si="36"/>
        <v>13.498333333333333</v>
      </c>
      <c r="N78" s="1303">
        <f>SUM(L78:L80)</f>
        <v>324.20960000000002</v>
      </c>
      <c r="O78" s="284" t="s">
        <v>639</v>
      </c>
      <c r="P78" s="8"/>
    </row>
    <row r="79" spans="2:16" ht="18" x14ac:dyDescent="0.35">
      <c r="B79" s="1317"/>
      <c r="C79" s="1318"/>
      <c r="D79" s="1016" t="s">
        <v>12</v>
      </c>
      <c r="E79" s="1017" t="s">
        <v>169</v>
      </c>
      <c r="F79" s="1018">
        <v>10</v>
      </c>
      <c r="G79" s="1019" t="s">
        <v>15</v>
      </c>
      <c r="H79" s="1020">
        <v>9.1999999999999998E-2</v>
      </c>
      <c r="I79" s="1021">
        <f t="shared" ref="I79" si="38">IFERROR((VLOOKUP(G79,S$6:T$8,2,FALSE)),"")</f>
        <v>3</v>
      </c>
      <c r="J79" s="1022">
        <v>1.3</v>
      </c>
      <c r="K79" s="1023">
        <f t="shared" ref="K79" si="39">IFERROR((F79*I79*J79),"")</f>
        <v>39</v>
      </c>
      <c r="L79" s="1023">
        <f t="shared" ref="L79" si="40">IFERROR(((F79*I79)*J79)*(1-H79),"")</f>
        <v>35.411999999999999</v>
      </c>
      <c r="M79" s="1023">
        <f t="shared" ref="M79" si="41">IFERROR((K79/12),"")</f>
        <v>3.25</v>
      </c>
      <c r="N79" s="1303"/>
      <c r="O79" s="284"/>
      <c r="P79" s="8"/>
    </row>
    <row r="80" spans="2:16" ht="18.600000000000001" thickBot="1" x14ac:dyDescent="0.4">
      <c r="B80" s="1297"/>
      <c r="C80" s="1298"/>
      <c r="D80" s="299" t="s">
        <v>13</v>
      </c>
      <c r="E80" s="286" t="s">
        <v>169</v>
      </c>
      <c r="F80" s="287">
        <v>250</v>
      </c>
      <c r="G80" s="302" t="s">
        <v>428</v>
      </c>
      <c r="H80" s="303">
        <v>0.09</v>
      </c>
      <c r="I80" s="304">
        <f t="shared" si="4"/>
        <v>0.5</v>
      </c>
      <c r="J80" s="1063">
        <v>1.3</v>
      </c>
      <c r="K80" s="305">
        <f t="shared" si="35"/>
        <v>162.5</v>
      </c>
      <c r="L80" s="1064">
        <f t="shared" si="37"/>
        <v>147.875</v>
      </c>
      <c r="M80" s="1065">
        <f t="shared" si="36"/>
        <v>13.541666666666666</v>
      </c>
      <c r="N80" s="1304"/>
      <c r="O80" s="284"/>
      <c r="P80" s="8"/>
    </row>
    <row r="81" spans="2:16" ht="18.600000000000001" thickBot="1" x14ac:dyDescent="0.4">
      <c r="B81" s="1295">
        <v>46285</v>
      </c>
      <c r="C81" s="1296"/>
      <c r="D81" s="1016" t="s">
        <v>12</v>
      </c>
      <c r="E81" s="311" t="s">
        <v>169</v>
      </c>
      <c r="F81" s="312">
        <v>50</v>
      </c>
      <c r="G81" s="1019" t="s">
        <v>14</v>
      </c>
      <c r="H81" s="1020">
        <v>0.1</v>
      </c>
      <c r="I81" s="1021">
        <f t="shared" si="4"/>
        <v>0.7</v>
      </c>
      <c r="J81" s="1022">
        <v>1.3</v>
      </c>
      <c r="K81" s="1023">
        <f t="shared" ref="K81:K85" si="42">IFERROR((F81*I81*J81),"")</f>
        <v>45.5</v>
      </c>
      <c r="L81" s="1069">
        <f t="shared" ref="L81:L85" si="43">IFERROR(((F81*I81)*J81)*(1-H81),"")</f>
        <v>40.950000000000003</v>
      </c>
      <c r="M81" s="1069">
        <f t="shared" ref="M81:M85" si="44">IFERROR((K81/12),"")</f>
        <v>3.7916666666666665</v>
      </c>
      <c r="N81" s="1303">
        <f t="shared" ref="N81" si="45">SUM(L81:L83)</f>
        <v>209.989</v>
      </c>
      <c r="O81" s="284" t="s">
        <v>639</v>
      </c>
      <c r="P81" s="8"/>
    </row>
    <row r="82" spans="2:16" ht="18.600000000000001" thickBot="1" x14ac:dyDescent="0.4">
      <c r="B82" s="1317"/>
      <c r="C82" s="1318"/>
      <c r="D82" s="1016" t="s">
        <v>12</v>
      </c>
      <c r="E82" s="286" t="s">
        <v>169</v>
      </c>
      <c r="F82" s="287">
        <v>20</v>
      </c>
      <c r="G82" s="1019" t="s">
        <v>428</v>
      </c>
      <c r="H82" s="1020">
        <v>0.1</v>
      </c>
      <c r="I82" s="1021">
        <f t="shared" si="4"/>
        <v>0.5</v>
      </c>
      <c r="J82" s="1022">
        <v>1.3</v>
      </c>
      <c r="K82" s="1023">
        <f t="shared" si="42"/>
        <v>13</v>
      </c>
      <c r="L82" s="1069">
        <f t="shared" si="43"/>
        <v>11.700000000000001</v>
      </c>
      <c r="M82" s="1069">
        <f t="shared" si="44"/>
        <v>1.0833333333333333</v>
      </c>
      <c r="N82" s="1303"/>
      <c r="O82" s="284"/>
      <c r="P82" s="8"/>
    </row>
    <row r="83" spans="2:16" ht="18.600000000000001" thickBot="1" x14ac:dyDescent="0.4">
      <c r="B83" s="1297"/>
      <c r="C83" s="1298"/>
      <c r="D83" s="1016" t="s">
        <v>13</v>
      </c>
      <c r="E83" s="297" t="s">
        <v>553</v>
      </c>
      <c r="F83" s="290">
        <v>190</v>
      </c>
      <c r="G83" s="1019" t="s">
        <v>14</v>
      </c>
      <c r="H83" s="1020">
        <v>0.09</v>
      </c>
      <c r="I83" s="1021">
        <f t="shared" si="4"/>
        <v>0.7</v>
      </c>
      <c r="J83" s="1022">
        <v>1.3</v>
      </c>
      <c r="K83" s="1023">
        <f t="shared" si="42"/>
        <v>172.9</v>
      </c>
      <c r="L83" s="1069">
        <f t="shared" si="43"/>
        <v>157.339</v>
      </c>
      <c r="M83" s="1069">
        <f t="shared" si="44"/>
        <v>14.408333333333333</v>
      </c>
      <c r="N83" s="1304"/>
      <c r="O83" s="284"/>
      <c r="P83" s="8"/>
    </row>
    <row r="84" spans="2:16" ht="18.600000000000001" thickBot="1" x14ac:dyDescent="0.4">
      <c r="B84" s="1295">
        <v>46286</v>
      </c>
      <c r="C84" s="1296"/>
      <c r="D84" s="1070" t="s">
        <v>12</v>
      </c>
      <c r="E84" s="311" t="s">
        <v>169</v>
      </c>
      <c r="F84" s="312">
        <v>300</v>
      </c>
      <c r="G84" s="288" t="s">
        <v>14</v>
      </c>
      <c r="H84" s="289">
        <v>0.09</v>
      </c>
      <c r="I84" s="1014">
        <f t="shared" si="4"/>
        <v>0.7</v>
      </c>
      <c r="J84" s="1015">
        <v>1.3</v>
      </c>
      <c r="K84" s="1066">
        <f t="shared" si="42"/>
        <v>273</v>
      </c>
      <c r="L84" s="1067">
        <f t="shared" si="43"/>
        <v>248.43</v>
      </c>
      <c r="M84" s="1068">
        <f t="shared" si="44"/>
        <v>22.75</v>
      </c>
      <c r="N84" s="1305">
        <f t="shared" ref="N84" si="46">SUM(L84:L85)</f>
        <v>248.43</v>
      </c>
      <c r="O84" s="284" t="s">
        <v>696</v>
      </c>
      <c r="P84" s="8"/>
    </row>
    <row r="85" spans="2:16" ht="18.600000000000001" thickBot="1" x14ac:dyDescent="0.4">
      <c r="B85" s="1297"/>
      <c r="C85" s="1298"/>
      <c r="D85" s="285" t="s">
        <v>13</v>
      </c>
      <c r="E85" s="297"/>
      <c r="F85" s="290"/>
      <c r="G85" s="288"/>
      <c r="H85" s="289"/>
      <c r="I85" s="280" t="str">
        <f t="shared" si="4"/>
        <v/>
      </c>
      <c r="J85" s="281"/>
      <c r="K85" s="310" t="str">
        <f t="shared" si="42"/>
        <v/>
      </c>
      <c r="L85" s="294" t="str">
        <f t="shared" si="43"/>
        <v/>
      </c>
      <c r="M85" s="309" t="str">
        <f t="shared" si="44"/>
        <v/>
      </c>
      <c r="N85" s="1306"/>
      <c r="O85" s="284"/>
      <c r="P85" s="8"/>
    </row>
    <row r="86" spans="2:16" ht="18.600000000000001" thickBot="1" x14ac:dyDescent="0.4">
      <c r="B86" s="1295">
        <v>46287</v>
      </c>
      <c r="C86" s="1296"/>
      <c r="D86" s="275" t="s">
        <v>12</v>
      </c>
      <c r="E86" s="311" t="s">
        <v>169</v>
      </c>
      <c r="F86" s="312">
        <v>38</v>
      </c>
      <c r="G86" s="313" t="s">
        <v>15</v>
      </c>
      <c r="H86" s="314">
        <v>0.1</v>
      </c>
      <c r="I86" s="280">
        <f t="shared" si="4"/>
        <v>3</v>
      </c>
      <c r="J86" s="281">
        <v>1.3</v>
      </c>
      <c r="K86" s="282">
        <f t="shared" ref="K86:K87" si="47">IFERROR((F86*I86*J86),"")</f>
        <v>148.20000000000002</v>
      </c>
      <c r="L86" s="283">
        <f t="shared" ref="L86:L87" si="48">IFERROR(((F86*I86)*J86)*(1-H86),"")</f>
        <v>133.38000000000002</v>
      </c>
      <c r="M86" s="308">
        <f t="shared" ref="M86:M87" si="49">IFERROR((K86/12),"")</f>
        <v>12.350000000000001</v>
      </c>
      <c r="N86" s="1305">
        <f t="shared" ref="N86" si="50">SUM(L86:L87)</f>
        <v>133.38000000000002</v>
      </c>
      <c r="O86" s="284"/>
      <c r="P86" s="8"/>
    </row>
    <row r="87" spans="2:16" ht="18.600000000000001" thickBot="1" x14ac:dyDescent="0.4">
      <c r="B87" s="1297"/>
      <c r="C87" s="1298"/>
      <c r="D87" s="285" t="s">
        <v>13</v>
      </c>
      <c r="E87" s="297"/>
      <c r="F87" s="290"/>
      <c r="G87" s="288"/>
      <c r="H87" s="289"/>
      <c r="I87" s="280" t="str">
        <f t="shared" si="4"/>
        <v/>
      </c>
      <c r="J87" s="281"/>
      <c r="K87" s="310" t="str">
        <f t="shared" si="47"/>
        <v/>
      </c>
      <c r="L87" s="294" t="str">
        <f t="shared" si="48"/>
        <v/>
      </c>
      <c r="M87" s="309" t="str">
        <f t="shared" si="49"/>
        <v/>
      </c>
      <c r="N87" s="1306"/>
      <c r="O87" s="284"/>
      <c r="P87" s="8"/>
    </row>
    <row r="88" spans="2:16" ht="18.600000000000001" thickBot="1" x14ac:dyDescent="0.4">
      <c r="B88" s="1295">
        <v>46288</v>
      </c>
      <c r="C88" s="1296"/>
      <c r="D88" s="275" t="s">
        <v>12</v>
      </c>
      <c r="E88" s="311" t="s">
        <v>169</v>
      </c>
      <c r="F88" s="312">
        <v>63</v>
      </c>
      <c r="G88" s="313" t="s">
        <v>15</v>
      </c>
      <c r="H88" s="314">
        <v>0.11</v>
      </c>
      <c r="I88" s="280">
        <f t="shared" ref="I88:I89" si="51">IFERROR((VLOOKUP(G88,S$6:T$8,2,FALSE)),"")</f>
        <v>3</v>
      </c>
      <c r="J88" s="281">
        <v>1.3</v>
      </c>
      <c r="K88" s="282">
        <f t="shared" ref="K88:K89" si="52">IFERROR((F88*I88*J88),"")</f>
        <v>245.70000000000002</v>
      </c>
      <c r="L88" s="283">
        <f t="shared" ref="L88:L89" si="53">IFERROR(((F88*I88)*J88)*(1-H88),"")</f>
        <v>218.67300000000003</v>
      </c>
      <c r="M88" s="308">
        <f t="shared" ref="M88:M89" si="54">IFERROR((K88/12),"")</f>
        <v>20.475000000000001</v>
      </c>
      <c r="N88" s="1305">
        <f>SUM(L88:L89)</f>
        <v>402.63600000000008</v>
      </c>
      <c r="O88" s="284"/>
      <c r="P88" s="8"/>
    </row>
    <row r="89" spans="2:16" ht="18.600000000000001" thickBot="1" x14ac:dyDescent="0.4">
      <c r="B89" s="1297"/>
      <c r="C89" s="1298"/>
      <c r="D89" s="285" t="s">
        <v>13</v>
      </c>
      <c r="E89" s="297" t="s">
        <v>553</v>
      </c>
      <c r="F89" s="290">
        <v>53</v>
      </c>
      <c r="G89" s="288" t="s">
        <v>15</v>
      </c>
      <c r="H89" s="289">
        <v>0.11</v>
      </c>
      <c r="I89" s="280">
        <f t="shared" si="51"/>
        <v>3</v>
      </c>
      <c r="J89" s="281">
        <v>1.3</v>
      </c>
      <c r="K89" s="310">
        <f t="shared" si="52"/>
        <v>206.70000000000002</v>
      </c>
      <c r="L89" s="294">
        <f t="shared" si="53"/>
        <v>183.96300000000002</v>
      </c>
      <c r="M89" s="309">
        <f t="shared" si="54"/>
        <v>17.225000000000001</v>
      </c>
      <c r="N89" s="1306"/>
      <c r="O89" s="284"/>
      <c r="P89" s="8"/>
    </row>
    <row r="90" spans="2:16" ht="18.600000000000001" thickBot="1" x14ac:dyDescent="0.4">
      <c r="B90" s="1295">
        <v>46289</v>
      </c>
      <c r="C90" s="1296"/>
      <c r="D90" s="275" t="s">
        <v>12</v>
      </c>
      <c r="E90" s="311" t="s">
        <v>169</v>
      </c>
      <c r="F90" s="312">
        <v>31</v>
      </c>
      <c r="G90" s="313" t="s">
        <v>15</v>
      </c>
      <c r="H90" s="314">
        <v>0.11</v>
      </c>
      <c r="I90" s="280">
        <f t="shared" ref="I90:I91" si="55">IFERROR((VLOOKUP(G90,S$6:T$8,2,FALSE)),"")</f>
        <v>3</v>
      </c>
      <c r="J90" s="281">
        <v>1.3</v>
      </c>
      <c r="K90" s="282">
        <f t="shared" ref="K90:K91" si="56">IFERROR((F90*I90*J90),"")</f>
        <v>120.9</v>
      </c>
      <c r="L90" s="283">
        <f t="shared" ref="L90:L91" si="57">IFERROR(((F90*I90)*J90)*(1-H90),"")</f>
        <v>107.60100000000001</v>
      </c>
      <c r="M90" s="308">
        <f t="shared" ref="M90:M91" si="58">IFERROR((K90/12),"")</f>
        <v>10.075000000000001</v>
      </c>
      <c r="N90" s="1305">
        <f t="shared" ref="N90" si="59">SUM(L90:L91)</f>
        <v>219.92100000000002</v>
      </c>
      <c r="O90" s="284"/>
      <c r="P90" s="8"/>
    </row>
    <row r="91" spans="2:16" ht="18.600000000000001" thickBot="1" x14ac:dyDescent="0.4">
      <c r="B91" s="1297"/>
      <c r="C91" s="1298"/>
      <c r="D91" s="285" t="s">
        <v>13</v>
      </c>
      <c r="E91" s="297" t="s">
        <v>553</v>
      </c>
      <c r="F91" s="290">
        <v>32</v>
      </c>
      <c r="G91" s="288" t="s">
        <v>15</v>
      </c>
      <c r="H91" s="289">
        <v>0.1</v>
      </c>
      <c r="I91" s="280">
        <f t="shared" si="55"/>
        <v>3</v>
      </c>
      <c r="J91" s="281">
        <v>1.3</v>
      </c>
      <c r="K91" s="298">
        <f t="shared" si="56"/>
        <v>124.80000000000001</v>
      </c>
      <c r="L91" s="294">
        <f t="shared" si="57"/>
        <v>112.32000000000001</v>
      </c>
      <c r="M91" s="309">
        <f t="shared" si="58"/>
        <v>10.4</v>
      </c>
      <c r="N91" s="1306"/>
      <c r="O91" s="284"/>
      <c r="P91" s="8"/>
    </row>
    <row r="92" spans="2:16" ht="18.600000000000001" thickBot="1" x14ac:dyDescent="0.4">
      <c r="B92" s="1295">
        <v>46290</v>
      </c>
      <c r="C92" s="1296"/>
      <c r="D92" s="275" t="s">
        <v>12</v>
      </c>
      <c r="E92" s="311" t="s">
        <v>169</v>
      </c>
      <c r="F92" s="312">
        <v>58</v>
      </c>
      <c r="G92" s="313" t="s">
        <v>15</v>
      </c>
      <c r="H92" s="314">
        <v>0.1</v>
      </c>
      <c r="I92" s="280">
        <f t="shared" ref="I92:I93" si="60">IFERROR((VLOOKUP(G92,S$6:T$8,2,FALSE)),"")</f>
        <v>3</v>
      </c>
      <c r="J92" s="281">
        <v>1.3</v>
      </c>
      <c r="K92" s="282">
        <f t="shared" ref="K92:K93" si="61">IFERROR((F92*I92*J92),"")</f>
        <v>226.20000000000002</v>
      </c>
      <c r="L92" s="283">
        <f t="shared" ref="L92:L93" si="62">IFERROR(((F92*I92)*J92)*(1-H92),"")</f>
        <v>203.58</v>
      </c>
      <c r="M92" s="308">
        <f t="shared" ref="M92:M93" si="63">IFERROR((K92/12),"")</f>
        <v>18.850000000000001</v>
      </c>
      <c r="N92" s="1305">
        <f t="shared" ref="N92" si="64">SUM(L92:L93)</f>
        <v>217.62</v>
      </c>
      <c r="O92" s="284"/>
      <c r="P92" s="8"/>
    </row>
    <row r="93" spans="2:16" ht="18.600000000000001" thickBot="1" x14ac:dyDescent="0.4">
      <c r="B93" s="1297"/>
      <c r="C93" s="1298"/>
      <c r="D93" s="285" t="s">
        <v>13</v>
      </c>
      <c r="E93" s="297" t="s">
        <v>739</v>
      </c>
      <c r="F93" s="290">
        <v>4</v>
      </c>
      <c r="G93" s="288" t="s">
        <v>15</v>
      </c>
      <c r="H93" s="289">
        <v>0.1</v>
      </c>
      <c r="I93" s="280">
        <f t="shared" si="60"/>
        <v>3</v>
      </c>
      <c r="J93" s="281">
        <v>1.3</v>
      </c>
      <c r="K93" s="310">
        <f t="shared" si="61"/>
        <v>15.600000000000001</v>
      </c>
      <c r="L93" s="294">
        <f t="shared" si="62"/>
        <v>14.040000000000001</v>
      </c>
      <c r="M93" s="309">
        <f t="shared" si="63"/>
        <v>1.3</v>
      </c>
      <c r="N93" s="1306"/>
      <c r="O93" s="284"/>
      <c r="P93" s="8"/>
    </row>
    <row r="94" spans="2:16" ht="18.600000000000001" thickBot="1" x14ac:dyDescent="0.4">
      <c r="B94" s="1295">
        <v>46291</v>
      </c>
      <c r="C94" s="1296"/>
      <c r="D94" s="275" t="s">
        <v>12</v>
      </c>
      <c r="E94" s="311" t="s">
        <v>169</v>
      </c>
      <c r="F94" s="312">
        <v>25</v>
      </c>
      <c r="G94" s="313" t="s">
        <v>15</v>
      </c>
      <c r="H94" s="314">
        <v>0.09</v>
      </c>
      <c r="I94" s="280">
        <f t="shared" ref="I94:I97" si="65">IFERROR((VLOOKUP(G94,S$6:T$8,2,FALSE)),"")</f>
        <v>3</v>
      </c>
      <c r="J94" s="281">
        <v>1.3</v>
      </c>
      <c r="K94" s="282">
        <f t="shared" ref="K94:K97" si="66">IFERROR((F94*I94*J94),"")</f>
        <v>97.5</v>
      </c>
      <c r="L94" s="283">
        <f t="shared" ref="L94:L97" si="67">IFERROR(((F94*I94)*J94)*(1-H94),"")</f>
        <v>88.725000000000009</v>
      </c>
      <c r="M94" s="308">
        <f t="shared" ref="M94:M97" si="68">IFERROR((K94/12),"")</f>
        <v>8.125</v>
      </c>
      <c r="N94" s="1305">
        <f t="shared" ref="N94" si="69">SUM(L94:L95)</f>
        <v>253.77300000000002</v>
      </c>
      <c r="O94" s="284"/>
      <c r="P94" s="8"/>
    </row>
    <row r="95" spans="2:16" ht="18.600000000000001" thickBot="1" x14ac:dyDescent="0.4">
      <c r="B95" s="1297"/>
      <c r="C95" s="1298"/>
      <c r="D95" s="285" t="s">
        <v>13</v>
      </c>
      <c r="E95" s="297" t="s">
        <v>739</v>
      </c>
      <c r="F95" s="290">
        <v>46</v>
      </c>
      <c r="G95" s="288" t="s">
        <v>15</v>
      </c>
      <c r="H95" s="289">
        <v>0.08</v>
      </c>
      <c r="I95" s="280">
        <f t="shared" si="65"/>
        <v>3</v>
      </c>
      <c r="J95" s="281">
        <v>1.3</v>
      </c>
      <c r="K95" s="298">
        <f t="shared" si="66"/>
        <v>179.4</v>
      </c>
      <c r="L95" s="294">
        <f t="shared" si="67"/>
        <v>165.048</v>
      </c>
      <c r="M95" s="309">
        <f t="shared" si="68"/>
        <v>14.950000000000001</v>
      </c>
      <c r="N95" s="1306"/>
      <c r="O95" s="284"/>
      <c r="P95" s="8"/>
    </row>
    <row r="96" spans="2:16" ht="18.600000000000001" thickBot="1" x14ac:dyDescent="0.4">
      <c r="B96" s="1295">
        <v>46292</v>
      </c>
      <c r="C96" s="1296"/>
      <c r="D96" s="275" t="s">
        <v>12</v>
      </c>
      <c r="E96" s="311"/>
      <c r="F96" s="312"/>
      <c r="G96" s="313"/>
      <c r="H96" s="314"/>
      <c r="I96" s="280" t="str">
        <f t="shared" si="65"/>
        <v/>
      </c>
      <c r="J96" s="281"/>
      <c r="K96" s="282" t="str">
        <f t="shared" si="66"/>
        <v/>
      </c>
      <c r="L96" s="283" t="str">
        <f t="shared" si="67"/>
        <v/>
      </c>
      <c r="M96" s="308" t="str">
        <f t="shared" si="68"/>
        <v/>
      </c>
      <c r="N96" s="1305">
        <f t="shared" ref="N96" si="70">SUM(L96:L97)</f>
        <v>0</v>
      </c>
      <c r="O96" s="284"/>
      <c r="P96" s="8"/>
    </row>
    <row r="97" spans="2:16" ht="18.600000000000001" thickBot="1" x14ac:dyDescent="0.4">
      <c r="B97" s="1297"/>
      <c r="C97" s="1298"/>
      <c r="D97" s="285" t="s">
        <v>13</v>
      </c>
      <c r="E97" s="297"/>
      <c r="F97" s="290"/>
      <c r="G97" s="288"/>
      <c r="H97" s="289"/>
      <c r="I97" s="280" t="str">
        <f t="shared" si="65"/>
        <v/>
      </c>
      <c r="J97" s="281"/>
      <c r="K97" s="310" t="str">
        <f t="shared" si="66"/>
        <v/>
      </c>
      <c r="L97" s="294" t="str">
        <f t="shared" si="67"/>
        <v/>
      </c>
      <c r="M97" s="309" t="str">
        <f t="shared" si="68"/>
        <v/>
      </c>
      <c r="N97" s="1306"/>
      <c r="O97" s="284"/>
      <c r="P97" s="8"/>
    </row>
    <row r="98" spans="2:16" ht="18.600000000000001" thickBot="1" x14ac:dyDescent="0.4">
      <c r="B98" s="1295">
        <v>46293</v>
      </c>
      <c r="C98" s="1296"/>
      <c r="D98" s="275" t="s">
        <v>12</v>
      </c>
      <c r="E98" s="311"/>
      <c r="F98" s="312"/>
      <c r="G98" s="313"/>
      <c r="H98" s="314"/>
      <c r="I98" s="280" t="str">
        <f t="shared" ref="I98:I103" si="71">IFERROR((VLOOKUP(G98,S$6:T$8,2,FALSE)),"")</f>
        <v/>
      </c>
      <c r="J98" s="281"/>
      <c r="K98" s="282" t="str">
        <f t="shared" ref="K98:K103" si="72">IFERROR((F98*I98*J98),"")</f>
        <v/>
      </c>
      <c r="L98" s="283" t="str">
        <f t="shared" ref="L98:L103" si="73">IFERROR(((F98*I98)*J98)*(1-H98),"")</f>
        <v/>
      </c>
      <c r="M98" s="308" t="str">
        <f t="shared" ref="M98:M103" si="74">IFERROR((K98/12),"")</f>
        <v/>
      </c>
      <c r="N98" s="1305">
        <f t="shared" ref="N98" si="75">SUM(L98:L99)</f>
        <v>182.988</v>
      </c>
      <c r="O98" s="284"/>
      <c r="P98" s="8"/>
    </row>
    <row r="99" spans="2:16" ht="18.600000000000001" thickBot="1" x14ac:dyDescent="0.4">
      <c r="B99" s="1297"/>
      <c r="C99" s="1298"/>
      <c r="D99" s="285" t="s">
        <v>13</v>
      </c>
      <c r="E99" s="297" t="s">
        <v>169</v>
      </c>
      <c r="F99" s="290">
        <v>51</v>
      </c>
      <c r="G99" s="288" t="s">
        <v>15</v>
      </c>
      <c r="H99" s="289">
        <v>0.08</v>
      </c>
      <c r="I99" s="280">
        <f t="shared" si="71"/>
        <v>3</v>
      </c>
      <c r="J99" s="281">
        <v>1.3</v>
      </c>
      <c r="K99" s="298">
        <f t="shared" si="72"/>
        <v>198.9</v>
      </c>
      <c r="L99" s="294">
        <f t="shared" si="73"/>
        <v>182.988</v>
      </c>
      <c r="M99" s="309">
        <f t="shared" si="74"/>
        <v>16.574999999999999</v>
      </c>
      <c r="N99" s="1306"/>
      <c r="O99" s="284"/>
      <c r="P99" s="8"/>
    </row>
    <row r="100" spans="2:16" ht="18.600000000000001" thickBot="1" x14ac:dyDescent="0.4">
      <c r="B100" s="1295">
        <v>46294</v>
      </c>
      <c r="C100" s="1296"/>
      <c r="D100" s="275" t="s">
        <v>12</v>
      </c>
      <c r="E100" s="311"/>
      <c r="F100" s="312"/>
      <c r="G100" s="313"/>
      <c r="H100" s="314"/>
      <c r="I100" s="280" t="str">
        <f t="shared" si="71"/>
        <v/>
      </c>
      <c r="J100" s="281"/>
      <c r="K100" s="282" t="str">
        <f t="shared" si="72"/>
        <v/>
      </c>
      <c r="L100" s="283" t="str">
        <f t="shared" si="73"/>
        <v/>
      </c>
      <c r="M100" s="308" t="str">
        <f t="shared" si="74"/>
        <v/>
      </c>
      <c r="N100" s="1305">
        <f t="shared" ref="N100" si="76">SUM(L100:L101)</f>
        <v>0</v>
      </c>
      <c r="O100" s="284"/>
      <c r="P100" s="8"/>
    </row>
    <row r="101" spans="2:16" ht="18.600000000000001" thickBot="1" x14ac:dyDescent="0.4">
      <c r="B101" s="1297"/>
      <c r="C101" s="1298"/>
      <c r="D101" s="285" t="s">
        <v>13</v>
      </c>
      <c r="E101" s="297"/>
      <c r="F101" s="290"/>
      <c r="G101" s="288"/>
      <c r="H101" s="289"/>
      <c r="I101" s="280" t="str">
        <f t="shared" si="71"/>
        <v/>
      </c>
      <c r="J101" s="281"/>
      <c r="K101" s="310" t="str">
        <f t="shared" si="72"/>
        <v/>
      </c>
      <c r="L101" s="294" t="str">
        <f t="shared" si="73"/>
        <v/>
      </c>
      <c r="M101" s="309" t="str">
        <f t="shared" si="74"/>
        <v/>
      </c>
      <c r="N101" s="1306"/>
      <c r="O101" s="284"/>
      <c r="P101" s="8"/>
    </row>
    <row r="102" spans="2:16" ht="18.600000000000001" thickBot="1" x14ac:dyDescent="0.4">
      <c r="B102" s="1295">
        <v>46295</v>
      </c>
      <c r="C102" s="1296"/>
      <c r="D102" s="275" t="s">
        <v>12</v>
      </c>
      <c r="E102" s="311"/>
      <c r="F102" s="312"/>
      <c r="G102" s="313"/>
      <c r="H102" s="314"/>
      <c r="I102" s="280" t="str">
        <f t="shared" si="71"/>
        <v/>
      </c>
      <c r="J102" s="281"/>
      <c r="K102" s="282" t="str">
        <f t="shared" si="72"/>
        <v/>
      </c>
      <c r="L102" s="283" t="str">
        <f t="shared" si="73"/>
        <v/>
      </c>
      <c r="M102" s="308" t="str">
        <f t="shared" si="74"/>
        <v/>
      </c>
      <c r="N102" s="1305">
        <f>SUM(L102:L103)</f>
        <v>121.485</v>
      </c>
      <c r="O102" s="284"/>
      <c r="P102" s="8"/>
    </row>
    <row r="103" spans="2:16" ht="18.600000000000001" thickBot="1" x14ac:dyDescent="0.4">
      <c r="B103" s="1297"/>
      <c r="C103" s="1298"/>
      <c r="D103" s="285" t="s">
        <v>13</v>
      </c>
      <c r="E103" s="297" t="s">
        <v>169</v>
      </c>
      <c r="F103" s="290">
        <v>35</v>
      </c>
      <c r="G103" s="288" t="s">
        <v>15</v>
      </c>
      <c r="H103" s="289">
        <v>0.11</v>
      </c>
      <c r="I103" s="280">
        <f t="shared" si="71"/>
        <v>3</v>
      </c>
      <c r="J103" s="281">
        <v>1.3</v>
      </c>
      <c r="K103" s="298">
        <f t="shared" si="72"/>
        <v>136.5</v>
      </c>
      <c r="L103" s="294">
        <f t="shared" si="73"/>
        <v>121.485</v>
      </c>
      <c r="M103" s="309">
        <f t="shared" si="74"/>
        <v>11.375</v>
      </c>
      <c r="N103" s="1330"/>
      <c r="O103" s="284"/>
      <c r="P103" s="8"/>
    </row>
    <row r="104" spans="2:16" ht="18.600000000000001" thickBot="1" x14ac:dyDescent="0.4">
      <c r="B104" s="1295">
        <v>46296</v>
      </c>
      <c r="C104" s="1296"/>
      <c r="D104" s="275" t="s">
        <v>12</v>
      </c>
      <c r="E104" s="311" t="s">
        <v>169</v>
      </c>
      <c r="F104" s="312">
        <v>65</v>
      </c>
      <c r="G104" s="313" t="s">
        <v>15</v>
      </c>
      <c r="H104" s="314">
        <v>0.11</v>
      </c>
      <c r="I104" s="280">
        <f t="shared" ref="I104:I105" si="77">IFERROR((VLOOKUP(G104,S$6:T$8,2,FALSE)),"")</f>
        <v>3</v>
      </c>
      <c r="J104" s="281">
        <v>1.3</v>
      </c>
      <c r="K104" s="282">
        <f t="shared" ref="K104:K105" si="78">IFERROR((F104*I104*J104),"")</f>
        <v>253.5</v>
      </c>
      <c r="L104" s="283">
        <f t="shared" ref="L104:L105" si="79">IFERROR(((F104*I104)*J104)*(1-H104),"")</f>
        <v>225.61500000000001</v>
      </c>
      <c r="M104" s="308">
        <f t="shared" ref="M104:M105" si="80">IFERROR((K104/12),"")</f>
        <v>21.125</v>
      </c>
      <c r="N104" s="1305">
        <f>SUM(L104:L105)</f>
        <v>295.03500000000003</v>
      </c>
      <c r="O104" s="284"/>
      <c r="P104" s="8"/>
    </row>
    <row r="105" spans="2:16" ht="18" x14ac:dyDescent="0.35">
      <c r="B105" s="1317"/>
      <c r="C105" s="1318"/>
      <c r="D105" s="299" t="s">
        <v>13</v>
      </c>
      <c r="E105" s="300" t="s">
        <v>169</v>
      </c>
      <c r="F105" s="301">
        <v>20</v>
      </c>
      <c r="G105" s="302" t="s">
        <v>15</v>
      </c>
      <c r="H105" s="303">
        <v>0.11</v>
      </c>
      <c r="I105" s="1009">
        <f t="shared" si="77"/>
        <v>3</v>
      </c>
      <c r="J105" s="1010">
        <v>1.3</v>
      </c>
      <c r="K105" s="305">
        <f t="shared" si="78"/>
        <v>78</v>
      </c>
      <c r="L105" s="306">
        <f t="shared" si="79"/>
        <v>69.42</v>
      </c>
      <c r="M105" s="1186">
        <f t="shared" si="80"/>
        <v>6.5</v>
      </c>
      <c r="N105" s="1329"/>
      <c r="O105" s="284"/>
      <c r="P105" s="8"/>
    </row>
    <row r="106" spans="2:16" ht="18" x14ac:dyDescent="0.35">
      <c r="B106" s="1325">
        <v>46297</v>
      </c>
      <c r="C106" s="1325"/>
      <c r="D106" s="1016" t="s">
        <v>12</v>
      </c>
      <c r="E106" s="1017" t="s">
        <v>169</v>
      </c>
      <c r="F106" s="1018">
        <v>30</v>
      </c>
      <c r="G106" s="1019" t="s">
        <v>15</v>
      </c>
      <c r="H106" s="1020">
        <v>0.11</v>
      </c>
      <c r="I106" s="1021">
        <f t="shared" ref="I106:I108" si="81">IFERROR((VLOOKUP(G106,S$6:T$8,2,FALSE)),"")</f>
        <v>3</v>
      </c>
      <c r="J106" s="1022">
        <v>1.3</v>
      </c>
      <c r="K106" s="1023">
        <f t="shared" ref="K106:K107" si="82">IFERROR((F106*I106*J106),"")</f>
        <v>117</v>
      </c>
      <c r="L106" s="1069">
        <f t="shared" ref="L106:L107" si="83">IFERROR(((F106*I106)*J106)*(1-H106),"")</f>
        <v>104.13</v>
      </c>
      <c r="M106" s="1069">
        <f t="shared" ref="M106:M107" si="84">IFERROR((K106/12),"")</f>
        <v>9.75</v>
      </c>
      <c r="N106" s="1328">
        <f>SUM(L106:L109)</f>
        <v>232.2099</v>
      </c>
      <c r="O106" s="284"/>
      <c r="P106" s="8"/>
    </row>
    <row r="107" spans="2:16" ht="18" x14ac:dyDescent="0.35">
      <c r="B107" s="1325"/>
      <c r="C107" s="1325"/>
      <c r="D107" s="1016" t="s">
        <v>13</v>
      </c>
      <c r="E107" s="1017" t="s">
        <v>169</v>
      </c>
      <c r="F107" s="1018">
        <v>5</v>
      </c>
      <c r="G107" s="1019" t="s">
        <v>15</v>
      </c>
      <c r="H107" s="1020">
        <v>0.11</v>
      </c>
      <c r="I107" s="1021">
        <f t="shared" si="81"/>
        <v>3</v>
      </c>
      <c r="J107" s="1022">
        <v>1.3</v>
      </c>
      <c r="K107" s="1023">
        <f t="shared" si="82"/>
        <v>19.5</v>
      </c>
      <c r="L107" s="1069">
        <f t="shared" si="83"/>
        <v>17.355</v>
      </c>
      <c r="M107" s="1069">
        <f t="shared" si="84"/>
        <v>1.625</v>
      </c>
      <c r="N107" s="1328"/>
      <c r="O107" s="284"/>
      <c r="P107" s="8"/>
    </row>
    <row r="108" spans="2:16" ht="18" x14ac:dyDescent="0.35">
      <c r="B108" s="1325"/>
      <c r="C108" s="1325"/>
      <c r="D108" s="1016" t="s">
        <v>13</v>
      </c>
      <c r="E108" s="1017" t="s">
        <v>770</v>
      </c>
      <c r="F108" s="1018">
        <v>78</v>
      </c>
      <c r="G108" s="1019" t="s">
        <v>428</v>
      </c>
      <c r="H108" s="1020">
        <v>0.11</v>
      </c>
      <c r="I108" s="1021">
        <f t="shared" si="81"/>
        <v>0.5</v>
      </c>
      <c r="J108" s="1022">
        <v>1.3</v>
      </c>
      <c r="K108" s="1023">
        <f t="shared" ref="K108" si="85">IFERROR((F108*I108*J108),"")</f>
        <v>50.7</v>
      </c>
      <c r="L108" s="1069">
        <f t="shared" ref="L108" si="86">IFERROR(((F108*I108)*J108)*(1-H108),"")</f>
        <v>45.123000000000005</v>
      </c>
      <c r="M108" s="1069">
        <f t="shared" ref="M108" si="87">IFERROR((K108/12),"")</f>
        <v>4.2250000000000005</v>
      </c>
      <c r="N108" s="1328"/>
      <c r="O108" s="284"/>
      <c r="P108" s="8"/>
    </row>
    <row r="109" spans="2:16" ht="18" x14ac:dyDescent="0.35">
      <c r="B109" s="1325"/>
      <c r="C109" s="1325"/>
      <c r="D109" s="1016" t="s">
        <v>13</v>
      </c>
      <c r="E109" s="1017" t="s">
        <v>770</v>
      </c>
      <c r="F109" s="1018">
        <v>81</v>
      </c>
      <c r="G109" s="1019" t="s">
        <v>14</v>
      </c>
      <c r="H109" s="1020">
        <v>0.11</v>
      </c>
      <c r="I109" s="1021">
        <f t="shared" ref="I109" si="88">IFERROR((VLOOKUP(G109,S$6:T$8,2,FALSE)),"")</f>
        <v>0.7</v>
      </c>
      <c r="J109" s="1022">
        <v>1.3</v>
      </c>
      <c r="K109" s="1023">
        <f t="shared" ref="K109" si="89">IFERROR((F109*I109*J109),"")</f>
        <v>73.709999999999994</v>
      </c>
      <c r="L109" s="1069">
        <f t="shared" ref="L109" si="90">IFERROR(((F109*I109)*J109)*(1-H109),"")</f>
        <v>65.601900000000001</v>
      </c>
      <c r="M109" s="1069">
        <f t="shared" ref="M109" si="91">IFERROR((K109/12),"")</f>
        <v>6.1424999999999992</v>
      </c>
      <c r="N109" s="1328"/>
      <c r="O109" s="284"/>
      <c r="P109" s="8"/>
    </row>
    <row r="110" spans="2:16" ht="18" x14ac:dyDescent="0.35">
      <c r="B110" s="1325">
        <v>46298</v>
      </c>
      <c r="C110" s="1325"/>
      <c r="D110" s="1016" t="s">
        <v>12</v>
      </c>
      <c r="E110" s="1017" t="s">
        <v>772</v>
      </c>
      <c r="F110" s="1018">
        <v>63</v>
      </c>
      <c r="G110" s="1019" t="s">
        <v>15</v>
      </c>
      <c r="H110" s="1020">
        <v>0.09</v>
      </c>
      <c r="I110" s="1021">
        <f t="shared" ref="I110" si="92">IFERROR((VLOOKUP(G110,S$6:T$8,2,FALSE)),"")</f>
        <v>3</v>
      </c>
      <c r="J110" s="1022">
        <v>1.3</v>
      </c>
      <c r="K110" s="1023">
        <f t="shared" ref="K110" si="93">IFERROR((F110*I110*J110),"")</f>
        <v>245.70000000000002</v>
      </c>
      <c r="L110" s="1069">
        <f t="shared" ref="L110" si="94">IFERROR(((F110*I110)*J110)*(1-H110),"")</f>
        <v>223.58700000000002</v>
      </c>
      <c r="M110" s="1069">
        <f t="shared" ref="M110" si="95">IFERROR((K110/12),"")</f>
        <v>20.475000000000001</v>
      </c>
      <c r="N110" s="1326">
        <f>SUM(L110:L111)</f>
        <v>464.91899999999998</v>
      </c>
      <c r="O110" s="284"/>
      <c r="P110" s="8"/>
    </row>
    <row r="111" spans="2:16" ht="18" x14ac:dyDescent="0.35">
      <c r="B111" s="1325"/>
      <c r="C111" s="1325"/>
      <c r="D111" s="1016" t="s">
        <v>13</v>
      </c>
      <c r="E111" s="1017" t="s">
        <v>773</v>
      </c>
      <c r="F111" s="1018">
        <v>68</v>
      </c>
      <c r="G111" s="1019" t="s">
        <v>15</v>
      </c>
      <c r="H111" s="1020">
        <v>0.09</v>
      </c>
      <c r="I111" s="1021">
        <f t="shared" ref="I111" si="96">IFERROR((VLOOKUP(G111,S$6:T$8,2,FALSE)),"")</f>
        <v>3</v>
      </c>
      <c r="J111" s="1022">
        <v>1.3</v>
      </c>
      <c r="K111" s="1023">
        <f t="shared" ref="K111" si="97">IFERROR((F111*I111*J111),"")</f>
        <v>265.2</v>
      </c>
      <c r="L111" s="1069">
        <f t="shared" ref="L111" si="98">IFERROR(((F111*I111)*J111)*(1-H111),"")</f>
        <v>241.33199999999999</v>
      </c>
      <c r="M111" s="1069">
        <f t="shared" ref="M111" si="99">IFERROR((K111/12),"")</f>
        <v>22.099999999999998</v>
      </c>
      <c r="N111" s="1327"/>
      <c r="O111" s="284"/>
      <c r="P111" s="8"/>
    </row>
    <row r="112" spans="2:16" ht="18" x14ac:dyDescent="0.35">
      <c r="B112" s="1325">
        <v>46299</v>
      </c>
      <c r="C112" s="1325"/>
      <c r="D112" s="1016" t="s">
        <v>12</v>
      </c>
      <c r="E112" s="1017" t="s">
        <v>774</v>
      </c>
      <c r="F112" s="1018">
        <v>17</v>
      </c>
      <c r="G112" s="1019" t="s">
        <v>15</v>
      </c>
      <c r="H112" s="1020">
        <v>0.09</v>
      </c>
      <c r="I112" s="1021">
        <f t="shared" ref="I112" si="100">IFERROR((VLOOKUP(G112,S$6:T$8,2,FALSE)),"")</f>
        <v>3</v>
      </c>
      <c r="J112" s="1022">
        <v>2.2999999999999998</v>
      </c>
      <c r="K112" s="1023">
        <f t="shared" ref="K112" si="101">IFERROR((F112*I112*J112),"")</f>
        <v>117.3</v>
      </c>
      <c r="L112" s="1069">
        <f t="shared" ref="L112" si="102">IFERROR(((F112*I112)*J112)*(1-H112),"")</f>
        <v>106.74299999999999</v>
      </c>
      <c r="M112" s="1069">
        <f t="shared" ref="M112" si="103">IFERROR((K112/12),"")</f>
        <v>9.7750000000000004</v>
      </c>
      <c r="N112" s="1069">
        <f>SUM(M112:M113)</f>
        <v>9.7750000000000004</v>
      </c>
      <c r="O112" s="284"/>
      <c r="P112" s="8"/>
    </row>
    <row r="113" spans="2:19" ht="18" x14ac:dyDescent="0.35">
      <c r="B113" s="1325"/>
      <c r="C113" s="1325"/>
      <c r="D113" s="1016" t="s">
        <v>13</v>
      </c>
      <c r="E113" s="1017" t="s">
        <v>773</v>
      </c>
      <c r="F113" s="1018"/>
      <c r="G113" s="1019"/>
      <c r="H113" s="1020"/>
      <c r="I113" s="1021"/>
      <c r="J113" s="1022"/>
      <c r="K113" s="1023"/>
      <c r="L113" s="1069"/>
      <c r="M113" s="1069"/>
      <c r="N113" s="1069"/>
      <c r="O113" s="284"/>
      <c r="P113" s="8"/>
    </row>
    <row r="114" spans="2:19" ht="18" x14ac:dyDescent="0.35">
      <c r="B114" s="1299" t="s">
        <v>16</v>
      </c>
      <c r="C114" s="1300"/>
      <c r="D114" s="318"/>
      <c r="E114" s="319"/>
      <c r="F114" s="320">
        <f>AVERAGE(F6:F91)</f>
        <v>182</v>
      </c>
      <c r="G114" s="321"/>
      <c r="H114" s="322">
        <f>AVERAGE(H6:H86)</f>
        <v>0.11073333333333336</v>
      </c>
      <c r="I114" s="323" t="str">
        <f t="shared" si="4"/>
        <v/>
      </c>
      <c r="J114" s="324"/>
      <c r="K114" s="325">
        <f>AVERAGE(K6:K67)</f>
        <v>150.91452380952381</v>
      </c>
      <c r="L114" s="326">
        <f>AVERAGE(L6:L80)</f>
        <v>128.63389230769229</v>
      </c>
      <c r="M114" s="1062">
        <f>AVERAGE(M6:M103)</f>
        <v>12.962948717948722</v>
      </c>
      <c r="N114" s="1198">
        <f>AVERAGE(N6:N85)</f>
        <v>97.510261538461535</v>
      </c>
      <c r="O114" s="1197"/>
      <c r="S114" s="4"/>
    </row>
    <row r="115" spans="2:19" ht="18.600000000000001" thickBot="1" x14ac:dyDescent="0.4">
      <c r="B115" s="1301" t="s">
        <v>17</v>
      </c>
      <c r="C115" s="1302"/>
      <c r="D115" s="1185"/>
      <c r="E115" s="327"/>
      <c r="F115" s="328">
        <f>SUM(F6:F85)</f>
        <v>5971</v>
      </c>
      <c r="G115" s="327"/>
      <c r="H115" s="329"/>
      <c r="I115" s="329"/>
      <c r="J115" s="327"/>
      <c r="K115" s="330"/>
      <c r="L115" s="331"/>
      <c r="M115" s="327"/>
      <c r="N115" s="333">
        <f>SUM(N6:N113)</f>
        <v>6336.6421</v>
      </c>
      <c r="O115" s="284"/>
      <c r="Q115" s="4"/>
      <c r="R115" s="4"/>
      <c r="S115" s="2"/>
    </row>
    <row r="116" spans="2:19" x14ac:dyDescent="0.3">
      <c r="D116" s="1184"/>
      <c r="F116" s="264"/>
      <c r="H116" s="267"/>
      <c r="I116" s="269"/>
    </row>
    <row r="117" spans="2:19" x14ac:dyDescent="0.3">
      <c r="K117" s="10"/>
      <c r="N117" s="948"/>
    </row>
    <row r="118" spans="2:19" x14ac:dyDescent="0.3">
      <c r="F118" s="265"/>
      <c r="I118" s="265"/>
      <c r="N118" s="948"/>
    </row>
    <row r="122" spans="2:19" x14ac:dyDescent="0.3">
      <c r="O122" s="4"/>
    </row>
  </sheetData>
  <mergeCells count="110">
    <mergeCell ref="B110:C111"/>
    <mergeCell ref="B112:C113"/>
    <mergeCell ref="N110:N111"/>
    <mergeCell ref="B106:C109"/>
    <mergeCell ref="N106:N109"/>
    <mergeCell ref="B104:C105"/>
    <mergeCell ref="N104:N105"/>
    <mergeCell ref="N98:N99"/>
    <mergeCell ref="N100:N101"/>
    <mergeCell ref="N102:N103"/>
    <mergeCell ref="B94:C95"/>
    <mergeCell ref="N94:N95"/>
    <mergeCell ref="N96:N97"/>
    <mergeCell ref="B96:C97"/>
    <mergeCell ref="B98:C99"/>
    <mergeCell ref="B30:C31"/>
    <mergeCell ref="B36:C37"/>
    <mergeCell ref="N36:N37"/>
    <mergeCell ref="B38:C39"/>
    <mergeCell ref="N38:N39"/>
    <mergeCell ref="B44:C45"/>
    <mergeCell ref="N44:N45"/>
    <mergeCell ref="B46:C47"/>
    <mergeCell ref="N46:N47"/>
    <mergeCell ref="N84:N85"/>
    <mergeCell ref="B84:C85"/>
    <mergeCell ref="N30:N31"/>
    <mergeCell ref="B34:C35"/>
    <mergeCell ref="N34:N35"/>
    <mergeCell ref="B56:C57"/>
    <mergeCell ref="N56:N57"/>
    <mergeCell ref="B58:C59"/>
    <mergeCell ref="N58:N59"/>
    <mergeCell ref="B40:C41"/>
    <mergeCell ref="W5:AA5"/>
    <mergeCell ref="B76:C77"/>
    <mergeCell ref="N76:N77"/>
    <mergeCell ref="B78:C80"/>
    <mergeCell ref="N78:N80"/>
    <mergeCell ref="B81:C83"/>
    <mergeCell ref="N81:N83"/>
    <mergeCell ref="B64:C65"/>
    <mergeCell ref="N64:N65"/>
    <mergeCell ref="B8:C9"/>
    <mergeCell ref="N8:N9"/>
    <mergeCell ref="B28:C29"/>
    <mergeCell ref="N28:N29"/>
    <mergeCell ref="B5:C5"/>
    <mergeCell ref="B32:C33"/>
    <mergeCell ref="N32:N33"/>
    <mergeCell ref="S5:T5"/>
    <mergeCell ref="B6:C7"/>
    <mergeCell ref="N6:N7"/>
    <mergeCell ref="O36:O37"/>
    <mergeCell ref="B60:C61"/>
    <mergeCell ref="N60:N61"/>
    <mergeCell ref="B54:C55"/>
    <mergeCell ref="N54:N55"/>
    <mergeCell ref="B4:O4"/>
    <mergeCell ref="B26:C27"/>
    <mergeCell ref="N26:N27"/>
    <mergeCell ref="B18:C19"/>
    <mergeCell ref="N18:N19"/>
    <mergeCell ref="B20:C21"/>
    <mergeCell ref="N20:N21"/>
    <mergeCell ref="N24:N25"/>
    <mergeCell ref="B24:C25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114:C114"/>
    <mergeCell ref="B115:C115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6:C87"/>
    <mergeCell ref="N86:N87"/>
    <mergeCell ref="B88:C89"/>
    <mergeCell ref="N88:N89"/>
    <mergeCell ref="B90:C91"/>
    <mergeCell ref="N90:N91"/>
    <mergeCell ref="B92:C93"/>
    <mergeCell ref="N92:N93"/>
    <mergeCell ref="B100:C101"/>
    <mergeCell ref="B102:C103"/>
    <mergeCell ref="N40:N41"/>
    <mergeCell ref="N50:N51"/>
    <mergeCell ref="B52:C53"/>
    <mergeCell ref="N52:N53"/>
    <mergeCell ref="B42:C43"/>
    <mergeCell ref="N42:N43"/>
    <mergeCell ref="B50:C51"/>
    <mergeCell ref="B48:C49"/>
    <mergeCell ref="N48:N49"/>
  </mergeCells>
  <phoneticPr fontId="91" type="noConversion"/>
  <dataValidations count="1">
    <dataValidation type="list" allowBlank="1" showInputMessage="1" showErrorMessage="1" sqref="G6:G114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10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1335" t="s">
        <v>122</v>
      </c>
      <c r="C1" s="1335"/>
      <c r="D1" s="1335"/>
      <c r="E1" s="1335"/>
      <c r="F1" s="1335"/>
      <c r="G1" s="1335"/>
      <c r="H1" s="1335"/>
      <c r="I1" s="1335"/>
      <c r="J1" s="1335"/>
      <c r="K1" s="1335"/>
      <c r="L1" s="1335"/>
    </row>
    <row r="2" spans="1:27" ht="18" x14ac:dyDescent="0.35">
      <c r="F2" s="1341" t="s">
        <v>418</v>
      </c>
      <c r="G2" s="1341"/>
      <c r="H2" s="1341"/>
      <c r="I2" s="1341"/>
      <c r="J2" s="1341"/>
    </row>
    <row r="3" spans="1:27" ht="15" thickBot="1" x14ac:dyDescent="0.35">
      <c r="A3" s="1336" t="s">
        <v>198</v>
      </c>
      <c r="B3" s="1337"/>
      <c r="C3" s="1337"/>
      <c r="D3" s="1337"/>
      <c r="E3" s="1337"/>
      <c r="F3" s="1337"/>
      <c r="G3" s="1338"/>
    </row>
    <row r="4" spans="1:27" ht="15" thickBot="1" x14ac:dyDescent="0.35">
      <c r="A4" s="1339" t="s">
        <v>0</v>
      </c>
      <c r="B4" s="1340"/>
      <c r="C4" s="138" t="s">
        <v>1</v>
      </c>
      <c r="D4" s="139" t="s">
        <v>60</v>
      </c>
      <c r="E4" s="139" t="s">
        <v>61</v>
      </c>
      <c r="F4" s="139" t="s">
        <v>62</v>
      </c>
      <c r="G4" s="140" t="s">
        <v>64</v>
      </c>
      <c r="J4" s="15" t="s">
        <v>0</v>
      </c>
      <c r="K4" s="15" t="s">
        <v>65</v>
      </c>
      <c r="L4" s="15" t="s">
        <v>208</v>
      </c>
      <c r="M4" s="15" t="s">
        <v>410</v>
      </c>
      <c r="N4" s="143" t="s">
        <v>141</v>
      </c>
    </row>
    <row r="5" spans="1:27" x14ac:dyDescent="0.3">
      <c r="A5" s="255"/>
      <c r="B5" s="256"/>
      <c r="C5" s="257"/>
      <c r="D5" s="258"/>
      <c r="E5" s="258"/>
      <c r="F5" s="258"/>
      <c r="G5" s="259"/>
      <c r="J5" s="15"/>
      <c r="K5" s="15"/>
      <c r="L5" s="15"/>
      <c r="M5" s="15"/>
      <c r="N5" s="143"/>
    </row>
    <row r="6" spans="1:27" x14ac:dyDescent="0.3">
      <c r="A6" s="1331">
        <v>46252</v>
      </c>
      <c r="B6" s="1332"/>
      <c r="C6" s="141" t="s">
        <v>169</v>
      </c>
      <c r="D6" s="60">
        <v>6.9444444444444447E-4</v>
      </c>
      <c r="E6" s="60">
        <v>0.91597222222222219</v>
      </c>
      <c r="F6" s="61">
        <f>(E6-D6)*1440</f>
        <v>1318</v>
      </c>
      <c r="G6" s="260" t="s">
        <v>387</v>
      </c>
      <c r="J6" s="62">
        <v>46252</v>
      </c>
      <c r="K6" s="39">
        <f>F6</f>
        <v>1318</v>
      </c>
      <c r="L6" s="39">
        <f>(1440-K6)/60</f>
        <v>2.0333333333333332</v>
      </c>
      <c r="M6" s="38">
        <f>L6/12</f>
        <v>0.16944444444444443</v>
      </c>
      <c r="N6" s="66">
        <f>12-L6</f>
        <v>9.9666666666666668</v>
      </c>
    </row>
    <row r="7" spans="1:27" x14ac:dyDescent="0.3">
      <c r="A7" s="1331">
        <v>46253</v>
      </c>
      <c r="B7" s="1332"/>
      <c r="C7" s="141" t="s">
        <v>169</v>
      </c>
      <c r="D7" s="60">
        <v>6.9444444444444447E-4</v>
      </c>
      <c r="E7" s="60">
        <v>0.54097222222222219</v>
      </c>
      <c r="F7" s="61">
        <f t="shared" ref="F7:F36" si="0">(E7-D7)*1440</f>
        <v>778</v>
      </c>
      <c r="G7" s="261" t="s">
        <v>388</v>
      </c>
      <c r="J7" s="62">
        <v>46253</v>
      </c>
      <c r="K7" s="39">
        <f>F7</f>
        <v>778</v>
      </c>
      <c r="L7" s="39">
        <f>(1440-K7)/60</f>
        <v>11.033333333333333</v>
      </c>
      <c r="M7" s="38">
        <f>L7/12</f>
        <v>0.9194444444444444</v>
      </c>
      <c r="N7" s="66">
        <f>12-L7</f>
        <v>0.96666666666666679</v>
      </c>
    </row>
    <row r="8" spans="1:27" x14ac:dyDescent="0.3">
      <c r="A8" s="1331">
        <v>46254</v>
      </c>
      <c r="B8" s="1332"/>
      <c r="C8" s="141" t="s">
        <v>169</v>
      </c>
      <c r="D8" s="60">
        <v>6.9444444444444447E-4</v>
      </c>
      <c r="E8" s="60">
        <v>0.54097222222222219</v>
      </c>
      <c r="F8" s="61">
        <f t="shared" si="0"/>
        <v>778</v>
      </c>
      <c r="G8" s="65"/>
      <c r="J8" s="62">
        <v>46254</v>
      </c>
      <c r="K8" s="13">
        <f t="shared" ref="K8:K28" si="1">F8</f>
        <v>778</v>
      </c>
      <c r="L8" s="39">
        <f t="shared" ref="L8:L14" si="2">(1440-K8)/60</f>
        <v>11.033333333333333</v>
      </c>
      <c r="M8" s="38">
        <f>L8/12</f>
        <v>0.9194444444444444</v>
      </c>
      <c r="N8" s="66">
        <f t="shared" ref="N8:N17" si="3">12-L8</f>
        <v>0.96666666666666679</v>
      </c>
      <c r="Z8" s="1333" t="s">
        <v>209</v>
      </c>
      <c r="AA8" s="1334"/>
    </row>
    <row r="9" spans="1:27" x14ac:dyDescent="0.3">
      <c r="A9" s="1331">
        <v>46255</v>
      </c>
      <c r="B9" s="1332"/>
      <c r="C9" s="141" t="s">
        <v>169</v>
      </c>
      <c r="D9" s="60">
        <v>6.9444444444444447E-4</v>
      </c>
      <c r="E9" s="60">
        <v>0.60763888888888884</v>
      </c>
      <c r="F9" s="61">
        <f t="shared" si="0"/>
        <v>873.99999999999989</v>
      </c>
      <c r="G9" s="378" t="s">
        <v>419</v>
      </c>
      <c r="J9" s="62">
        <v>46255</v>
      </c>
      <c r="K9" s="13">
        <f t="shared" si="1"/>
        <v>873.99999999999989</v>
      </c>
      <c r="L9" s="39">
        <f t="shared" si="2"/>
        <v>9.4333333333333353</v>
      </c>
      <c r="M9" s="38">
        <f t="shared" ref="M9:M29" si="4">L9/12</f>
        <v>0.78611111111111132</v>
      </c>
      <c r="N9" s="66">
        <f t="shared" si="3"/>
        <v>2.5666666666666647</v>
      </c>
      <c r="Z9" s="149" t="s">
        <v>210</v>
      </c>
      <c r="AA9" s="147">
        <f>L43</f>
        <v>65.95</v>
      </c>
    </row>
    <row r="10" spans="1:27" x14ac:dyDescent="0.3">
      <c r="A10" s="1331">
        <v>46256</v>
      </c>
      <c r="B10" s="1332"/>
      <c r="C10" s="141" t="s">
        <v>169</v>
      </c>
      <c r="D10" s="60">
        <v>6.9444444444444447E-4</v>
      </c>
      <c r="E10" s="60">
        <v>0.625</v>
      </c>
      <c r="F10" s="61">
        <f>(E10-D10)*1440</f>
        <v>899</v>
      </c>
      <c r="G10" s="374" t="s">
        <v>412</v>
      </c>
      <c r="J10" s="62">
        <v>46256</v>
      </c>
      <c r="K10" s="39">
        <f>SUM(F10)</f>
        <v>899</v>
      </c>
      <c r="L10" s="39">
        <f>(1440-K10)/60</f>
        <v>9.0166666666666675</v>
      </c>
      <c r="M10" s="38">
        <f t="shared" si="4"/>
        <v>0.75138888888888899</v>
      </c>
      <c r="N10" s="66">
        <f>12-L10</f>
        <v>2.9833333333333325</v>
      </c>
      <c r="Z10" s="149" t="s">
        <v>211</v>
      </c>
      <c r="AA10" s="147">
        <f>N43</f>
        <v>66.05</v>
      </c>
    </row>
    <row r="11" spans="1:27" x14ac:dyDescent="0.3">
      <c r="A11" s="1331">
        <v>46257</v>
      </c>
      <c r="B11" s="1332"/>
      <c r="C11" s="141" t="s">
        <v>169</v>
      </c>
      <c r="D11" s="60">
        <v>6.9444444444444447E-4</v>
      </c>
      <c r="E11" s="60">
        <v>0.99930555555555556</v>
      </c>
      <c r="F11" s="61">
        <f>(E11-D11)*1440</f>
        <v>1438</v>
      </c>
      <c r="G11" s="374" t="s">
        <v>413</v>
      </c>
      <c r="J11" s="62">
        <v>46257</v>
      </c>
      <c r="K11" s="39">
        <f>SUM(F11)</f>
        <v>1438</v>
      </c>
      <c r="L11" s="39">
        <f>(1440-K11)/60</f>
        <v>3.3333333333333333E-2</v>
      </c>
      <c r="M11" s="38">
        <f t="shared" si="4"/>
        <v>2.7777777777777779E-3</v>
      </c>
      <c r="N11" s="66">
        <f t="shared" si="3"/>
        <v>11.966666666666667</v>
      </c>
      <c r="Z11" s="149" t="s">
        <v>213</v>
      </c>
      <c r="AA11" s="148">
        <f>L44</f>
        <v>0.61064814814814816</v>
      </c>
    </row>
    <row r="12" spans="1:27" x14ac:dyDescent="0.3">
      <c r="A12" s="1331">
        <v>46258</v>
      </c>
      <c r="B12" s="1332"/>
      <c r="C12" s="141" t="s">
        <v>169</v>
      </c>
      <c r="D12" s="60">
        <v>6.9444444444444447E-4</v>
      </c>
      <c r="E12" s="60">
        <v>0.58333333333333337</v>
      </c>
      <c r="F12" s="61">
        <f>(E12-D12)*1440</f>
        <v>839</v>
      </c>
      <c r="G12" s="375" t="s">
        <v>414</v>
      </c>
      <c r="J12" s="62">
        <v>46258</v>
      </c>
      <c r="K12" s="13">
        <f t="shared" si="1"/>
        <v>839</v>
      </c>
      <c r="L12" s="39">
        <f t="shared" si="2"/>
        <v>10.016666666666667</v>
      </c>
      <c r="M12" s="38">
        <f t="shared" si="4"/>
        <v>0.83472222222222225</v>
      </c>
      <c r="N12" s="66">
        <f t="shared" si="3"/>
        <v>1.9833333333333325</v>
      </c>
      <c r="Z12" s="149" t="s">
        <v>212</v>
      </c>
      <c r="AA12" s="148">
        <f>N44</f>
        <v>0</v>
      </c>
    </row>
    <row r="13" spans="1:27" x14ac:dyDescent="0.3">
      <c r="A13" s="1331">
        <v>46259</v>
      </c>
      <c r="B13" s="1332"/>
      <c r="C13" s="141" t="s">
        <v>169</v>
      </c>
      <c r="D13" s="60">
        <v>6.9444444444444447E-4</v>
      </c>
      <c r="E13" s="60">
        <v>0.99930555555555556</v>
      </c>
      <c r="F13" s="61">
        <f t="shared" si="0"/>
        <v>1438</v>
      </c>
      <c r="G13" s="376" t="s">
        <v>413</v>
      </c>
      <c r="J13" s="62">
        <v>46259</v>
      </c>
      <c r="K13" s="13">
        <f t="shared" si="1"/>
        <v>1438</v>
      </c>
      <c r="L13" s="39">
        <f t="shared" si="2"/>
        <v>3.3333333333333333E-2</v>
      </c>
      <c r="M13" s="38">
        <f t="shared" si="4"/>
        <v>2.7777777777777779E-3</v>
      </c>
      <c r="N13" s="66">
        <f t="shared" si="3"/>
        <v>11.966666666666667</v>
      </c>
    </row>
    <row r="14" spans="1:27" x14ac:dyDescent="0.3">
      <c r="A14" s="1331">
        <v>46260</v>
      </c>
      <c r="B14" s="1332"/>
      <c r="C14" s="141" t="s">
        <v>169</v>
      </c>
      <c r="D14" s="60">
        <v>6.9444444444444447E-4</v>
      </c>
      <c r="E14" s="60">
        <v>0.99930555555555556</v>
      </c>
      <c r="F14" s="61">
        <f t="shared" si="0"/>
        <v>1438</v>
      </c>
      <c r="G14" s="376" t="s">
        <v>413</v>
      </c>
      <c r="J14" s="62">
        <v>46260</v>
      </c>
      <c r="K14" s="13">
        <f t="shared" si="1"/>
        <v>1438</v>
      </c>
      <c r="L14" s="39">
        <f t="shared" si="2"/>
        <v>3.3333333333333333E-2</v>
      </c>
      <c r="M14" s="38">
        <f t="shared" si="4"/>
        <v>2.7777777777777779E-3</v>
      </c>
      <c r="N14" s="66">
        <f t="shared" si="3"/>
        <v>11.966666666666667</v>
      </c>
    </row>
    <row r="15" spans="1:27" ht="40.799999999999997" customHeight="1" x14ac:dyDescent="0.3">
      <c r="A15" s="1331">
        <v>46261</v>
      </c>
      <c r="B15" s="1332"/>
      <c r="C15" s="141" t="s">
        <v>169</v>
      </c>
      <c r="D15" s="60">
        <v>6.9444444444444447E-4</v>
      </c>
      <c r="E15" s="60">
        <v>0.78125</v>
      </c>
      <c r="F15" s="61">
        <f t="shared" si="0"/>
        <v>1124</v>
      </c>
      <c r="G15" s="381" t="s">
        <v>420</v>
      </c>
      <c r="J15" s="62">
        <v>46261</v>
      </c>
      <c r="K15" s="13">
        <f t="shared" si="1"/>
        <v>1124</v>
      </c>
      <c r="L15" s="39">
        <f t="shared" ref="L15:L17" si="5">(1440-K15)/60</f>
        <v>5.2666666666666666</v>
      </c>
      <c r="M15" s="38">
        <f t="shared" ref="M15" si="6">L15/12</f>
        <v>0.43888888888888888</v>
      </c>
      <c r="N15" s="66">
        <f t="shared" ref="N15" si="7">12-L15</f>
        <v>6.7333333333333334</v>
      </c>
    </row>
    <row r="16" spans="1:27" x14ac:dyDescent="0.3">
      <c r="A16" s="1331">
        <v>46262</v>
      </c>
      <c r="B16" s="1332"/>
      <c r="C16" s="141" t="s">
        <v>169</v>
      </c>
      <c r="D16" s="60">
        <v>6.9444444444444447E-4</v>
      </c>
      <c r="E16" s="60">
        <v>0.66666666666666663</v>
      </c>
      <c r="F16" s="61">
        <f t="shared" si="0"/>
        <v>959</v>
      </c>
      <c r="G16" s="379" t="s">
        <v>421</v>
      </c>
      <c r="J16" s="62">
        <v>46262</v>
      </c>
      <c r="K16" s="13">
        <f t="shared" si="1"/>
        <v>959</v>
      </c>
      <c r="L16" s="39">
        <f t="shared" si="5"/>
        <v>8.0166666666666675</v>
      </c>
      <c r="M16" s="38">
        <f t="shared" si="4"/>
        <v>0.66805555555555562</v>
      </c>
      <c r="N16" s="66">
        <f t="shared" si="3"/>
        <v>3.9833333333333325</v>
      </c>
    </row>
    <row r="17" spans="1:15" ht="28.8" x14ac:dyDescent="0.3">
      <c r="A17" s="1331">
        <v>46263</v>
      </c>
      <c r="B17" s="1332"/>
      <c r="C17" s="389" t="s">
        <v>169</v>
      </c>
      <c r="D17" s="60">
        <v>6.9444444444444447E-4</v>
      </c>
      <c r="E17" s="60">
        <v>0.58333333333333337</v>
      </c>
      <c r="F17" s="61">
        <f>(E17-D17)*1440</f>
        <v>839</v>
      </c>
      <c r="G17" s="390" t="s">
        <v>430</v>
      </c>
      <c r="J17" s="62">
        <v>46263</v>
      </c>
      <c r="K17" s="13">
        <f t="shared" si="1"/>
        <v>839</v>
      </c>
      <c r="L17" s="39">
        <f t="shared" si="5"/>
        <v>10.016666666666667</v>
      </c>
      <c r="M17" s="38">
        <f t="shared" si="4"/>
        <v>0.83472222222222225</v>
      </c>
      <c r="N17" s="66">
        <f t="shared" si="3"/>
        <v>1.9833333333333325</v>
      </c>
    </row>
    <row r="18" spans="1:15" x14ac:dyDescent="0.3">
      <c r="A18" s="1331">
        <v>46264</v>
      </c>
      <c r="B18" s="1332"/>
      <c r="C18" s="398" t="s">
        <v>169</v>
      </c>
      <c r="D18" s="60">
        <v>6.9444444444444447E-4</v>
      </c>
      <c r="E18" s="60">
        <v>0.91597222222222219</v>
      </c>
      <c r="F18" s="61">
        <f t="shared" si="0"/>
        <v>1318</v>
      </c>
      <c r="G18" s="65"/>
      <c r="J18" s="62">
        <v>46264</v>
      </c>
      <c r="K18" s="13">
        <f t="shared" si="1"/>
        <v>1318</v>
      </c>
      <c r="L18" s="39">
        <f t="shared" ref="L18" si="8">(1440-K18)/60</f>
        <v>2.0333333333333332</v>
      </c>
      <c r="M18" s="38">
        <f t="shared" ref="M18:M19" si="9">L18/12</f>
        <v>0.16944444444444443</v>
      </c>
      <c r="N18" s="66">
        <f t="shared" ref="N18" si="10">12-L18</f>
        <v>9.9666666666666668</v>
      </c>
    </row>
    <row r="19" spans="1:15" x14ac:dyDescent="0.3">
      <c r="A19" s="1331">
        <v>46265</v>
      </c>
      <c r="B19" s="1332"/>
      <c r="C19" s="64"/>
      <c r="D19" s="60"/>
      <c r="E19" s="60"/>
      <c r="F19" s="61">
        <f t="shared" si="0"/>
        <v>0</v>
      </c>
      <c r="G19" s="399" t="s">
        <v>432</v>
      </c>
      <c r="J19" s="62">
        <v>46265</v>
      </c>
      <c r="K19" s="13">
        <f t="shared" si="1"/>
        <v>0</v>
      </c>
      <c r="L19" s="39"/>
      <c r="M19" s="38">
        <f t="shared" si="9"/>
        <v>0</v>
      </c>
      <c r="N19" s="66"/>
    </row>
    <row r="20" spans="1:15" x14ac:dyDescent="0.3">
      <c r="A20" s="1331">
        <v>46266</v>
      </c>
      <c r="B20" s="1332"/>
      <c r="C20" s="64"/>
      <c r="D20" s="60"/>
      <c r="E20" s="60"/>
      <c r="F20" s="61">
        <f t="shared" si="0"/>
        <v>0</v>
      </c>
      <c r="G20" s="65"/>
      <c r="J20" s="62">
        <v>46266</v>
      </c>
      <c r="K20" s="13">
        <f t="shared" si="1"/>
        <v>0</v>
      </c>
      <c r="L20" s="39"/>
      <c r="M20" s="38">
        <f t="shared" si="4"/>
        <v>0</v>
      </c>
      <c r="N20" s="6"/>
    </row>
    <row r="21" spans="1:15" x14ac:dyDescent="0.3">
      <c r="A21" s="1331">
        <v>46267</v>
      </c>
      <c r="B21" s="1332"/>
      <c r="C21" s="64"/>
      <c r="D21" s="60"/>
      <c r="E21" s="60"/>
      <c r="F21" s="61">
        <f t="shared" si="0"/>
        <v>0</v>
      </c>
      <c r="G21" s="65"/>
      <c r="J21" s="62">
        <v>46267</v>
      </c>
      <c r="K21" s="13">
        <f t="shared" si="1"/>
        <v>0</v>
      </c>
      <c r="L21" s="39"/>
      <c r="M21" s="38">
        <f t="shared" si="4"/>
        <v>0</v>
      </c>
      <c r="N21" s="6"/>
    </row>
    <row r="22" spans="1:15" x14ac:dyDescent="0.3">
      <c r="A22" s="1331">
        <v>46268</v>
      </c>
      <c r="B22" s="1332"/>
      <c r="C22" s="64"/>
      <c r="D22" s="60"/>
      <c r="E22" s="60"/>
      <c r="F22" s="61">
        <f t="shared" si="0"/>
        <v>0</v>
      </c>
      <c r="G22" s="65"/>
      <c r="J22" s="62">
        <v>46268</v>
      </c>
      <c r="K22" s="13">
        <f t="shared" si="1"/>
        <v>0</v>
      </c>
      <c r="L22" s="39"/>
      <c r="M22" s="38">
        <f t="shared" si="4"/>
        <v>0</v>
      </c>
      <c r="N22" s="6"/>
    </row>
    <row r="23" spans="1:15" x14ac:dyDescent="0.3">
      <c r="A23" s="1331">
        <v>46269</v>
      </c>
      <c r="B23" s="1332"/>
      <c r="C23" s="64"/>
      <c r="D23" s="60"/>
      <c r="E23" s="60"/>
      <c r="F23" s="61">
        <f t="shared" si="0"/>
        <v>0</v>
      </c>
      <c r="G23" s="65"/>
      <c r="J23" s="62">
        <v>46269</v>
      </c>
      <c r="K23" s="13">
        <f t="shared" si="1"/>
        <v>0</v>
      </c>
      <c r="L23" s="39"/>
      <c r="M23" s="38">
        <f t="shared" si="4"/>
        <v>0</v>
      </c>
      <c r="N23" s="6"/>
    </row>
    <row r="24" spans="1:15" x14ac:dyDescent="0.3">
      <c r="A24" s="1331">
        <v>46270</v>
      </c>
      <c r="B24" s="1332"/>
      <c r="C24" s="64"/>
      <c r="D24" s="60"/>
      <c r="E24" s="60"/>
      <c r="F24" s="61">
        <f t="shared" si="0"/>
        <v>0</v>
      </c>
      <c r="G24" s="65"/>
      <c r="J24" s="62">
        <v>46270</v>
      </c>
      <c r="K24" s="13">
        <f t="shared" si="1"/>
        <v>0</v>
      </c>
      <c r="L24" s="39"/>
      <c r="M24" s="38">
        <f t="shared" si="4"/>
        <v>0</v>
      </c>
      <c r="N24" s="6"/>
    </row>
    <row r="25" spans="1:15" x14ac:dyDescent="0.3">
      <c r="A25" s="1331">
        <v>46271</v>
      </c>
      <c r="B25" s="1332"/>
      <c r="C25" s="64"/>
      <c r="D25" s="60"/>
      <c r="E25" s="60"/>
      <c r="F25" s="61">
        <f t="shared" si="0"/>
        <v>0</v>
      </c>
      <c r="G25" s="65"/>
      <c r="J25" s="62">
        <v>46271</v>
      </c>
      <c r="K25" s="13">
        <f t="shared" si="1"/>
        <v>0</v>
      </c>
      <c r="L25" s="39"/>
      <c r="M25" s="38">
        <f t="shared" si="4"/>
        <v>0</v>
      </c>
      <c r="N25" s="6"/>
    </row>
    <row r="26" spans="1:15" x14ac:dyDescent="0.3">
      <c r="A26" s="1331">
        <v>46272</v>
      </c>
      <c r="B26" s="1332"/>
      <c r="C26" s="64"/>
      <c r="D26" s="60"/>
      <c r="E26" s="60"/>
      <c r="F26" s="61">
        <f t="shared" si="0"/>
        <v>0</v>
      </c>
      <c r="G26" s="65"/>
      <c r="J26" s="62">
        <v>46272</v>
      </c>
      <c r="K26" s="13">
        <f t="shared" si="1"/>
        <v>0</v>
      </c>
      <c r="L26" s="39"/>
      <c r="M26" s="38">
        <f t="shared" si="4"/>
        <v>0</v>
      </c>
      <c r="N26" s="6"/>
    </row>
    <row r="27" spans="1:15" x14ac:dyDescent="0.3">
      <c r="A27" s="1331">
        <v>46273</v>
      </c>
      <c r="B27" s="1332"/>
      <c r="C27" s="64"/>
      <c r="D27" s="60"/>
      <c r="E27" s="60"/>
      <c r="F27" s="61">
        <f t="shared" si="0"/>
        <v>0</v>
      </c>
      <c r="G27" s="65"/>
      <c r="J27" s="62">
        <v>46273</v>
      </c>
      <c r="K27" s="13">
        <f t="shared" si="1"/>
        <v>0</v>
      </c>
      <c r="L27" s="39"/>
      <c r="M27" s="38">
        <f t="shared" si="4"/>
        <v>0</v>
      </c>
      <c r="N27" s="6"/>
    </row>
    <row r="28" spans="1:15" x14ac:dyDescent="0.3">
      <c r="A28" s="1331">
        <v>46274</v>
      </c>
      <c r="B28" s="1332"/>
      <c r="C28" s="64"/>
      <c r="D28" s="60"/>
      <c r="E28" s="60"/>
      <c r="F28" s="61">
        <f t="shared" si="0"/>
        <v>0</v>
      </c>
      <c r="G28" s="65"/>
      <c r="J28" s="62">
        <v>46274</v>
      </c>
      <c r="K28" s="13">
        <f t="shared" si="1"/>
        <v>0</v>
      </c>
      <c r="L28" s="39"/>
      <c r="M28" s="38">
        <f t="shared" si="4"/>
        <v>0</v>
      </c>
      <c r="N28" s="6"/>
    </row>
    <row r="29" spans="1:15" x14ac:dyDescent="0.3">
      <c r="A29" s="1331">
        <v>46275</v>
      </c>
      <c r="B29" s="1332"/>
      <c r="C29" s="64"/>
      <c r="D29" s="60"/>
      <c r="E29" s="60"/>
      <c r="F29" s="61"/>
      <c r="G29" s="65"/>
      <c r="J29" s="62">
        <v>46275</v>
      </c>
      <c r="K29" s="115">
        <f>SUM(F29:F32)</f>
        <v>0</v>
      </c>
      <c r="L29" s="115"/>
      <c r="M29" s="38">
        <f t="shared" si="4"/>
        <v>0</v>
      </c>
      <c r="N29" s="6"/>
    </row>
    <row r="30" spans="1:15" x14ac:dyDescent="0.3">
      <c r="A30" s="1331">
        <v>46276</v>
      </c>
      <c r="B30" s="1332"/>
      <c r="C30" s="64"/>
      <c r="D30" s="60"/>
      <c r="E30" s="60"/>
      <c r="F30" s="61"/>
      <c r="G30" s="65"/>
      <c r="J30" s="62">
        <v>46276</v>
      </c>
      <c r="K30" s="115"/>
      <c r="L30" s="115"/>
      <c r="M30" s="116"/>
      <c r="N30" s="6"/>
      <c r="O30" s="10"/>
    </row>
    <row r="31" spans="1:15" x14ac:dyDescent="0.3">
      <c r="A31" s="1331">
        <v>46277</v>
      </c>
      <c r="B31" s="1332"/>
      <c r="C31" s="64"/>
      <c r="D31" s="60"/>
      <c r="E31" s="60"/>
      <c r="F31" s="61"/>
      <c r="G31" s="65"/>
      <c r="J31" s="62">
        <v>46277</v>
      </c>
      <c r="K31" s="115"/>
      <c r="L31" s="115"/>
      <c r="M31" s="116"/>
      <c r="N31" s="6"/>
    </row>
    <row r="32" spans="1:15" x14ac:dyDescent="0.3">
      <c r="A32" s="1331">
        <v>46278</v>
      </c>
      <c r="B32" s="1332"/>
      <c r="C32" s="64"/>
      <c r="D32" s="60"/>
      <c r="E32" s="60"/>
      <c r="F32" s="61"/>
      <c r="G32" s="65"/>
      <c r="J32" s="62">
        <v>46278</v>
      </c>
      <c r="K32" s="115"/>
      <c r="L32" s="115"/>
      <c r="M32" s="116"/>
      <c r="N32" s="6"/>
    </row>
    <row r="33" spans="1:15" x14ac:dyDescent="0.3">
      <c r="A33" s="1331">
        <v>46279</v>
      </c>
      <c r="B33" s="1332"/>
      <c r="C33" s="64"/>
      <c r="D33" s="60"/>
      <c r="E33" s="60"/>
      <c r="F33" s="61"/>
      <c r="G33" s="65"/>
      <c r="J33" s="62">
        <v>46279</v>
      </c>
      <c r="K33" s="115">
        <f>SUM(F34:F35)</f>
        <v>0</v>
      </c>
      <c r="L33" s="115"/>
      <c r="M33" s="116">
        <f t="shared" ref="M33:M36" si="11">L33/24</f>
        <v>0</v>
      </c>
      <c r="N33" s="6"/>
    </row>
    <row r="34" spans="1:15" x14ac:dyDescent="0.3">
      <c r="A34" s="1331">
        <v>46280</v>
      </c>
      <c r="B34" s="1332"/>
      <c r="C34" s="64"/>
      <c r="D34" s="60"/>
      <c r="E34" s="60"/>
      <c r="F34" s="61">
        <f t="shared" si="0"/>
        <v>0</v>
      </c>
      <c r="G34" s="65" t="s">
        <v>152</v>
      </c>
      <c r="J34" s="62">
        <v>46280</v>
      </c>
      <c r="K34" s="115"/>
      <c r="L34" s="115"/>
      <c r="M34" s="116"/>
      <c r="N34" s="6"/>
    </row>
    <row r="35" spans="1:15" x14ac:dyDescent="0.3">
      <c r="A35" s="1331">
        <v>46281</v>
      </c>
      <c r="B35" s="1332"/>
      <c r="C35" s="64"/>
      <c r="D35" s="60"/>
      <c r="E35" s="60"/>
      <c r="F35" s="61">
        <f t="shared" si="0"/>
        <v>0</v>
      </c>
      <c r="G35" s="65" t="s">
        <v>152</v>
      </c>
      <c r="J35" s="62">
        <v>46281</v>
      </c>
      <c r="K35" s="115"/>
      <c r="L35" s="115"/>
      <c r="M35" s="116"/>
      <c r="N35" s="6"/>
    </row>
    <row r="36" spans="1:15" x14ac:dyDescent="0.3">
      <c r="A36" s="1331">
        <v>46282</v>
      </c>
      <c r="B36" s="1332"/>
      <c r="C36" s="64"/>
      <c r="D36" s="60"/>
      <c r="E36" s="60"/>
      <c r="F36" s="61">
        <f t="shared" si="0"/>
        <v>0</v>
      </c>
      <c r="G36" s="65"/>
      <c r="J36" s="62">
        <v>46282</v>
      </c>
      <c r="K36" s="66">
        <f>SUM(F36:F37)</f>
        <v>0</v>
      </c>
      <c r="L36" s="115"/>
      <c r="M36" s="116">
        <f t="shared" si="11"/>
        <v>0</v>
      </c>
      <c r="N36" s="6"/>
    </row>
    <row r="37" spans="1:15" x14ac:dyDescent="0.3">
      <c r="A37" s="1331">
        <v>46283</v>
      </c>
      <c r="B37" s="1332"/>
      <c r="C37" s="64"/>
      <c r="D37" s="60"/>
      <c r="E37" s="60"/>
      <c r="F37" s="61"/>
      <c r="G37" s="65"/>
      <c r="J37" s="250"/>
      <c r="K37" s="66"/>
      <c r="L37" s="115"/>
      <c r="M37" s="116"/>
      <c r="N37" s="6"/>
    </row>
    <row r="38" spans="1:15" x14ac:dyDescent="0.3">
      <c r="A38" s="1331">
        <v>46284</v>
      </c>
      <c r="B38" s="1332"/>
      <c r="C38" s="64"/>
      <c r="D38" s="67"/>
      <c r="E38" s="67"/>
      <c r="F38" s="61"/>
      <c r="G38" s="65"/>
      <c r="J38" s="62"/>
      <c r="K38" s="66"/>
      <c r="L38" s="6"/>
      <c r="M38" s="63"/>
      <c r="N38" s="6"/>
    </row>
    <row r="39" spans="1:15" x14ac:dyDescent="0.3">
      <c r="A39" s="1331">
        <v>46285</v>
      </c>
      <c r="B39" s="1332"/>
      <c r="C39" s="64"/>
      <c r="D39" s="67"/>
      <c r="E39" s="67"/>
      <c r="F39" s="61"/>
      <c r="G39" s="65"/>
      <c r="J39" s="62"/>
      <c r="K39" s="6"/>
      <c r="L39" s="6"/>
      <c r="M39" s="63"/>
      <c r="N39" s="6"/>
    </row>
    <row r="40" spans="1:15" x14ac:dyDescent="0.3">
      <c r="A40" s="1331">
        <v>46286</v>
      </c>
      <c r="B40" s="1332"/>
      <c r="C40" s="64"/>
      <c r="D40" s="67"/>
      <c r="E40" s="67"/>
      <c r="F40" s="61"/>
      <c r="G40" s="65"/>
      <c r="J40" s="62"/>
      <c r="K40" s="6"/>
      <c r="L40" s="6"/>
      <c r="M40" s="63"/>
      <c r="N40" s="6"/>
    </row>
    <row r="41" spans="1:15" x14ac:dyDescent="0.3">
      <c r="A41" s="1331">
        <v>46287</v>
      </c>
      <c r="B41" s="1332"/>
      <c r="C41" s="64"/>
      <c r="D41" s="67"/>
      <c r="E41" s="67"/>
      <c r="F41" s="61"/>
      <c r="G41" s="65"/>
      <c r="J41" s="62"/>
      <c r="K41" s="6"/>
      <c r="L41" s="6"/>
      <c r="M41" s="63"/>
      <c r="N41" s="6"/>
    </row>
    <row r="42" spans="1:15" x14ac:dyDescent="0.3">
      <c r="A42" s="1331">
        <v>46288</v>
      </c>
      <c r="B42" s="1332"/>
      <c r="C42" s="64"/>
      <c r="D42" s="67"/>
      <c r="E42" s="67"/>
      <c r="F42" s="61"/>
      <c r="G42" s="65"/>
      <c r="J42" s="62"/>
      <c r="K42" s="6"/>
      <c r="L42" s="6"/>
      <c r="M42" s="63"/>
      <c r="N42" s="6"/>
      <c r="O42" s="1" t="s">
        <v>415</v>
      </c>
    </row>
    <row r="43" spans="1:15" x14ac:dyDescent="0.3">
      <c r="J43" s="15" t="s">
        <v>17</v>
      </c>
      <c r="K43" s="68">
        <f>SUM(K6:K42)</f>
        <v>14040</v>
      </c>
      <c r="L43" s="69">
        <f>SUM(L6:L16)</f>
        <v>65.95</v>
      </c>
      <c r="M43" s="70">
        <f>L43/O43</f>
        <v>0.49962121212121213</v>
      </c>
      <c r="N43" s="66">
        <f>SUM(N6:N16)</f>
        <v>66.05</v>
      </c>
      <c r="O43" s="10">
        <f>L43+N43</f>
        <v>132</v>
      </c>
    </row>
    <row r="44" spans="1:15" x14ac:dyDescent="0.3">
      <c r="J44" s="37" t="s">
        <v>68</v>
      </c>
      <c r="K44" s="71">
        <f>K43/60</f>
        <v>234</v>
      </c>
      <c r="L44" s="9">
        <f>L43/L46</f>
        <v>0.61064814814814816</v>
      </c>
      <c r="M44" s="12"/>
      <c r="N44" s="9"/>
    </row>
    <row r="45" spans="1:15" x14ac:dyDescent="0.3">
      <c r="J45" s="4"/>
    </row>
    <row r="46" spans="1:15" x14ac:dyDescent="0.3">
      <c r="L46" s="12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F315-6833-4F8E-A5AE-77D61C7DEA17}">
  <dimension ref="B1:AB54"/>
  <sheetViews>
    <sheetView topLeftCell="A13" zoomScale="12" workbookViewId="0">
      <selection activeCell="L29" sqref="L29"/>
    </sheetView>
  </sheetViews>
  <sheetFormatPr defaultColWidth="9.109375" defaultRowHeight="91.8" x14ac:dyDescent="1.65"/>
  <cols>
    <col min="1" max="1" width="9.109375" style="844"/>
    <col min="2" max="2" width="29.88671875" style="844" bestFit="1" customWidth="1"/>
    <col min="3" max="3" width="96.6640625" style="844" bestFit="1" customWidth="1"/>
    <col min="4" max="4" width="110.44140625" style="844" customWidth="1"/>
    <col min="5" max="5" width="171.33203125" style="844" customWidth="1"/>
    <col min="6" max="7" width="151" style="844" customWidth="1"/>
    <col min="8" max="8" width="35.88671875" style="844" bestFit="1" customWidth="1"/>
    <col min="9" max="9" width="133.88671875" style="844" customWidth="1"/>
    <col min="10" max="10" width="112.109375" style="844" customWidth="1"/>
    <col min="11" max="11" width="72.6640625" style="844" customWidth="1"/>
    <col min="12" max="12" width="82.109375" style="844" bestFit="1" customWidth="1"/>
    <col min="13" max="13" width="42.33203125" style="844" customWidth="1"/>
    <col min="14" max="19" width="9.109375" style="844"/>
    <col min="20" max="20" width="33.5546875" style="844" customWidth="1"/>
    <col min="21" max="21" width="17.44140625" style="844" customWidth="1"/>
    <col min="22" max="25" width="9.109375" style="844"/>
    <col min="26" max="26" width="23" style="844" customWidth="1"/>
    <col min="27" max="27" width="24.44140625" style="844" customWidth="1"/>
    <col min="28" max="28" width="39" style="844" customWidth="1"/>
    <col min="29" max="16384" width="9.109375" style="844"/>
  </cols>
  <sheetData>
    <row r="1" spans="2:28" x14ac:dyDescent="1.65">
      <c r="B1" s="841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3"/>
    </row>
    <row r="2" spans="2:28" x14ac:dyDescent="1.65">
      <c r="B2" s="1342" t="s">
        <v>601</v>
      </c>
      <c r="C2" s="1343"/>
      <c r="D2" s="1343"/>
      <c r="E2" s="1343"/>
      <c r="F2" s="1343"/>
      <c r="G2" s="1343"/>
      <c r="H2" s="1343"/>
      <c r="I2" s="1343"/>
      <c r="J2" s="1343"/>
      <c r="K2" s="1343"/>
      <c r="L2" s="1343"/>
      <c r="M2" s="1343"/>
      <c r="N2" s="1343"/>
      <c r="O2" s="1343"/>
      <c r="P2" s="1343"/>
      <c r="Q2" s="1343"/>
      <c r="R2" s="1343"/>
      <c r="S2" s="1343"/>
      <c r="T2" s="1344"/>
    </row>
    <row r="3" spans="2:28" x14ac:dyDescent="1.65">
      <c r="B3" s="846"/>
      <c r="C3" s="1343" t="s">
        <v>602</v>
      </c>
      <c r="D3" s="1343"/>
      <c r="E3" s="1343"/>
      <c r="F3" s="1343"/>
      <c r="G3" s="1343"/>
      <c r="H3" s="1343"/>
      <c r="I3" s="1343"/>
      <c r="J3" s="1343"/>
      <c r="K3" s="1343"/>
      <c r="L3" s="1343"/>
      <c r="M3" s="1343"/>
      <c r="N3" s="1343"/>
      <c r="O3" s="1343"/>
      <c r="P3" s="1343"/>
      <c r="Q3" s="1343"/>
      <c r="R3" s="1343"/>
      <c r="S3" s="1343"/>
      <c r="T3" s="1344"/>
    </row>
    <row r="4" spans="2:28" ht="92.4" thickBot="1" x14ac:dyDescent="1.7">
      <c r="B4" s="1345" t="s">
        <v>603</v>
      </c>
      <c r="C4" s="1346"/>
      <c r="D4" s="1346"/>
      <c r="E4" s="1346"/>
      <c r="F4" s="1346"/>
      <c r="G4" s="1346"/>
      <c r="H4" s="1346"/>
      <c r="I4" s="1346"/>
      <c r="J4" s="1346"/>
      <c r="K4" s="1346"/>
      <c r="L4" s="1346"/>
      <c r="M4" s="1346"/>
      <c r="N4" s="1346"/>
      <c r="O4" s="1346"/>
      <c r="P4" s="1346"/>
      <c r="Q4" s="1346"/>
      <c r="R4" s="1346"/>
      <c r="S4" s="1346"/>
      <c r="T4" s="1347"/>
    </row>
    <row r="5" spans="2:28" x14ac:dyDescent="1.65">
      <c r="B5" s="847"/>
      <c r="C5" s="848"/>
      <c r="D5" s="848"/>
      <c r="E5" s="848"/>
      <c r="F5" s="848"/>
      <c r="G5" s="848"/>
      <c r="H5" s="842"/>
      <c r="I5" s="848"/>
      <c r="J5" s="848"/>
      <c r="K5" s="848"/>
      <c r="L5" s="848"/>
      <c r="M5" s="848"/>
      <c r="N5" s="848"/>
      <c r="O5" s="848"/>
      <c r="P5" s="848"/>
      <c r="Q5" s="848"/>
      <c r="R5" s="848"/>
      <c r="S5" s="848"/>
      <c r="T5" s="849"/>
      <c r="U5" s="850"/>
    </row>
    <row r="6" spans="2:28" x14ac:dyDescent="1.65">
      <c r="B6" s="1348" t="s">
        <v>622</v>
      </c>
      <c r="C6" s="1349"/>
      <c r="D6" s="1349"/>
      <c r="E6" s="1349"/>
      <c r="F6" s="1349"/>
      <c r="G6" s="1349"/>
      <c r="H6" s="1349"/>
      <c r="I6" s="1349"/>
      <c r="J6" s="1349"/>
      <c r="K6" s="1349"/>
      <c r="L6" s="1349"/>
      <c r="M6" s="1349"/>
      <c r="N6" s="1349"/>
      <c r="O6" s="1349"/>
      <c r="P6" s="1349"/>
      <c r="Q6" s="1349"/>
      <c r="R6" s="1349"/>
      <c r="S6" s="1349"/>
      <c r="T6" s="1350"/>
    </row>
    <row r="7" spans="2:28" ht="92.4" thickBot="1" x14ac:dyDescent="1.7">
      <c r="B7" s="1351"/>
      <c r="C7" s="1352"/>
      <c r="D7" s="1352"/>
      <c r="E7" s="1352"/>
      <c r="F7" s="1352"/>
      <c r="G7" s="1352"/>
      <c r="H7" s="1352"/>
      <c r="I7" s="1352"/>
      <c r="J7" s="1352"/>
      <c r="K7" s="1352"/>
      <c r="L7" s="1352"/>
      <c r="M7" s="1352"/>
      <c r="N7" s="1352"/>
      <c r="O7" s="1352"/>
      <c r="P7" s="1352"/>
      <c r="Q7" s="1352"/>
      <c r="R7" s="1352"/>
      <c r="S7" s="1352"/>
      <c r="T7" s="1353"/>
    </row>
    <row r="8" spans="2:28" x14ac:dyDescent="1.65">
      <c r="B8" s="851"/>
      <c r="T8" s="852"/>
    </row>
    <row r="9" spans="2:28" x14ac:dyDescent="1.65">
      <c r="B9" s="851"/>
      <c r="T9" s="852"/>
    </row>
    <row r="10" spans="2:28" x14ac:dyDescent="1.65">
      <c r="B10" s="851"/>
      <c r="T10" s="852"/>
    </row>
    <row r="11" spans="2:28" x14ac:dyDescent="1.65">
      <c r="B11" s="851"/>
      <c r="T11" s="852"/>
    </row>
    <row r="12" spans="2:28" x14ac:dyDescent="1.65">
      <c r="B12" s="851"/>
      <c r="T12" s="852"/>
    </row>
    <row r="13" spans="2:28" x14ac:dyDescent="1.65">
      <c r="B13" s="845"/>
      <c r="C13" s="853" t="s">
        <v>70</v>
      </c>
      <c r="D13" s="853" t="s">
        <v>0</v>
      </c>
      <c r="E13" s="853" t="s">
        <v>604</v>
      </c>
      <c r="F13" s="853" t="s">
        <v>667</v>
      </c>
      <c r="G13" s="853" t="s">
        <v>611</v>
      </c>
      <c r="H13" s="853" t="s">
        <v>605</v>
      </c>
      <c r="I13" s="853" t="s">
        <v>606</v>
      </c>
      <c r="J13" s="853" t="s">
        <v>607</v>
      </c>
      <c r="K13" s="853" t="s">
        <v>608</v>
      </c>
      <c r="L13" s="853" t="s">
        <v>225</v>
      </c>
      <c r="M13" s="853" t="s">
        <v>609</v>
      </c>
      <c r="T13" s="852"/>
      <c r="Z13" s="1354" t="s">
        <v>620</v>
      </c>
      <c r="AA13" s="1354"/>
      <c r="AB13" s="1354"/>
    </row>
    <row r="14" spans="2:28" x14ac:dyDescent="1.65">
      <c r="B14" s="854"/>
      <c r="C14" s="855">
        <v>1</v>
      </c>
      <c r="D14" s="861">
        <v>46268</v>
      </c>
      <c r="E14" s="855" t="s">
        <v>612</v>
      </c>
      <c r="F14" s="855" t="s">
        <v>613</v>
      </c>
      <c r="G14" s="855">
        <v>1000</v>
      </c>
      <c r="H14" s="855">
        <v>1</v>
      </c>
      <c r="I14" s="855">
        <v>10</v>
      </c>
      <c r="J14" s="855">
        <v>0</v>
      </c>
      <c r="K14" s="855">
        <v>0.01</v>
      </c>
      <c r="L14" s="855" t="s">
        <v>619</v>
      </c>
      <c r="M14" s="1089">
        <v>7</v>
      </c>
      <c r="T14" s="852"/>
      <c r="Z14" s="844">
        <v>1</v>
      </c>
      <c r="AA14" s="844" t="s">
        <v>621</v>
      </c>
    </row>
    <row r="15" spans="2:28" x14ac:dyDescent="1.65">
      <c r="B15" s="854"/>
      <c r="C15" s="855">
        <v>2</v>
      </c>
      <c r="D15" s="861">
        <v>46269</v>
      </c>
      <c r="E15" s="855" t="s">
        <v>612</v>
      </c>
      <c r="F15" s="855" t="s">
        <v>613</v>
      </c>
      <c r="G15" s="855">
        <v>1000</v>
      </c>
      <c r="H15" s="855">
        <v>1</v>
      </c>
      <c r="I15" s="855">
        <v>10</v>
      </c>
      <c r="J15" s="855">
        <v>0</v>
      </c>
      <c r="K15" s="855">
        <v>0.01</v>
      </c>
      <c r="L15" s="855" t="s">
        <v>619</v>
      </c>
      <c r="M15" s="1089">
        <v>7</v>
      </c>
      <c r="T15" s="852"/>
      <c r="Z15" s="844">
        <v>2</v>
      </c>
      <c r="AA15" s="844" t="s">
        <v>618</v>
      </c>
    </row>
    <row r="16" spans="2:28" x14ac:dyDescent="1.65">
      <c r="B16" s="854"/>
      <c r="C16" s="855">
        <v>3</v>
      </c>
      <c r="D16" s="861">
        <v>46269</v>
      </c>
      <c r="E16" s="855" t="s">
        <v>615</v>
      </c>
      <c r="F16" s="855" t="s">
        <v>613</v>
      </c>
      <c r="G16" s="855">
        <v>1000</v>
      </c>
      <c r="H16" s="855">
        <v>1</v>
      </c>
      <c r="I16" s="855">
        <v>10</v>
      </c>
      <c r="J16" s="855">
        <v>0</v>
      </c>
      <c r="K16" s="855">
        <v>0.01</v>
      </c>
      <c r="L16" s="855" t="s">
        <v>619</v>
      </c>
      <c r="M16" s="1089">
        <v>7</v>
      </c>
      <c r="T16" s="852"/>
      <c r="Z16" s="844">
        <v>3</v>
      </c>
      <c r="AA16" s="844" t="s">
        <v>610</v>
      </c>
    </row>
    <row r="17" spans="2:20" x14ac:dyDescent="1.65">
      <c r="B17" s="851"/>
      <c r="C17" s="855">
        <v>4</v>
      </c>
      <c r="D17" s="862">
        <v>46270</v>
      </c>
      <c r="E17" s="856" t="s">
        <v>616</v>
      </c>
      <c r="F17" s="855" t="s">
        <v>613</v>
      </c>
      <c r="G17" s="855">
        <v>1000</v>
      </c>
      <c r="H17" s="855">
        <v>1</v>
      </c>
      <c r="I17" s="855">
        <v>10</v>
      </c>
      <c r="J17" s="855">
        <v>0</v>
      </c>
      <c r="K17" s="855">
        <v>0.01</v>
      </c>
      <c r="L17" s="855" t="s">
        <v>619</v>
      </c>
      <c r="M17" s="1089">
        <v>7</v>
      </c>
      <c r="T17" s="852"/>
    </row>
    <row r="18" spans="2:20" x14ac:dyDescent="1.65">
      <c r="B18" s="851"/>
      <c r="C18" s="855">
        <v>5</v>
      </c>
      <c r="D18" s="862">
        <v>46274</v>
      </c>
      <c r="E18" s="856" t="s">
        <v>617</v>
      </c>
      <c r="F18" s="855" t="s">
        <v>618</v>
      </c>
      <c r="G18" s="855">
        <v>1000</v>
      </c>
      <c r="H18" s="855">
        <v>1</v>
      </c>
      <c r="I18" s="855">
        <v>10</v>
      </c>
      <c r="J18" s="855">
        <v>0</v>
      </c>
      <c r="K18" s="855">
        <v>0.01</v>
      </c>
      <c r="L18" s="855" t="s">
        <v>619</v>
      </c>
      <c r="M18" s="1089">
        <v>7</v>
      </c>
      <c r="T18" s="852"/>
    </row>
    <row r="19" spans="2:20" x14ac:dyDescent="1.65">
      <c r="B19" s="851"/>
      <c r="C19" s="855">
        <v>6</v>
      </c>
      <c r="D19" s="862">
        <v>46274</v>
      </c>
      <c r="E19" s="856" t="s">
        <v>614</v>
      </c>
      <c r="F19" s="855" t="s">
        <v>613</v>
      </c>
      <c r="G19" s="855">
        <v>1000</v>
      </c>
      <c r="H19" s="855">
        <v>1</v>
      </c>
      <c r="I19" s="855">
        <v>10</v>
      </c>
      <c r="J19" s="855">
        <v>0</v>
      </c>
      <c r="K19" s="855">
        <v>0.01</v>
      </c>
      <c r="L19" s="855" t="s">
        <v>619</v>
      </c>
      <c r="M19" s="1089">
        <v>7</v>
      </c>
      <c r="T19" s="852"/>
    </row>
    <row r="20" spans="2:20" x14ac:dyDescent="1.65">
      <c r="B20" s="851"/>
      <c r="C20" s="855">
        <v>7</v>
      </c>
      <c r="D20" s="862">
        <v>46275</v>
      </c>
      <c r="E20" s="856" t="s">
        <v>616</v>
      </c>
      <c r="F20" s="855" t="s">
        <v>613</v>
      </c>
      <c r="G20" s="855">
        <v>1000</v>
      </c>
      <c r="H20" s="855">
        <v>1</v>
      </c>
      <c r="I20" s="855">
        <v>10</v>
      </c>
      <c r="J20" s="855">
        <v>0</v>
      </c>
      <c r="K20" s="855">
        <v>0.01</v>
      </c>
      <c r="L20" s="855" t="s">
        <v>619</v>
      </c>
      <c r="M20" s="1089">
        <v>7</v>
      </c>
      <c r="T20" s="852"/>
    </row>
    <row r="21" spans="2:20" x14ac:dyDescent="1.65">
      <c r="B21" s="851"/>
      <c r="C21" s="855">
        <v>8</v>
      </c>
      <c r="D21" s="862">
        <v>46275</v>
      </c>
      <c r="E21" s="856" t="s">
        <v>614</v>
      </c>
      <c r="F21" s="855" t="s">
        <v>613</v>
      </c>
      <c r="G21" s="855">
        <v>1000</v>
      </c>
      <c r="H21" s="855">
        <v>1</v>
      </c>
      <c r="I21" s="855">
        <v>10</v>
      </c>
      <c r="J21" s="855">
        <v>0</v>
      </c>
      <c r="K21" s="855">
        <v>0.01</v>
      </c>
      <c r="L21" s="855" t="s">
        <v>619</v>
      </c>
      <c r="M21" s="1089">
        <v>7</v>
      </c>
      <c r="T21" s="852"/>
    </row>
    <row r="22" spans="2:20" x14ac:dyDescent="1.65">
      <c r="B22" s="851"/>
      <c r="C22" s="855">
        <v>9</v>
      </c>
      <c r="D22" s="862">
        <v>46276</v>
      </c>
      <c r="E22" s="856" t="s">
        <v>616</v>
      </c>
      <c r="F22" s="855" t="s">
        <v>613</v>
      </c>
      <c r="G22" s="855">
        <v>1000</v>
      </c>
      <c r="H22" s="855">
        <v>1</v>
      </c>
      <c r="I22" s="855">
        <v>10</v>
      </c>
      <c r="J22" s="855">
        <v>0</v>
      </c>
      <c r="K22" s="855">
        <v>0.01</v>
      </c>
      <c r="L22" s="855" t="s">
        <v>619</v>
      </c>
      <c r="M22" s="1089">
        <v>7</v>
      </c>
      <c r="T22" s="852"/>
    </row>
    <row r="23" spans="2:20" x14ac:dyDescent="1.65">
      <c r="B23" s="851"/>
      <c r="C23" s="855">
        <v>10</v>
      </c>
      <c r="D23" s="862">
        <v>46276</v>
      </c>
      <c r="E23" s="856" t="s">
        <v>614</v>
      </c>
      <c r="F23" s="855" t="s">
        <v>613</v>
      </c>
      <c r="G23" s="855">
        <v>1000</v>
      </c>
      <c r="H23" s="855">
        <v>1</v>
      </c>
      <c r="I23" s="855">
        <v>10</v>
      </c>
      <c r="J23" s="855">
        <v>0</v>
      </c>
      <c r="K23" s="855">
        <v>0.01</v>
      </c>
      <c r="L23" s="855" t="s">
        <v>619</v>
      </c>
      <c r="M23" s="1089">
        <v>7</v>
      </c>
      <c r="T23" s="852"/>
    </row>
    <row r="24" spans="2:20" x14ac:dyDescent="1.65">
      <c r="B24" s="851"/>
      <c r="C24" s="855">
        <v>11</v>
      </c>
      <c r="D24" s="862">
        <v>46277</v>
      </c>
      <c r="E24" s="856" t="s">
        <v>616</v>
      </c>
      <c r="F24" s="855" t="s">
        <v>610</v>
      </c>
      <c r="G24" s="855">
        <v>1000</v>
      </c>
      <c r="H24" s="855">
        <v>1</v>
      </c>
      <c r="I24" s="855">
        <v>10</v>
      </c>
      <c r="J24" s="855">
        <v>0</v>
      </c>
      <c r="K24" s="855">
        <v>0.01</v>
      </c>
      <c r="L24" s="855" t="s">
        <v>619</v>
      </c>
      <c r="M24" s="1089">
        <v>7</v>
      </c>
      <c r="T24" s="852"/>
    </row>
    <row r="25" spans="2:20" x14ac:dyDescent="1.65">
      <c r="B25" s="851"/>
      <c r="C25" s="855">
        <v>12</v>
      </c>
      <c r="D25" s="862">
        <v>46277</v>
      </c>
      <c r="E25" s="856" t="s">
        <v>614</v>
      </c>
      <c r="F25" s="855" t="s">
        <v>610</v>
      </c>
      <c r="G25" s="855">
        <v>1000</v>
      </c>
      <c r="H25" s="855">
        <v>1</v>
      </c>
      <c r="I25" s="855">
        <v>10</v>
      </c>
      <c r="J25" s="855">
        <v>0</v>
      </c>
      <c r="K25" s="855">
        <v>0.01</v>
      </c>
      <c r="L25" s="855" t="s">
        <v>619</v>
      </c>
      <c r="M25" s="1089">
        <v>7</v>
      </c>
      <c r="T25" s="852"/>
    </row>
    <row r="26" spans="2:20" x14ac:dyDescent="1.65">
      <c r="B26" s="851"/>
      <c r="C26" s="855">
        <v>13</v>
      </c>
      <c r="D26" s="862">
        <v>46278</v>
      </c>
      <c r="E26" s="856" t="s">
        <v>614</v>
      </c>
      <c r="F26" s="855" t="s">
        <v>610</v>
      </c>
      <c r="G26" s="855">
        <v>1000</v>
      </c>
      <c r="H26" s="855">
        <v>1</v>
      </c>
      <c r="I26" s="855">
        <v>10</v>
      </c>
      <c r="J26" s="855">
        <v>0</v>
      </c>
      <c r="K26" s="855">
        <v>0.01</v>
      </c>
      <c r="L26" s="855" t="s">
        <v>619</v>
      </c>
      <c r="M26" s="856">
        <v>7.1</v>
      </c>
      <c r="T26" s="852"/>
    </row>
    <row r="27" spans="2:20" x14ac:dyDescent="1.65">
      <c r="B27" s="851"/>
      <c r="C27" s="855">
        <v>14</v>
      </c>
      <c r="D27" s="862">
        <v>46279</v>
      </c>
      <c r="E27" s="856" t="s">
        <v>616</v>
      </c>
      <c r="F27" s="855" t="s">
        <v>610</v>
      </c>
      <c r="G27" s="855">
        <v>1000</v>
      </c>
      <c r="H27" s="855">
        <v>1</v>
      </c>
      <c r="I27" s="855">
        <v>10</v>
      </c>
      <c r="J27" s="855">
        <v>0</v>
      </c>
      <c r="K27" s="855">
        <v>0.01</v>
      </c>
      <c r="L27" s="855" t="s">
        <v>619</v>
      </c>
      <c r="M27" s="856">
        <v>6.6</v>
      </c>
      <c r="T27" s="852"/>
    </row>
    <row r="28" spans="2:20" x14ac:dyDescent="1.65">
      <c r="B28" s="851"/>
      <c r="C28" s="855">
        <v>15</v>
      </c>
      <c r="D28" s="862">
        <v>46280</v>
      </c>
      <c r="E28" s="856" t="s">
        <v>616</v>
      </c>
      <c r="F28" s="855" t="s">
        <v>610</v>
      </c>
      <c r="G28" s="855">
        <v>1000</v>
      </c>
      <c r="H28" s="855">
        <v>1</v>
      </c>
      <c r="I28" s="855">
        <v>10</v>
      </c>
      <c r="J28" s="855">
        <v>0</v>
      </c>
      <c r="K28" s="855">
        <v>0.01</v>
      </c>
      <c r="L28" s="855" t="s">
        <v>619</v>
      </c>
      <c r="M28" s="856">
        <v>6.8</v>
      </c>
      <c r="T28" s="852"/>
    </row>
    <row r="29" spans="2:20" x14ac:dyDescent="1.65">
      <c r="B29" s="851"/>
      <c r="C29" s="855">
        <v>16</v>
      </c>
      <c r="D29" s="861">
        <v>46282</v>
      </c>
      <c r="E29" s="856" t="s">
        <v>614</v>
      </c>
      <c r="F29" s="855" t="s">
        <v>610</v>
      </c>
      <c r="G29" s="855">
        <v>1000</v>
      </c>
      <c r="H29" s="855">
        <v>1</v>
      </c>
      <c r="I29" s="855">
        <v>10</v>
      </c>
      <c r="J29" s="855">
        <v>0</v>
      </c>
      <c r="K29" s="855">
        <v>0.01</v>
      </c>
      <c r="L29" s="855" t="s">
        <v>619</v>
      </c>
      <c r="M29" s="856">
        <v>7.3</v>
      </c>
      <c r="T29" s="852"/>
    </row>
    <row r="30" spans="2:20" x14ac:dyDescent="1.65">
      <c r="B30" s="851"/>
      <c r="C30" s="855">
        <v>17</v>
      </c>
      <c r="D30" s="861">
        <v>46283</v>
      </c>
      <c r="E30" s="856" t="s">
        <v>616</v>
      </c>
      <c r="F30" s="855" t="s">
        <v>610</v>
      </c>
      <c r="G30" s="855">
        <v>1000</v>
      </c>
      <c r="H30" s="855">
        <v>1</v>
      </c>
      <c r="I30" s="855">
        <v>10</v>
      </c>
      <c r="J30" s="855">
        <v>0</v>
      </c>
      <c r="K30" s="855">
        <v>0.01</v>
      </c>
      <c r="L30" s="855" t="s">
        <v>619</v>
      </c>
      <c r="M30" s="856">
        <v>6.8</v>
      </c>
      <c r="T30" s="852"/>
    </row>
    <row r="31" spans="2:20" x14ac:dyDescent="1.65">
      <c r="B31" s="851"/>
      <c r="C31" s="855">
        <v>18</v>
      </c>
      <c r="D31" s="861">
        <v>46283</v>
      </c>
      <c r="E31" s="856" t="s">
        <v>614</v>
      </c>
      <c r="F31" s="855" t="s">
        <v>610</v>
      </c>
      <c r="G31" s="855">
        <v>1000</v>
      </c>
      <c r="H31" s="855">
        <v>1</v>
      </c>
      <c r="I31" s="855">
        <v>10</v>
      </c>
      <c r="J31" s="855">
        <v>0</v>
      </c>
      <c r="K31" s="855">
        <v>0.01</v>
      </c>
      <c r="L31" s="855" t="s">
        <v>619</v>
      </c>
      <c r="M31" s="856">
        <v>6.7</v>
      </c>
      <c r="T31" s="852"/>
    </row>
    <row r="32" spans="2:20" x14ac:dyDescent="1.65">
      <c r="B32" s="851"/>
      <c r="C32" s="855">
        <v>19</v>
      </c>
      <c r="D32" s="861">
        <v>46285</v>
      </c>
      <c r="E32" s="856" t="s">
        <v>614</v>
      </c>
      <c r="F32" s="855" t="s">
        <v>618</v>
      </c>
      <c r="G32" s="855">
        <v>1000</v>
      </c>
      <c r="H32" s="855">
        <v>1</v>
      </c>
      <c r="I32" s="855">
        <v>10</v>
      </c>
      <c r="J32" s="855">
        <v>0</v>
      </c>
      <c r="K32" s="855">
        <v>0.01</v>
      </c>
      <c r="L32" s="855" t="s">
        <v>619</v>
      </c>
      <c r="M32" s="856">
        <v>7.8</v>
      </c>
      <c r="T32" s="852"/>
    </row>
    <row r="33" spans="2:20" x14ac:dyDescent="1.65">
      <c r="B33" s="851"/>
      <c r="C33" s="855">
        <v>20</v>
      </c>
      <c r="D33" s="861">
        <v>46286</v>
      </c>
      <c r="E33" s="856" t="s">
        <v>616</v>
      </c>
      <c r="F33" s="855" t="s">
        <v>618</v>
      </c>
      <c r="G33" s="855">
        <v>1000</v>
      </c>
      <c r="H33" s="855">
        <v>1</v>
      </c>
      <c r="I33" s="855">
        <v>10</v>
      </c>
      <c r="J33" s="855">
        <v>0</v>
      </c>
      <c r="K33" s="855">
        <v>0.01</v>
      </c>
      <c r="L33" s="855" t="s">
        <v>619</v>
      </c>
      <c r="M33" s="1089">
        <v>8</v>
      </c>
      <c r="T33" s="852"/>
    </row>
    <row r="34" spans="2:20" x14ac:dyDescent="1.65">
      <c r="B34" s="851"/>
      <c r="C34" s="855">
        <v>21</v>
      </c>
      <c r="D34" s="861">
        <v>46286</v>
      </c>
      <c r="E34" s="856" t="s">
        <v>614</v>
      </c>
      <c r="F34" s="855" t="s">
        <v>618</v>
      </c>
      <c r="G34" s="855">
        <v>1000</v>
      </c>
      <c r="H34" s="855">
        <v>1</v>
      </c>
      <c r="I34" s="855">
        <v>10</v>
      </c>
      <c r="J34" s="855">
        <v>0</v>
      </c>
      <c r="K34" s="855">
        <v>0.01</v>
      </c>
      <c r="L34" s="855" t="s">
        <v>619</v>
      </c>
      <c r="M34" s="856">
        <v>7.9</v>
      </c>
      <c r="T34" s="852"/>
    </row>
    <row r="35" spans="2:20" x14ac:dyDescent="1.65">
      <c r="B35" s="851"/>
      <c r="C35" s="855">
        <v>22</v>
      </c>
      <c r="D35" s="855"/>
      <c r="E35" s="855"/>
      <c r="F35" s="855"/>
      <c r="G35" s="855">
        <v>1000</v>
      </c>
      <c r="H35" s="855">
        <v>1</v>
      </c>
      <c r="I35" s="855">
        <v>10</v>
      </c>
      <c r="J35" s="855">
        <v>0</v>
      </c>
      <c r="K35" s="855">
        <v>0.01</v>
      </c>
      <c r="L35" s="855">
        <f t="shared" ref="L35:L49" si="0">J35*100</f>
        <v>0</v>
      </c>
      <c r="M35" s="857"/>
      <c r="T35" s="852"/>
    </row>
    <row r="36" spans="2:20" x14ac:dyDescent="1.65">
      <c r="B36" s="851"/>
      <c r="C36" s="855">
        <v>23</v>
      </c>
      <c r="D36" s="855"/>
      <c r="E36" s="855"/>
      <c r="F36" s="855"/>
      <c r="G36" s="855">
        <v>1000</v>
      </c>
      <c r="H36" s="855">
        <v>1</v>
      </c>
      <c r="I36" s="855">
        <v>10</v>
      </c>
      <c r="J36" s="855">
        <v>0</v>
      </c>
      <c r="K36" s="855">
        <v>0.01</v>
      </c>
      <c r="L36" s="855">
        <f t="shared" si="0"/>
        <v>0</v>
      </c>
      <c r="M36" s="857"/>
      <c r="T36" s="852"/>
    </row>
    <row r="37" spans="2:20" x14ac:dyDescent="1.65">
      <c r="B37" s="851"/>
      <c r="C37" s="855">
        <v>24</v>
      </c>
      <c r="D37" s="855"/>
      <c r="E37" s="855"/>
      <c r="F37" s="855"/>
      <c r="G37" s="855">
        <v>1000</v>
      </c>
      <c r="H37" s="855">
        <v>1</v>
      </c>
      <c r="I37" s="855">
        <v>10</v>
      </c>
      <c r="J37" s="855">
        <v>0</v>
      </c>
      <c r="K37" s="855">
        <v>0.01</v>
      </c>
      <c r="L37" s="855">
        <f t="shared" si="0"/>
        <v>0</v>
      </c>
      <c r="M37" s="857"/>
      <c r="T37" s="852"/>
    </row>
    <row r="38" spans="2:20" x14ac:dyDescent="1.65">
      <c r="B38" s="851"/>
      <c r="C38" s="855">
        <v>25</v>
      </c>
      <c r="D38" s="855"/>
      <c r="E38" s="855"/>
      <c r="F38" s="855"/>
      <c r="G38" s="855">
        <v>1000</v>
      </c>
      <c r="H38" s="855">
        <v>1</v>
      </c>
      <c r="I38" s="855">
        <v>10</v>
      </c>
      <c r="J38" s="855">
        <v>0</v>
      </c>
      <c r="K38" s="855">
        <v>0.01</v>
      </c>
      <c r="L38" s="855">
        <f t="shared" si="0"/>
        <v>0</v>
      </c>
      <c r="M38" s="857"/>
      <c r="T38" s="852"/>
    </row>
    <row r="39" spans="2:20" x14ac:dyDescent="1.65">
      <c r="B39" s="851"/>
      <c r="C39" s="855">
        <v>26</v>
      </c>
      <c r="D39" s="855"/>
      <c r="E39" s="855"/>
      <c r="F39" s="855"/>
      <c r="G39" s="855">
        <v>1000</v>
      </c>
      <c r="H39" s="855">
        <v>1</v>
      </c>
      <c r="I39" s="855">
        <v>10</v>
      </c>
      <c r="J39" s="855">
        <v>0</v>
      </c>
      <c r="K39" s="855">
        <v>0.01</v>
      </c>
      <c r="L39" s="855">
        <f t="shared" si="0"/>
        <v>0</v>
      </c>
      <c r="M39" s="857"/>
      <c r="T39" s="852"/>
    </row>
    <row r="40" spans="2:20" x14ac:dyDescent="1.65">
      <c r="B40" s="851"/>
      <c r="C40" s="855">
        <v>27</v>
      </c>
      <c r="D40" s="855"/>
      <c r="E40" s="855"/>
      <c r="F40" s="855"/>
      <c r="G40" s="855">
        <v>1000</v>
      </c>
      <c r="H40" s="855">
        <v>1</v>
      </c>
      <c r="I40" s="855">
        <v>10</v>
      </c>
      <c r="J40" s="855">
        <v>0</v>
      </c>
      <c r="K40" s="855">
        <v>0.01</v>
      </c>
      <c r="L40" s="855">
        <f t="shared" si="0"/>
        <v>0</v>
      </c>
      <c r="M40" s="857"/>
      <c r="T40" s="852"/>
    </row>
    <row r="41" spans="2:20" x14ac:dyDescent="1.65">
      <c r="B41" s="851"/>
      <c r="C41" s="855">
        <v>28</v>
      </c>
      <c r="D41" s="855"/>
      <c r="E41" s="855"/>
      <c r="F41" s="855"/>
      <c r="G41" s="855">
        <v>1000</v>
      </c>
      <c r="H41" s="855">
        <v>1</v>
      </c>
      <c r="I41" s="855">
        <v>10</v>
      </c>
      <c r="J41" s="855">
        <v>0</v>
      </c>
      <c r="K41" s="855">
        <v>0.01</v>
      </c>
      <c r="L41" s="855">
        <f t="shared" si="0"/>
        <v>0</v>
      </c>
      <c r="M41" s="857"/>
      <c r="T41" s="852"/>
    </row>
    <row r="42" spans="2:20" x14ac:dyDescent="1.65">
      <c r="B42" s="851"/>
      <c r="C42" s="855">
        <v>29</v>
      </c>
      <c r="D42" s="855"/>
      <c r="E42" s="855"/>
      <c r="F42" s="855"/>
      <c r="G42" s="855">
        <v>1000</v>
      </c>
      <c r="H42" s="855">
        <v>1</v>
      </c>
      <c r="I42" s="855">
        <v>10</v>
      </c>
      <c r="J42" s="855">
        <v>0</v>
      </c>
      <c r="K42" s="855">
        <v>0.01</v>
      </c>
      <c r="L42" s="855">
        <f t="shared" si="0"/>
        <v>0</v>
      </c>
      <c r="M42" s="857"/>
      <c r="T42" s="852"/>
    </row>
    <row r="43" spans="2:20" x14ac:dyDescent="1.65">
      <c r="B43" s="851"/>
      <c r="C43" s="855">
        <v>30</v>
      </c>
      <c r="D43" s="855"/>
      <c r="E43" s="855"/>
      <c r="F43" s="855"/>
      <c r="G43" s="855">
        <v>1000</v>
      </c>
      <c r="H43" s="855">
        <v>1</v>
      </c>
      <c r="I43" s="855">
        <v>10</v>
      </c>
      <c r="J43" s="855">
        <v>0</v>
      </c>
      <c r="K43" s="855">
        <v>0.01</v>
      </c>
      <c r="L43" s="855">
        <f t="shared" si="0"/>
        <v>0</v>
      </c>
      <c r="M43" s="857"/>
      <c r="T43" s="852"/>
    </row>
    <row r="44" spans="2:20" x14ac:dyDescent="1.65">
      <c r="B44" s="851"/>
      <c r="C44" s="855">
        <v>31</v>
      </c>
      <c r="D44" s="855"/>
      <c r="E44" s="855"/>
      <c r="F44" s="855"/>
      <c r="G44" s="855">
        <v>1000</v>
      </c>
      <c r="H44" s="855">
        <v>1</v>
      </c>
      <c r="I44" s="855">
        <v>10</v>
      </c>
      <c r="J44" s="855">
        <v>0</v>
      </c>
      <c r="K44" s="855">
        <v>0.01</v>
      </c>
      <c r="L44" s="855">
        <f t="shared" si="0"/>
        <v>0</v>
      </c>
      <c r="M44" s="857"/>
      <c r="T44" s="852"/>
    </row>
    <row r="45" spans="2:20" x14ac:dyDescent="1.65">
      <c r="B45" s="851"/>
      <c r="C45" s="855">
        <v>32</v>
      </c>
      <c r="D45" s="855"/>
      <c r="E45" s="855"/>
      <c r="F45" s="855"/>
      <c r="G45" s="855">
        <v>1000</v>
      </c>
      <c r="H45" s="855">
        <v>1</v>
      </c>
      <c r="I45" s="855">
        <v>10</v>
      </c>
      <c r="J45" s="855">
        <v>0</v>
      </c>
      <c r="K45" s="855">
        <v>0.01</v>
      </c>
      <c r="L45" s="855">
        <f t="shared" si="0"/>
        <v>0</v>
      </c>
      <c r="M45" s="857"/>
      <c r="T45" s="852"/>
    </row>
    <row r="46" spans="2:20" x14ac:dyDescent="1.65">
      <c r="B46" s="851"/>
      <c r="C46" s="855">
        <v>33</v>
      </c>
      <c r="D46" s="855"/>
      <c r="E46" s="855"/>
      <c r="F46" s="855"/>
      <c r="G46" s="855">
        <v>1000</v>
      </c>
      <c r="H46" s="855">
        <v>1</v>
      </c>
      <c r="I46" s="855">
        <v>10</v>
      </c>
      <c r="J46" s="855">
        <v>0</v>
      </c>
      <c r="K46" s="855">
        <v>0.01</v>
      </c>
      <c r="L46" s="855">
        <f t="shared" si="0"/>
        <v>0</v>
      </c>
      <c r="M46" s="857"/>
      <c r="T46" s="852"/>
    </row>
    <row r="47" spans="2:20" x14ac:dyDescent="1.65">
      <c r="B47" s="851"/>
      <c r="C47" s="855">
        <v>34</v>
      </c>
      <c r="D47" s="855"/>
      <c r="E47" s="855"/>
      <c r="F47" s="855"/>
      <c r="G47" s="855">
        <v>1000</v>
      </c>
      <c r="H47" s="855">
        <v>1</v>
      </c>
      <c r="I47" s="855">
        <v>10</v>
      </c>
      <c r="J47" s="855">
        <v>0</v>
      </c>
      <c r="K47" s="855">
        <v>0.01</v>
      </c>
      <c r="L47" s="855">
        <f t="shared" si="0"/>
        <v>0</v>
      </c>
      <c r="M47" s="857"/>
      <c r="T47" s="852"/>
    </row>
    <row r="48" spans="2:20" x14ac:dyDescent="1.65">
      <c r="B48" s="851"/>
      <c r="C48" s="855">
        <v>35</v>
      </c>
      <c r="D48" s="855"/>
      <c r="E48" s="855"/>
      <c r="F48" s="855"/>
      <c r="G48" s="855">
        <v>1000</v>
      </c>
      <c r="H48" s="855">
        <v>1</v>
      </c>
      <c r="I48" s="855">
        <v>10</v>
      </c>
      <c r="J48" s="855">
        <v>0</v>
      </c>
      <c r="K48" s="855">
        <v>0.01</v>
      </c>
      <c r="L48" s="855">
        <f t="shared" si="0"/>
        <v>0</v>
      </c>
      <c r="M48" s="857"/>
      <c r="T48" s="852"/>
    </row>
    <row r="49" spans="2:20" x14ac:dyDescent="1.65">
      <c r="B49" s="851"/>
      <c r="C49" s="855">
        <v>36</v>
      </c>
      <c r="D49" s="855"/>
      <c r="E49" s="855"/>
      <c r="F49" s="855"/>
      <c r="G49" s="855">
        <v>1000</v>
      </c>
      <c r="H49" s="855">
        <v>1</v>
      </c>
      <c r="I49" s="855">
        <v>10</v>
      </c>
      <c r="J49" s="855">
        <v>0</v>
      </c>
      <c r="K49" s="855">
        <v>0.01</v>
      </c>
      <c r="L49" s="855">
        <f t="shared" si="0"/>
        <v>0</v>
      </c>
      <c r="M49" s="857"/>
      <c r="T49" s="852"/>
    </row>
    <row r="50" spans="2:20" x14ac:dyDescent="1.65">
      <c r="B50" s="851"/>
      <c r="T50" s="852"/>
    </row>
    <row r="51" spans="2:20" x14ac:dyDescent="1.65">
      <c r="B51" s="851"/>
      <c r="T51" s="852"/>
    </row>
    <row r="52" spans="2:20" x14ac:dyDescent="1.65">
      <c r="B52" s="851"/>
      <c r="T52" s="852"/>
    </row>
    <row r="53" spans="2:20" x14ac:dyDescent="1.65">
      <c r="B53" s="851"/>
      <c r="T53" s="852"/>
    </row>
    <row r="54" spans="2:20" ht="92.4" thickBot="1" x14ac:dyDescent="1.7">
      <c r="B54" s="858"/>
      <c r="C54" s="859"/>
      <c r="D54" s="859"/>
      <c r="E54" s="859"/>
      <c r="F54" s="859"/>
      <c r="G54" s="859"/>
      <c r="H54" s="859"/>
      <c r="I54" s="859"/>
      <c r="J54" s="859"/>
      <c r="K54" s="859"/>
      <c r="L54" s="859"/>
      <c r="M54" s="859"/>
      <c r="N54" s="859"/>
      <c r="O54" s="859"/>
      <c r="P54" s="859"/>
      <c r="Q54" s="859"/>
      <c r="R54" s="859"/>
      <c r="S54" s="859"/>
      <c r="T54" s="860"/>
    </row>
  </sheetData>
  <mergeCells count="5">
    <mergeCell ref="B2:T2"/>
    <mergeCell ref="C3:T3"/>
    <mergeCell ref="B4:T4"/>
    <mergeCell ref="B6:T7"/>
    <mergeCell ref="Z13:AB13"/>
  </mergeCells>
  <dataValidations count="1">
    <dataValidation type="list" allowBlank="1" showInputMessage="1" showErrorMessage="1" sqref="F28:F49" xr:uid="{FD7274A0-D64A-4552-9CAE-EF2FECAB547E}">
      <formula1>$AA$14:$AA$16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1744"/>
  <sheetViews>
    <sheetView topLeftCell="A134" zoomScaleNormal="100" workbookViewId="0">
      <selection activeCell="F152" sqref="F152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32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1262" t="s">
        <v>458</v>
      </c>
      <c r="C2" s="1262"/>
      <c r="D2" s="1262"/>
      <c r="E2" s="1262"/>
      <c r="F2" s="1262"/>
      <c r="G2" s="1262"/>
      <c r="H2" s="1262"/>
      <c r="T2" s="1358" t="s">
        <v>499</v>
      </c>
      <c r="U2" s="1358"/>
      <c r="V2" s="1358"/>
      <c r="W2" s="1" t="s">
        <v>500</v>
      </c>
    </row>
    <row r="3" spans="2:28" x14ac:dyDescent="0.3">
      <c r="B3" s="14" t="s">
        <v>70</v>
      </c>
      <c r="C3" s="14" t="s">
        <v>459</v>
      </c>
      <c r="D3" s="14" t="s">
        <v>454</v>
      </c>
      <c r="E3" s="430" t="s">
        <v>455</v>
      </c>
      <c r="F3" s="14" t="s">
        <v>456</v>
      </c>
      <c r="G3" s="14" t="s">
        <v>457</v>
      </c>
      <c r="H3" s="14" t="s">
        <v>341</v>
      </c>
      <c r="M3" s="14" t="s">
        <v>70</v>
      </c>
      <c r="N3" s="14" t="s">
        <v>459</v>
      </c>
      <c r="O3" s="14" t="s">
        <v>454</v>
      </c>
      <c r="P3" s="430" t="s">
        <v>455</v>
      </c>
      <c r="Q3" s="14" t="s">
        <v>456</v>
      </c>
      <c r="R3" s="14" t="s">
        <v>457</v>
      </c>
      <c r="S3" s="14" t="s">
        <v>341</v>
      </c>
      <c r="T3" s="252" t="s">
        <v>253</v>
      </c>
      <c r="U3" s="252" t="s">
        <v>254</v>
      </c>
      <c r="V3" s="252" t="s">
        <v>255</v>
      </c>
    </row>
    <row r="4" spans="2:28" x14ac:dyDescent="0.3">
      <c r="B4" s="579">
        <v>1</v>
      </c>
      <c r="C4" s="1244">
        <v>1</v>
      </c>
      <c r="D4" s="615" t="s">
        <v>460</v>
      </c>
      <c r="E4" s="616">
        <v>46265</v>
      </c>
      <c r="F4" s="615">
        <v>1.0229999999999999</v>
      </c>
      <c r="G4" s="615">
        <v>0.31</v>
      </c>
      <c r="H4" s="615">
        <v>6.1559999999999997</v>
      </c>
      <c r="M4" s="233">
        <v>1</v>
      </c>
      <c r="N4" s="13">
        <v>1</v>
      </c>
      <c r="O4" s="6" t="s">
        <v>489</v>
      </c>
      <c r="P4" s="431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579">
        <v>2</v>
      </c>
      <c r="C5" s="1232"/>
      <c r="D5" s="615" t="s">
        <v>461</v>
      </c>
      <c r="E5" s="616">
        <v>46265</v>
      </c>
      <c r="F5" s="615">
        <v>0.94899999999999995</v>
      </c>
      <c r="G5" s="615">
        <v>0.51300000000000001</v>
      </c>
      <c r="H5" s="615">
        <v>5.9560000000000004</v>
      </c>
      <c r="M5" s="233">
        <v>2</v>
      </c>
      <c r="N5" s="13">
        <v>1</v>
      </c>
      <c r="O5" s="6" t="s">
        <v>490</v>
      </c>
      <c r="P5" s="431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579">
        <v>3</v>
      </c>
      <c r="C6" s="1232"/>
      <c r="D6" s="615" t="s">
        <v>462</v>
      </c>
      <c r="E6" s="616">
        <v>46265</v>
      </c>
      <c r="F6" s="615">
        <v>0.92900000000000005</v>
      </c>
      <c r="G6" s="615">
        <v>0.40699999999999997</v>
      </c>
      <c r="H6" s="615">
        <v>6.2169999999999996</v>
      </c>
      <c r="I6" s="222">
        <f>AVERAGE(F4:F6)</f>
        <v>0.96699999999999997</v>
      </c>
      <c r="J6" s="222">
        <f t="shared" ref="J6:K6" si="0">AVERAGE(G4:G6)</f>
        <v>0.41</v>
      </c>
      <c r="K6" s="222">
        <f t="shared" si="0"/>
        <v>6.1096666666666666</v>
      </c>
      <c r="M6" s="233">
        <v>3</v>
      </c>
      <c r="N6" s="13">
        <v>1</v>
      </c>
      <c r="O6" s="6" t="s">
        <v>491</v>
      </c>
      <c r="P6" s="431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579">
        <v>4</v>
      </c>
      <c r="C7" s="1232"/>
      <c r="D7" s="615" t="s">
        <v>463</v>
      </c>
      <c r="E7" s="616">
        <v>46265</v>
      </c>
      <c r="F7" s="615">
        <v>0.64100000000000001</v>
      </c>
      <c r="G7" s="615">
        <v>0.55700000000000005</v>
      </c>
      <c r="H7" s="615">
        <v>7.72</v>
      </c>
      <c r="M7" s="233">
        <v>4</v>
      </c>
      <c r="N7" s="13">
        <v>1</v>
      </c>
      <c r="O7" s="6" t="s">
        <v>492</v>
      </c>
      <c r="P7" s="431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579">
        <v>5</v>
      </c>
      <c r="C8" s="1232"/>
      <c r="D8" s="615" t="s">
        <v>464</v>
      </c>
      <c r="E8" s="616">
        <v>46265</v>
      </c>
      <c r="F8" s="615">
        <v>0.63700000000000001</v>
      </c>
      <c r="G8" s="615">
        <v>0.502</v>
      </c>
      <c r="H8" s="615">
        <v>7.51</v>
      </c>
      <c r="M8" s="450">
        <v>5</v>
      </c>
      <c r="N8" s="451">
        <v>1</v>
      </c>
      <c r="O8" s="452" t="s">
        <v>493</v>
      </c>
      <c r="P8" s="453">
        <v>46265</v>
      </c>
      <c r="Q8" s="452">
        <v>1.123</v>
      </c>
      <c r="R8" s="452">
        <v>0.28899999999999998</v>
      </c>
      <c r="S8" s="452">
        <v>7.577</v>
      </c>
      <c r="T8" s="133">
        <f>AVERAGE(Q4:Q8)</f>
        <v>0.89359999999999995</v>
      </c>
      <c r="U8" s="133">
        <f t="shared" ref="U8:V8" si="1">AVERAGE(R4:R8)</f>
        <v>0.43600000000000005</v>
      </c>
      <c r="V8" s="133">
        <f t="shared" si="1"/>
        <v>6.306</v>
      </c>
      <c r="W8" s="117">
        <f>T8-I6</f>
        <v>-7.3400000000000021E-2</v>
      </c>
      <c r="X8" s="117">
        <f>U8-J6</f>
        <v>2.6000000000000079E-2</v>
      </c>
      <c r="Y8" s="117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579">
        <v>6</v>
      </c>
      <c r="C9" s="1232"/>
      <c r="D9" s="615" t="s">
        <v>465</v>
      </c>
      <c r="E9" s="616">
        <v>46265</v>
      </c>
      <c r="F9" s="615">
        <v>0.54900000000000004</v>
      </c>
      <c r="G9" s="615">
        <v>0.52600000000000002</v>
      </c>
      <c r="H9" s="615">
        <v>7.64</v>
      </c>
      <c r="M9" s="233">
        <v>6</v>
      </c>
      <c r="N9" s="13">
        <v>1</v>
      </c>
      <c r="O9" s="6" t="s">
        <v>494</v>
      </c>
      <c r="P9" s="431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579">
        <v>7</v>
      </c>
      <c r="C10" s="1232"/>
      <c r="D10" s="615" t="s">
        <v>460</v>
      </c>
      <c r="E10" s="616">
        <v>46266</v>
      </c>
      <c r="F10" s="615">
        <v>0.64600000000000002</v>
      </c>
      <c r="G10" s="615">
        <v>0.68100000000000005</v>
      </c>
      <c r="H10" s="615">
        <v>7.62</v>
      </c>
      <c r="M10" s="233">
        <v>7</v>
      </c>
      <c r="N10" s="13">
        <v>1</v>
      </c>
      <c r="O10" s="6" t="s">
        <v>489</v>
      </c>
      <c r="P10" s="431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579">
        <v>8</v>
      </c>
      <c r="C11" s="1232"/>
      <c r="D11" s="615" t="s">
        <v>461</v>
      </c>
      <c r="E11" s="616">
        <v>46266</v>
      </c>
      <c r="F11" s="615">
        <v>0.64500000000000002</v>
      </c>
      <c r="G11" s="615">
        <v>0.68700000000000006</v>
      </c>
      <c r="H11" s="615">
        <v>7.55</v>
      </c>
      <c r="I11" s="222">
        <f>AVERAGE(F10:F12)</f>
        <v>0.64699999999999991</v>
      </c>
      <c r="J11" s="222">
        <f t="shared" ref="J11:K11" si="4">AVERAGE(G10:G12)</f>
        <v>0.67433333333333334</v>
      </c>
      <c r="K11" s="222">
        <f t="shared" si="4"/>
        <v>7.5333333333333341</v>
      </c>
      <c r="M11" s="233">
        <v>8</v>
      </c>
      <c r="N11" s="13">
        <v>1</v>
      </c>
      <c r="O11" s="6" t="s">
        <v>490</v>
      </c>
      <c r="P11" s="431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579">
        <v>9</v>
      </c>
      <c r="C12" s="1232"/>
      <c r="D12" s="615" t="s">
        <v>462</v>
      </c>
      <c r="E12" s="616">
        <v>46266</v>
      </c>
      <c r="F12" s="615">
        <v>0.65</v>
      </c>
      <c r="G12" s="615">
        <v>0.65500000000000003</v>
      </c>
      <c r="H12" s="615">
        <v>7.43</v>
      </c>
      <c r="M12" s="233">
        <v>9</v>
      </c>
      <c r="N12" s="13">
        <v>1</v>
      </c>
      <c r="O12" s="6" t="s">
        <v>491</v>
      </c>
      <c r="P12" s="431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579">
        <v>10</v>
      </c>
      <c r="C13" s="1232"/>
      <c r="D13" s="615" t="s">
        <v>463</v>
      </c>
      <c r="E13" s="616">
        <v>46266</v>
      </c>
      <c r="F13" s="615">
        <v>0.64100000000000001</v>
      </c>
      <c r="G13" s="615">
        <v>0.55700000000000005</v>
      </c>
      <c r="H13" s="615">
        <v>7.72</v>
      </c>
      <c r="M13" s="450">
        <v>10</v>
      </c>
      <c r="N13" s="451">
        <v>1</v>
      </c>
      <c r="O13" s="452" t="s">
        <v>493</v>
      </c>
      <c r="P13" s="453">
        <v>46266</v>
      </c>
      <c r="Q13" s="452">
        <v>0.73699999999999999</v>
      </c>
      <c r="R13" s="452">
        <v>0.81499999999999995</v>
      </c>
      <c r="S13" s="452">
        <v>7.21</v>
      </c>
      <c r="T13" s="133">
        <f>AVERAGE(Q9:Q13)</f>
        <v>1.0676000000000001</v>
      </c>
      <c r="U13" s="133">
        <f t="shared" ref="U13:V13" si="5">AVERAGE(R9:R13)</f>
        <v>0.98219999999999996</v>
      </c>
      <c r="V13" s="133">
        <f t="shared" si="5"/>
        <v>8.6260000000000012</v>
      </c>
      <c r="W13" s="117">
        <f>I11-T13</f>
        <v>-0.4206000000000002</v>
      </c>
      <c r="X13" s="117">
        <f t="shared" ref="X13:Y13" si="6">J11-U13</f>
        <v>-0.30786666666666662</v>
      </c>
      <c r="Y13" s="117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579">
        <v>11</v>
      </c>
      <c r="C14" s="1232"/>
      <c r="D14" s="615" t="s">
        <v>464</v>
      </c>
      <c r="E14" s="616">
        <v>46266</v>
      </c>
      <c r="F14" s="615">
        <v>0.63700000000000001</v>
      </c>
      <c r="G14" s="615">
        <v>0.502</v>
      </c>
      <c r="H14" s="615">
        <v>7.51</v>
      </c>
      <c r="M14" s="233">
        <v>11</v>
      </c>
      <c r="N14" s="13">
        <v>1</v>
      </c>
      <c r="O14" s="6" t="s">
        <v>495</v>
      </c>
      <c r="P14" s="431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579">
        <v>12</v>
      </c>
      <c r="C15" s="1233"/>
      <c r="D15" s="615" t="s">
        <v>465</v>
      </c>
      <c r="E15" s="616">
        <v>46266</v>
      </c>
      <c r="F15" s="615">
        <v>0.54900000000000004</v>
      </c>
      <c r="G15" s="615">
        <v>0.52600000000000002</v>
      </c>
      <c r="H15" s="615">
        <v>7.64</v>
      </c>
      <c r="M15" s="233">
        <v>12</v>
      </c>
      <c r="N15" s="13">
        <v>1</v>
      </c>
      <c r="O15" s="6" t="s">
        <v>496</v>
      </c>
      <c r="P15" s="431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17">
        <v>13</v>
      </c>
      <c r="C16" s="1229">
        <v>2</v>
      </c>
      <c r="D16" s="618" t="s">
        <v>460</v>
      </c>
      <c r="E16" s="619">
        <v>46267</v>
      </c>
      <c r="F16" s="618">
        <v>0.66</v>
      </c>
      <c r="G16" s="618">
        <v>0.32</v>
      </c>
      <c r="H16" s="618">
        <v>9.6300000000000008</v>
      </c>
      <c r="M16" s="233">
        <v>13</v>
      </c>
      <c r="N16" s="13">
        <v>2</v>
      </c>
      <c r="O16" s="6" t="s">
        <v>497</v>
      </c>
      <c r="P16" s="431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17">
        <v>14</v>
      </c>
      <c r="C17" s="1230"/>
      <c r="D17" s="618" t="s">
        <v>461</v>
      </c>
      <c r="E17" s="619">
        <v>46267</v>
      </c>
      <c r="F17" s="618">
        <v>0.82399999999999995</v>
      </c>
      <c r="G17" s="618">
        <v>0.67</v>
      </c>
      <c r="H17" s="618">
        <v>9.7899999999999991</v>
      </c>
      <c r="M17" s="233">
        <v>14</v>
      </c>
      <c r="N17" s="13">
        <v>2</v>
      </c>
      <c r="O17" s="6" t="s">
        <v>498</v>
      </c>
      <c r="P17" s="431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17">
        <v>15</v>
      </c>
      <c r="C18" s="1230"/>
      <c r="D18" s="618" t="s">
        <v>462</v>
      </c>
      <c r="E18" s="619">
        <v>46267</v>
      </c>
      <c r="F18" s="618">
        <v>0.75</v>
      </c>
      <c r="G18" s="618">
        <v>0.78</v>
      </c>
      <c r="H18" s="618">
        <v>10.1</v>
      </c>
      <c r="I18" s="222">
        <f>AVERAGE(F16:F18)</f>
        <v>0.7446666666666667</v>
      </c>
      <c r="J18" s="222">
        <f t="shared" ref="J18:K18" si="8">AVERAGE(G16:G18)</f>
        <v>0.59</v>
      </c>
      <c r="K18" s="222">
        <f t="shared" si="8"/>
        <v>9.8400000000000016</v>
      </c>
      <c r="M18" s="450">
        <v>15</v>
      </c>
      <c r="N18" s="451">
        <v>2</v>
      </c>
      <c r="O18" s="452" t="s">
        <v>493</v>
      </c>
      <c r="P18" s="453">
        <v>46267</v>
      </c>
      <c r="Q18" s="452">
        <v>0.95899999999999996</v>
      </c>
      <c r="R18" s="452">
        <v>0.62</v>
      </c>
      <c r="S18" s="452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29">
        <f>I18-T18</f>
        <v>-0.23153333333333315</v>
      </c>
      <c r="X18" s="29">
        <f t="shared" ref="X18:Y18" si="10">J18-U18</f>
        <v>-2.8000000000000136E-2</v>
      </c>
      <c r="Y18" s="29">
        <f t="shared" si="10"/>
        <v>1.4200000000000017</v>
      </c>
      <c r="Z18" s="29">
        <f>MEDIAN(Q14:Q17)</f>
        <v>0.97950000000000004</v>
      </c>
      <c r="AA18" s="29">
        <f t="shared" ref="AA18:AB18" si="11">MEDIAN(R14:R17)</f>
        <v>0.625</v>
      </c>
      <c r="AB18" s="29">
        <f t="shared" si="11"/>
        <v>8.5949999999999989</v>
      </c>
    </row>
    <row r="19" spans="2:28" x14ac:dyDescent="0.3">
      <c r="B19" s="617">
        <v>16</v>
      </c>
      <c r="C19" s="1230"/>
      <c r="D19" s="618" t="s">
        <v>463</v>
      </c>
      <c r="E19" s="619">
        <v>46267</v>
      </c>
      <c r="F19" s="620">
        <v>0.63200000000000001</v>
      </c>
      <c r="G19" s="618">
        <v>1.103</v>
      </c>
      <c r="H19" s="618">
        <v>9.26</v>
      </c>
      <c r="M19" s="233">
        <v>16</v>
      </c>
      <c r="N19" s="13">
        <v>2</v>
      </c>
      <c r="O19" s="6" t="s">
        <v>490</v>
      </c>
      <c r="P19" s="431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17">
        <v>17</v>
      </c>
      <c r="C20" s="1230"/>
      <c r="D20" s="618" t="s">
        <v>464</v>
      </c>
      <c r="E20" s="619">
        <v>46267</v>
      </c>
      <c r="F20" s="618">
        <v>0.63100000000000001</v>
      </c>
      <c r="G20" s="618">
        <v>1.008</v>
      </c>
      <c r="H20" s="618">
        <v>9.24</v>
      </c>
      <c r="M20" s="233">
        <v>17</v>
      </c>
      <c r="N20" s="13">
        <v>2</v>
      </c>
      <c r="O20" s="6" t="s">
        <v>491</v>
      </c>
      <c r="P20" s="431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17">
        <v>18</v>
      </c>
      <c r="C21" s="1230"/>
      <c r="D21" s="618" t="s">
        <v>465</v>
      </c>
      <c r="E21" s="619">
        <v>46267</v>
      </c>
      <c r="F21" s="618">
        <v>0.67500000000000004</v>
      </c>
      <c r="G21" s="618">
        <v>1.089</v>
      </c>
      <c r="H21" s="618">
        <v>9.27</v>
      </c>
      <c r="M21" s="450">
        <v>18</v>
      </c>
      <c r="N21" s="451">
        <v>2</v>
      </c>
      <c r="O21" s="452" t="s">
        <v>493</v>
      </c>
      <c r="P21" s="453">
        <v>46268</v>
      </c>
      <c r="Q21" s="452">
        <v>0.76400000000000001</v>
      </c>
      <c r="R21" s="452">
        <v>0.67</v>
      </c>
      <c r="S21" s="452">
        <v>7.17</v>
      </c>
      <c r="T21" s="239">
        <f>AVERAGE(Q19:Q21)</f>
        <v>0.79766666666666663</v>
      </c>
      <c r="U21" s="239">
        <f t="shared" ref="U21:V21" si="12">AVERAGE(R19:R21)</f>
        <v>0.66</v>
      </c>
      <c r="V21" s="239">
        <f t="shared" si="12"/>
        <v>6.78</v>
      </c>
      <c r="W21" s="117">
        <f>T21-I24</f>
        <v>0.13633333333333331</v>
      </c>
      <c r="X21" s="117">
        <f t="shared" ref="X21:Y21" si="13">U21-J24</f>
        <v>-6.3333333333333242E-2</v>
      </c>
      <c r="Y21" s="117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17">
        <v>19</v>
      </c>
      <c r="C22" s="1230"/>
      <c r="D22" s="618" t="s">
        <v>460</v>
      </c>
      <c r="E22" s="619">
        <v>46268</v>
      </c>
      <c r="F22" s="618">
        <v>0.66800000000000004</v>
      </c>
      <c r="G22" s="618">
        <v>0.61</v>
      </c>
      <c r="H22" s="618">
        <v>8.17</v>
      </c>
      <c r="M22" s="233">
        <v>19</v>
      </c>
      <c r="N22" s="13">
        <v>3</v>
      </c>
      <c r="O22" s="6" t="s">
        <v>494</v>
      </c>
      <c r="P22" s="431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17">
        <v>20</v>
      </c>
      <c r="C23" s="1230"/>
      <c r="D23" s="618" t="s">
        <v>461</v>
      </c>
      <c r="E23" s="619">
        <v>46268</v>
      </c>
      <c r="F23" s="618">
        <v>0.59399999999999997</v>
      </c>
      <c r="G23" s="618">
        <v>0.71</v>
      </c>
      <c r="H23" s="618">
        <v>7.54</v>
      </c>
      <c r="M23" s="233">
        <v>20</v>
      </c>
      <c r="N23" s="13">
        <v>3</v>
      </c>
      <c r="O23" s="6" t="s">
        <v>489</v>
      </c>
      <c r="P23" s="431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17">
        <v>21</v>
      </c>
      <c r="C24" s="1231"/>
      <c r="D24" s="618" t="s">
        <v>462</v>
      </c>
      <c r="E24" s="619">
        <v>46268</v>
      </c>
      <c r="F24" s="618">
        <v>0.72199999999999998</v>
      </c>
      <c r="G24" s="618">
        <v>0.85</v>
      </c>
      <c r="H24" s="618">
        <v>8.4600000000000009</v>
      </c>
      <c r="I24" s="222">
        <f>AVERAGE(F22:F24)</f>
        <v>0.66133333333333333</v>
      </c>
      <c r="J24" s="222">
        <f t="shared" ref="J24:K24" si="15">AVERAGE(G22:G24)</f>
        <v>0.72333333333333327</v>
      </c>
      <c r="K24" s="222">
        <f t="shared" si="15"/>
        <v>8.0566666666666666</v>
      </c>
      <c r="M24" s="233">
        <v>21</v>
      </c>
      <c r="N24" s="13">
        <v>3</v>
      </c>
      <c r="O24" s="6" t="s">
        <v>490</v>
      </c>
      <c r="P24" s="431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579">
        <v>22</v>
      </c>
      <c r="C25" s="1244">
        <v>3</v>
      </c>
      <c r="D25" s="615" t="s">
        <v>463</v>
      </c>
      <c r="E25" s="616">
        <v>46270</v>
      </c>
      <c r="F25" s="615">
        <v>1.0980000000000001</v>
      </c>
      <c r="G25" s="615">
        <v>0.82</v>
      </c>
      <c r="H25" s="615">
        <v>8.17</v>
      </c>
      <c r="M25" s="233">
        <v>21</v>
      </c>
      <c r="N25" s="13">
        <v>3</v>
      </c>
      <c r="O25" s="6" t="s">
        <v>492</v>
      </c>
      <c r="P25" s="431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579">
        <v>23</v>
      </c>
      <c r="C26" s="1232"/>
      <c r="D26" s="615" t="s">
        <v>464</v>
      </c>
      <c r="E26" s="616">
        <v>46270</v>
      </c>
      <c r="F26" s="615">
        <v>1.0880000000000001</v>
      </c>
      <c r="G26" s="615">
        <v>0.75</v>
      </c>
      <c r="H26" s="615">
        <v>8.1</v>
      </c>
      <c r="M26" s="450">
        <v>21</v>
      </c>
      <c r="N26" s="451">
        <v>3</v>
      </c>
      <c r="O26" s="452" t="s">
        <v>493</v>
      </c>
      <c r="P26" s="453">
        <v>46271</v>
      </c>
      <c r="Q26" s="452">
        <v>1.1679999999999999</v>
      </c>
      <c r="R26" s="452">
        <v>0.83</v>
      </c>
      <c r="S26" s="452">
        <v>9.84</v>
      </c>
    </row>
    <row r="27" spans="2:28" x14ac:dyDescent="0.3">
      <c r="B27" s="579">
        <v>24</v>
      </c>
      <c r="C27" s="1232"/>
      <c r="D27" s="615" t="s">
        <v>465</v>
      </c>
      <c r="E27" s="616">
        <v>46270</v>
      </c>
      <c r="F27" s="615">
        <v>1.075</v>
      </c>
      <c r="G27" s="615">
        <v>0.75</v>
      </c>
      <c r="H27" s="615">
        <v>8.08</v>
      </c>
      <c r="M27" s="6"/>
      <c r="N27" s="6"/>
      <c r="O27" s="6"/>
      <c r="P27" s="233"/>
      <c r="Q27" s="6"/>
      <c r="R27" s="6"/>
      <c r="S27" s="6"/>
    </row>
    <row r="28" spans="2:28" x14ac:dyDescent="0.3">
      <c r="B28" s="579">
        <v>25</v>
      </c>
      <c r="C28" s="1232"/>
      <c r="D28" s="615" t="s">
        <v>460</v>
      </c>
      <c r="E28" s="616">
        <v>46271</v>
      </c>
      <c r="F28" s="615">
        <v>0.92</v>
      </c>
      <c r="G28" s="615">
        <v>0.56999999999999995</v>
      </c>
      <c r="H28" s="615">
        <v>9.66</v>
      </c>
      <c r="M28" s="6"/>
      <c r="N28" s="6"/>
      <c r="O28" s="6"/>
      <c r="P28" s="233"/>
      <c r="Q28" s="6"/>
      <c r="R28" s="6"/>
      <c r="S28" s="6"/>
    </row>
    <row r="29" spans="2:28" x14ac:dyDescent="0.3">
      <c r="B29" s="579">
        <v>26</v>
      </c>
      <c r="C29" s="1232"/>
      <c r="D29" s="615" t="s">
        <v>461</v>
      </c>
      <c r="E29" s="616">
        <v>46271</v>
      </c>
      <c r="F29" s="615">
        <v>0.86</v>
      </c>
      <c r="G29" s="615">
        <v>0.54</v>
      </c>
      <c r="H29" s="615">
        <v>9.56</v>
      </c>
      <c r="M29" s="6"/>
      <c r="N29" s="6"/>
      <c r="O29" s="6"/>
      <c r="P29" s="233"/>
      <c r="Q29" s="6"/>
      <c r="R29" s="6"/>
      <c r="S29" s="6"/>
    </row>
    <row r="30" spans="2:28" x14ac:dyDescent="0.3">
      <c r="B30" s="579">
        <v>27</v>
      </c>
      <c r="C30" s="1232"/>
      <c r="D30" s="615" t="s">
        <v>462</v>
      </c>
      <c r="E30" s="616">
        <v>46271</v>
      </c>
      <c r="F30" s="615">
        <v>0.92700000000000005</v>
      </c>
      <c r="G30" s="615">
        <v>0.6</v>
      </c>
      <c r="H30" s="615">
        <v>9.74</v>
      </c>
      <c r="M30" s="6"/>
      <c r="N30" s="6"/>
      <c r="O30" s="6"/>
      <c r="P30" s="233"/>
      <c r="Q30" s="6"/>
      <c r="R30" s="6"/>
      <c r="S30" s="6"/>
    </row>
    <row r="31" spans="2:28" x14ac:dyDescent="0.3">
      <c r="B31" s="579">
        <v>28</v>
      </c>
      <c r="C31" s="1232"/>
      <c r="D31" s="615" t="s">
        <v>463</v>
      </c>
      <c r="E31" s="616">
        <v>46271</v>
      </c>
      <c r="F31" s="615">
        <v>0.78800000000000003</v>
      </c>
      <c r="G31" s="615">
        <v>0.62</v>
      </c>
      <c r="H31" s="615">
        <v>9.4600000000000009</v>
      </c>
      <c r="M31" s="6"/>
      <c r="N31" s="6"/>
      <c r="O31" s="6"/>
      <c r="P31" s="233"/>
      <c r="Q31" s="6"/>
      <c r="R31" s="6"/>
      <c r="S31" s="6"/>
    </row>
    <row r="32" spans="2:28" x14ac:dyDescent="0.3">
      <c r="B32" s="579">
        <v>29</v>
      </c>
      <c r="C32" s="1232"/>
      <c r="D32" s="615" t="s">
        <v>464</v>
      </c>
      <c r="E32" s="616">
        <v>46271</v>
      </c>
      <c r="F32" s="615">
        <v>0.74199999999999999</v>
      </c>
      <c r="G32" s="615">
        <v>0.6</v>
      </c>
      <c r="H32" s="615">
        <v>9.43</v>
      </c>
      <c r="M32" s="6"/>
      <c r="N32" s="6"/>
      <c r="O32" s="6"/>
      <c r="P32" s="233"/>
      <c r="Q32" s="6"/>
      <c r="R32" s="6"/>
      <c r="S32" s="6"/>
    </row>
    <row r="33" spans="2:8" x14ac:dyDescent="0.3">
      <c r="B33" s="579">
        <v>30</v>
      </c>
      <c r="C33" s="1232"/>
      <c r="D33" s="615" t="s">
        <v>465</v>
      </c>
      <c r="E33" s="616">
        <v>46271</v>
      </c>
      <c r="F33" s="615">
        <v>0.91300000000000003</v>
      </c>
      <c r="G33" s="615">
        <v>0.68</v>
      </c>
      <c r="H33" s="615">
        <v>9.42</v>
      </c>
    </row>
    <row r="34" spans="2:8" x14ac:dyDescent="0.3">
      <c r="B34" s="579">
        <v>31</v>
      </c>
      <c r="C34" s="1232"/>
      <c r="D34" s="615" t="s">
        <v>460</v>
      </c>
      <c r="E34" s="616">
        <v>46272</v>
      </c>
      <c r="F34" s="615">
        <v>0.91100000000000003</v>
      </c>
      <c r="G34" s="615">
        <v>0.95</v>
      </c>
      <c r="H34" s="615">
        <v>9.3800000000000008</v>
      </c>
    </row>
    <row r="35" spans="2:8" x14ac:dyDescent="0.3">
      <c r="B35" s="579">
        <v>32</v>
      </c>
      <c r="C35" s="1232"/>
      <c r="D35" s="615" t="s">
        <v>461</v>
      </c>
      <c r="E35" s="616">
        <v>46272</v>
      </c>
      <c r="F35" s="615">
        <v>0.95199999999999996</v>
      </c>
      <c r="G35" s="615">
        <v>0.98</v>
      </c>
      <c r="H35" s="615">
        <v>9.4</v>
      </c>
    </row>
    <row r="36" spans="2:8" x14ac:dyDescent="0.3">
      <c r="B36" s="579">
        <v>33</v>
      </c>
      <c r="C36" s="1233"/>
      <c r="D36" s="615" t="s">
        <v>462</v>
      </c>
      <c r="E36" s="616">
        <v>46272</v>
      </c>
      <c r="F36" s="615">
        <v>0.873</v>
      </c>
      <c r="G36" s="615">
        <v>0.93</v>
      </c>
      <c r="H36" s="615">
        <v>9.41</v>
      </c>
    </row>
    <row r="37" spans="2:8" x14ac:dyDescent="0.3">
      <c r="B37" s="617">
        <v>34</v>
      </c>
      <c r="C37" s="1229">
        <v>4</v>
      </c>
      <c r="D37" s="618" t="s">
        <v>463</v>
      </c>
      <c r="E37" s="619">
        <v>46272</v>
      </c>
      <c r="F37" s="618">
        <v>0.53100000000000003</v>
      </c>
      <c r="G37" s="618">
        <v>1.07</v>
      </c>
      <c r="H37" s="618">
        <v>8.8699999999999992</v>
      </c>
    </row>
    <row r="38" spans="2:8" x14ac:dyDescent="0.3">
      <c r="B38" s="617">
        <v>35</v>
      </c>
      <c r="C38" s="1230"/>
      <c r="D38" s="618" t="s">
        <v>464</v>
      </c>
      <c r="E38" s="619">
        <v>46272</v>
      </c>
      <c r="F38" s="618">
        <v>0.501</v>
      </c>
      <c r="G38" s="618">
        <v>1.1200000000000001</v>
      </c>
      <c r="H38" s="618">
        <v>8.99</v>
      </c>
    </row>
    <row r="39" spans="2:8" x14ac:dyDescent="0.3">
      <c r="B39" s="617">
        <v>36</v>
      </c>
      <c r="C39" s="1230"/>
      <c r="D39" s="618" t="s">
        <v>465</v>
      </c>
      <c r="E39" s="619">
        <v>46272</v>
      </c>
      <c r="F39" s="618">
        <v>0.55900000000000005</v>
      </c>
      <c r="G39" s="618">
        <v>1.02</v>
      </c>
      <c r="H39" s="618">
        <v>8.92</v>
      </c>
    </row>
    <row r="40" spans="2:8" x14ac:dyDescent="0.3">
      <c r="B40" s="617">
        <v>37</v>
      </c>
      <c r="C40" s="1230"/>
      <c r="D40" s="618" t="s">
        <v>460</v>
      </c>
      <c r="E40" s="619">
        <v>46273</v>
      </c>
      <c r="F40" s="618">
        <v>0.66400000000000003</v>
      </c>
      <c r="G40" s="618">
        <v>0.98</v>
      </c>
      <c r="H40" s="618">
        <v>9.0500000000000007</v>
      </c>
    </row>
    <row r="41" spans="2:8" x14ac:dyDescent="0.3">
      <c r="B41" s="617">
        <v>38</v>
      </c>
      <c r="C41" s="1230"/>
      <c r="D41" s="618" t="s">
        <v>461</v>
      </c>
      <c r="E41" s="619">
        <v>46273</v>
      </c>
      <c r="F41" s="618">
        <v>0.64500000000000002</v>
      </c>
      <c r="G41" s="618">
        <v>0.94</v>
      </c>
      <c r="H41" s="618">
        <v>9.0299999999999994</v>
      </c>
    </row>
    <row r="42" spans="2:8" x14ac:dyDescent="0.3">
      <c r="B42" s="617">
        <v>39</v>
      </c>
      <c r="C42" s="1230"/>
      <c r="D42" s="618" t="s">
        <v>462</v>
      </c>
      <c r="E42" s="619">
        <v>46273</v>
      </c>
      <c r="F42" s="618">
        <v>0.63100000000000001</v>
      </c>
      <c r="G42" s="618">
        <v>0.97</v>
      </c>
      <c r="H42" s="618">
        <v>9.23</v>
      </c>
    </row>
    <row r="43" spans="2:8" x14ac:dyDescent="0.3">
      <c r="B43" s="617">
        <v>40</v>
      </c>
      <c r="C43" s="1230"/>
      <c r="D43" s="618" t="s">
        <v>463</v>
      </c>
      <c r="E43" s="619">
        <v>46273</v>
      </c>
      <c r="F43" s="618">
        <v>0.61</v>
      </c>
      <c r="G43" s="618">
        <v>1.01</v>
      </c>
      <c r="H43" s="618">
        <v>7.79</v>
      </c>
    </row>
    <row r="44" spans="2:8" x14ac:dyDescent="0.3">
      <c r="B44" s="617">
        <v>41</v>
      </c>
      <c r="C44" s="1230"/>
      <c r="D44" s="618" t="s">
        <v>464</v>
      </c>
      <c r="E44" s="619">
        <v>46273</v>
      </c>
      <c r="F44" s="618">
        <v>0.63300000000000001</v>
      </c>
      <c r="G44" s="618">
        <v>1.05</v>
      </c>
      <c r="H44" s="618">
        <v>7.71</v>
      </c>
    </row>
    <row r="45" spans="2:8" x14ac:dyDescent="0.3">
      <c r="B45" s="617">
        <v>42</v>
      </c>
      <c r="C45" s="1230"/>
      <c r="D45" s="618" t="s">
        <v>465</v>
      </c>
      <c r="E45" s="619">
        <v>46273</v>
      </c>
      <c r="F45" s="618">
        <v>0.66200000000000003</v>
      </c>
      <c r="G45" s="618">
        <v>1.04</v>
      </c>
      <c r="H45" s="618">
        <v>7.93</v>
      </c>
    </row>
    <row r="46" spans="2:8" x14ac:dyDescent="0.3">
      <c r="B46" s="617">
        <v>43</v>
      </c>
      <c r="C46" s="1230"/>
      <c r="D46" s="618" t="s">
        <v>460</v>
      </c>
      <c r="E46" s="619">
        <v>46274</v>
      </c>
      <c r="F46" s="621">
        <v>0.59599999999999997</v>
      </c>
      <c r="G46" s="618">
        <v>0.64</v>
      </c>
      <c r="H46" s="618">
        <v>7.27</v>
      </c>
    </row>
    <row r="47" spans="2:8" x14ac:dyDescent="0.3">
      <c r="B47" s="617">
        <v>44</v>
      </c>
      <c r="C47" s="1230"/>
      <c r="D47" s="618" t="s">
        <v>461</v>
      </c>
      <c r="E47" s="619">
        <v>46274</v>
      </c>
      <c r="F47" s="618">
        <v>0.59399999999999997</v>
      </c>
      <c r="G47" s="618">
        <v>0.68</v>
      </c>
      <c r="H47" s="618">
        <v>7.24</v>
      </c>
    </row>
    <row r="48" spans="2:8" x14ac:dyDescent="0.3">
      <c r="B48" s="617">
        <v>45</v>
      </c>
      <c r="C48" s="1231"/>
      <c r="D48" s="618" t="s">
        <v>462</v>
      </c>
      <c r="E48" s="619">
        <v>46274</v>
      </c>
      <c r="F48" s="618">
        <v>0.58699999999999997</v>
      </c>
      <c r="G48" s="618">
        <v>0.68</v>
      </c>
      <c r="H48" s="618">
        <v>7.21</v>
      </c>
    </row>
    <row r="49" spans="2:8" x14ac:dyDescent="0.3">
      <c r="B49" s="233">
        <v>46</v>
      </c>
      <c r="C49" s="6"/>
      <c r="D49" s="6" t="s">
        <v>463</v>
      </c>
      <c r="E49" s="431">
        <v>46274</v>
      </c>
      <c r="F49" s="6" t="s">
        <v>538</v>
      </c>
      <c r="G49" s="6"/>
      <c r="H49" s="6"/>
    </row>
    <row r="50" spans="2:8" x14ac:dyDescent="0.3">
      <c r="B50" s="233">
        <v>47</v>
      </c>
      <c r="C50" s="6"/>
      <c r="D50" s="6" t="s">
        <v>464</v>
      </c>
      <c r="E50" s="431">
        <v>46274</v>
      </c>
      <c r="F50" s="6" t="s">
        <v>539</v>
      </c>
      <c r="G50" s="6"/>
      <c r="H50" s="6"/>
    </row>
    <row r="51" spans="2:8" x14ac:dyDescent="0.3">
      <c r="B51" s="233">
        <v>48</v>
      </c>
      <c r="C51" s="6"/>
      <c r="D51" s="6" t="s">
        <v>465</v>
      </c>
      <c r="E51" s="431">
        <v>46274</v>
      </c>
      <c r="F51" s="6"/>
      <c r="G51" s="6"/>
      <c r="H51" s="6"/>
    </row>
    <row r="52" spans="2:8" x14ac:dyDescent="0.3">
      <c r="B52" s="617">
        <v>49</v>
      </c>
      <c r="C52" s="1229">
        <v>5</v>
      </c>
      <c r="D52" s="618" t="s">
        <v>460</v>
      </c>
      <c r="E52" s="619">
        <v>46275</v>
      </c>
      <c r="F52" s="618">
        <v>0.79600000000000004</v>
      </c>
      <c r="G52" s="618">
        <v>0.64</v>
      </c>
      <c r="H52" s="618">
        <v>9.08</v>
      </c>
    </row>
    <row r="53" spans="2:8" x14ac:dyDescent="0.3">
      <c r="B53" s="617">
        <v>50</v>
      </c>
      <c r="C53" s="1230"/>
      <c r="D53" s="618" t="s">
        <v>461</v>
      </c>
      <c r="E53" s="619">
        <v>46275</v>
      </c>
      <c r="F53" s="618">
        <v>0.82599999999999996</v>
      </c>
      <c r="G53" s="618">
        <v>0.72</v>
      </c>
      <c r="H53" s="618">
        <v>8.82</v>
      </c>
    </row>
    <row r="54" spans="2:8" x14ac:dyDescent="0.3">
      <c r="B54" s="617">
        <v>51</v>
      </c>
      <c r="C54" s="1230"/>
      <c r="D54" s="618" t="s">
        <v>462</v>
      </c>
      <c r="E54" s="619">
        <v>46275</v>
      </c>
      <c r="F54" s="618">
        <v>0.73</v>
      </c>
      <c r="G54" s="618">
        <v>0.63</v>
      </c>
      <c r="H54" s="618">
        <v>8.57</v>
      </c>
    </row>
    <row r="55" spans="2:8" x14ac:dyDescent="0.3">
      <c r="B55" s="617">
        <v>52</v>
      </c>
      <c r="C55" s="1230"/>
      <c r="D55" s="618" t="s">
        <v>463</v>
      </c>
      <c r="E55" s="619">
        <v>46275</v>
      </c>
      <c r="F55" s="618">
        <v>0.49299999999999999</v>
      </c>
      <c r="G55" s="618">
        <v>0.45</v>
      </c>
      <c r="H55" s="618">
        <v>9.11</v>
      </c>
    </row>
    <row r="56" spans="2:8" x14ac:dyDescent="0.3">
      <c r="B56" s="617">
        <v>53</v>
      </c>
      <c r="C56" s="1230"/>
      <c r="D56" s="618" t="s">
        <v>464</v>
      </c>
      <c r="E56" s="619">
        <v>46275</v>
      </c>
      <c r="F56" s="618">
        <v>0.497</v>
      </c>
      <c r="G56" s="618">
        <v>0.52</v>
      </c>
      <c r="H56" s="618">
        <v>9.36</v>
      </c>
    </row>
    <row r="57" spans="2:8" x14ac:dyDescent="0.3">
      <c r="B57" s="617">
        <v>54</v>
      </c>
      <c r="C57" s="1230"/>
      <c r="D57" s="618" t="s">
        <v>465</v>
      </c>
      <c r="E57" s="619">
        <v>46275</v>
      </c>
      <c r="F57" s="618">
        <v>0.55800000000000005</v>
      </c>
      <c r="G57" s="618">
        <v>0.32</v>
      </c>
      <c r="H57" s="618">
        <v>9.36</v>
      </c>
    </row>
    <row r="58" spans="2:8" x14ac:dyDescent="0.3">
      <c r="B58" s="617">
        <v>55</v>
      </c>
      <c r="C58" s="1230"/>
      <c r="D58" s="618" t="s">
        <v>460</v>
      </c>
      <c r="E58" s="619">
        <v>46276</v>
      </c>
      <c r="F58" s="618">
        <v>1.3759999999999999</v>
      </c>
      <c r="G58" s="618">
        <v>0.99</v>
      </c>
      <c r="H58" s="618">
        <v>9.2100000000000009</v>
      </c>
    </row>
    <row r="59" spans="2:8" x14ac:dyDescent="0.3">
      <c r="B59" s="617">
        <v>56</v>
      </c>
      <c r="C59" s="1230"/>
      <c r="D59" s="618" t="s">
        <v>461</v>
      </c>
      <c r="E59" s="619">
        <v>46276</v>
      </c>
      <c r="F59" s="618">
        <v>1.468</v>
      </c>
      <c r="G59" s="618">
        <v>0.93</v>
      </c>
      <c r="H59" s="618">
        <v>8.94</v>
      </c>
    </row>
    <row r="60" spans="2:8" x14ac:dyDescent="0.3">
      <c r="B60" s="617">
        <v>57</v>
      </c>
      <c r="C60" s="1231"/>
      <c r="D60" s="618" t="s">
        <v>462</v>
      </c>
      <c r="E60" s="619">
        <v>46276</v>
      </c>
      <c r="F60" s="618">
        <v>1.4419999999999999</v>
      </c>
      <c r="G60" s="618">
        <v>1.06</v>
      </c>
      <c r="H60" s="618">
        <v>9.25</v>
      </c>
    </row>
    <row r="61" spans="2:8" x14ac:dyDescent="0.3">
      <c r="B61" s="579">
        <v>58</v>
      </c>
      <c r="C61" s="1244">
        <v>6</v>
      </c>
      <c r="D61" s="615" t="s">
        <v>463</v>
      </c>
      <c r="E61" s="616">
        <v>46276</v>
      </c>
      <c r="F61" s="615">
        <v>0.28000000000000003</v>
      </c>
      <c r="G61" s="615">
        <v>0.56000000000000005</v>
      </c>
      <c r="H61" s="615">
        <v>7.41</v>
      </c>
    </row>
    <row r="62" spans="2:8" x14ac:dyDescent="0.3">
      <c r="B62" s="579">
        <v>59</v>
      </c>
      <c r="C62" s="1232"/>
      <c r="D62" s="615" t="s">
        <v>464</v>
      </c>
      <c r="E62" s="616">
        <v>46276</v>
      </c>
      <c r="F62" s="615">
        <v>0.23300000000000001</v>
      </c>
      <c r="G62" s="615">
        <v>0.66</v>
      </c>
      <c r="H62" s="615">
        <v>7.27</v>
      </c>
    </row>
    <row r="63" spans="2:8" x14ac:dyDescent="0.3">
      <c r="B63" s="579">
        <v>60</v>
      </c>
      <c r="C63" s="1232"/>
      <c r="D63" s="615" t="s">
        <v>465</v>
      </c>
      <c r="E63" s="616">
        <v>46276</v>
      </c>
      <c r="F63" s="615">
        <v>0.28199999999999997</v>
      </c>
      <c r="G63" s="615">
        <v>0.5</v>
      </c>
      <c r="H63" s="615">
        <v>8.1</v>
      </c>
    </row>
    <row r="64" spans="2:8" x14ac:dyDescent="0.3">
      <c r="B64" s="579">
        <v>61</v>
      </c>
      <c r="C64" s="1232"/>
      <c r="D64" s="615" t="s">
        <v>460</v>
      </c>
      <c r="E64" s="616">
        <v>46277</v>
      </c>
      <c r="F64" s="615">
        <v>0.27800000000000002</v>
      </c>
      <c r="G64" s="615">
        <v>0.54</v>
      </c>
      <c r="H64" s="615">
        <v>6.85</v>
      </c>
    </row>
    <row r="65" spans="2:8" x14ac:dyDescent="0.3">
      <c r="B65" s="579">
        <v>62</v>
      </c>
      <c r="C65" s="1232"/>
      <c r="D65" s="615" t="s">
        <v>461</v>
      </c>
      <c r="E65" s="616">
        <v>46277</v>
      </c>
      <c r="F65" s="615">
        <v>0.313</v>
      </c>
      <c r="G65" s="615">
        <v>0.71</v>
      </c>
      <c r="H65" s="615">
        <v>6.29</v>
      </c>
    </row>
    <row r="66" spans="2:8" x14ac:dyDescent="0.3">
      <c r="B66" s="579">
        <v>63</v>
      </c>
      <c r="C66" s="1233"/>
      <c r="D66" s="615" t="s">
        <v>462</v>
      </c>
      <c r="E66" s="616">
        <v>46277</v>
      </c>
      <c r="F66" s="615">
        <v>0.32500000000000001</v>
      </c>
      <c r="G66" s="615">
        <v>0.41</v>
      </c>
      <c r="H66" s="615">
        <v>7.25</v>
      </c>
    </row>
    <row r="67" spans="2:8" x14ac:dyDescent="0.3">
      <c r="B67" s="617">
        <v>64</v>
      </c>
      <c r="C67" s="1229">
        <v>7</v>
      </c>
      <c r="D67" s="618" t="s">
        <v>463</v>
      </c>
      <c r="E67" s="619">
        <v>46279</v>
      </c>
      <c r="F67" s="618">
        <v>0.72</v>
      </c>
      <c r="G67" s="618">
        <v>0.56999999999999995</v>
      </c>
      <c r="H67" s="618">
        <v>8.7200000000000006</v>
      </c>
    </row>
    <row r="68" spans="2:8" x14ac:dyDescent="0.3">
      <c r="B68" s="617">
        <v>65</v>
      </c>
      <c r="C68" s="1230"/>
      <c r="D68" s="618" t="s">
        <v>464</v>
      </c>
      <c r="E68" s="619">
        <v>46279</v>
      </c>
      <c r="F68" s="618">
        <v>0.505</v>
      </c>
      <c r="G68" s="618">
        <v>0.55000000000000004</v>
      </c>
      <c r="H68" s="618">
        <v>8.4</v>
      </c>
    </row>
    <row r="69" spans="2:8" x14ac:dyDescent="0.3">
      <c r="B69" s="617">
        <v>66</v>
      </c>
      <c r="C69" s="1230"/>
      <c r="D69" s="618" t="s">
        <v>465</v>
      </c>
      <c r="E69" s="619">
        <v>46279</v>
      </c>
      <c r="F69" s="618">
        <v>0.67100000000000004</v>
      </c>
      <c r="G69" s="618">
        <v>0.64</v>
      </c>
      <c r="H69" s="618">
        <v>8.67</v>
      </c>
    </row>
    <row r="70" spans="2:8" x14ac:dyDescent="0.3">
      <c r="B70" s="617">
        <v>67</v>
      </c>
      <c r="C70" s="1230"/>
      <c r="D70" s="618" t="s">
        <v>460</v>
      </c>
      <c r="E70" s="619">
        <v>46280</v>
      </c>
      <c r="F70" s="618">
        <v>0.35</v>
      </c>
      <c r="G70" s="618">
        <v>0.49</v>
      </c>
      <c r="H70" s="618">
        <v>9.5299999999999994</v>
      </c>
    </row>
    <row r="71" spans="2:8" x14ac:dyDescent="0.3">
      <c r="B71" s="617">
        <v>68</v>
      </c>
      <c r="C71" s="1230"/>
      <c r="D71" s="618" t="s">
        <v>461</v>
      </c>
      <c r="E71" s="619">
        <v>46280</v>
      </c>
      <c r="F71" s="618">
        <v>0.375</v>
      </c>
      <c r="G71" s="618">
        <v>0.46</v>
      </c>
      <c r="H71" s="618">
        <v>9.86</v>
      </c>
    </row>
    <row r="72" spans="2:8" x14ac:dyDescent="0.3">
      <c r="B72" s="617">
        <v>69</v>
      </c>
      <c r="C72" s="1230"/>
      <c r="D72" s="618" t="s">
        <v>462</v>
      </c>
      <c r="E72" s="619">
        <v>46280</v>
      </c>
      <c r="F72" s="618">
        <v>0.36899999999999999</v>
      </c>
      <c r="G72" s="618">
        <v>0.45</v>
      </c>
      <c r="H72" s="618">
        <v>9.32</v>
      </c>
    </row>
    <row r="73" spans="2:8" x14ac:dyDescent="0.3">
      <c r="B73" s="617">
        <v>70</v>
      </c>
      <c r="C73" s="1230"/>
      <c r="D73" s="618" t="s">
        <v>463</v>
      </c>
      <c r="E73" s="619">
        <v>46280</v>
      </c>
      <c r="F73" s="618">
        <v>0.64</v>
      </c>
      <c r="G73" s="618">
        <v>0.57999999999999996</v>
      </c>
      <c r="H73" s="618">
        <v>11.12</v>
      </c>
    </row>
    <row r="74" spans="2:8" x14ac:dyDescent="0.3">
      <c r="B74" s="617">
        <v>71</v>
      </c>
      <c r="C74" s="1230"/>
      <c r="D74" s="618" t="s">
        <v>464</v>
      </c>
      <c r="E74" s="619">
        <v>46280</v>
      </c>
      <c r="F74" s="618">
        <v>0.58299999999999996</v>
      </c>
      <c r="G74" s="618">
        <v>0.53</v>
      </c>
      <c r="H74" s="618">
        <v>11.35</v>
      </c>
    </row>
    <row r="75" spans="2:8" x14ac:dyDescent="0.3">
      <c r="B75" s="617">
        <v>72</v>
      </c>
      <c r="C75" s="1231"/>
      <c r="D75" s="618" t="s">
        <v>465</v>
      </c>
      <c r="E75" s="619">
        <v>46280</v>
      </c>
      <c r="F75" s="618">
        <v>0.60699999999999998</v>
      </c>
      <c r="G75" s="618">
        <v>0.55000000000000004</v>
      </c>
      <c r="H75" s="618">
        <v>11.36</v>
      </c>
    </row>
    <row r="76" spans="2:8" ht="14.4" customHeight="1" x14ac:dyDescent="0.3">
      <c r="B76" s="579">
        <v>73</v>
      </c>
      <c r="C76" s="1244">
        <v>8</v>
      </c>
      <c r="D76" s="615" t="s">
        <v>460</v>
      </c>
      <c r="E76" s="616">
        <v>46281</v>
      </c>
      <c r="F76" s="615">
        <v>0.44900000000000001</v>
      </c>
      <c r="G76" s="615">
        <v>0.63</v>
      </c>
      <c r="H76" s="615">
        <v>11.56</v>
      </c>
    </row>
    <row r="77" spans="2:8" ht="14.4" customHeight="1" x14ac:dyDescent="0.3">
      <c r="B77" s="579">
        <v>74</v>
      </c>
      <c r="C77" s="1232"/>
      <c r="D77" s="615" t="s">
        <v>461</v>
      </c>
      <c r="E77" s="616">
        <v>46281</v>
      </c>
      <c r="F77" s="615">
        <v>0.46800000000000003</v>
      </c>
      <c r="G77" s="615">
        <v>0.6</v>
      </c>
      <c r="H77" s="615">
        <v>11.66</v>
      </c>
    </row>
    <row r="78" spans="2:8" ht="14.4" customHeight="1" x14ac:dyDescent="0.3">
      <c r="B78" s="579">
        <v>75</v>
      </c>
      <c r="C78" s="1232"/>
      <c r="D78" s="615" t="s">
        <v>462</v>
      </c>
      <c r="E78" s="616">
        <v>46281</v>
      </c>
      <c r="F78" s="615">
        <v>0.438</v>
      </c>
      <c r="G78" s="615">
        <v>0.67</v>
      </c>
      <c r="H78" s="615">
        <v>11.67</v>
      </c>
    </row>
    <row r="79" spans="2:8" ht="14.4" customHeight="1" x14ac:dyDescent="0.3">
      <c r="B79" s="579">
        <v>76</v>
      </c>
      <c r="C79" s="1232"/>
      <c r="D79" s="615" t="s">
        <v>463</v>
      </c>
      <c r="E79" s="616">
        <v>46281</v>
      </c>
      <c r="F79" s="615">
        <v>0.59599999999999997</v>
      </c>
      <c r="G79" s="615">
        <v>0.59</v>
      </c>
      <c r="H79" s="615">
        <v>9.1300000000000008</v>
      </c>
    </row>
    <row r="80" spans="2:8" ht="14.4" customHeight="1" x14ac:dyDescent="0.3">
      <c r="B80" s="579">
        <v>77</v>
      </c>
      <c r="C80" s="1232"/>
      <c r="D80" s="615" t="s">
        <v>464</v>
      </c>
      <c r="E80" s="616">
        <v>46281</v>
      </c>
      <c r="F80" s="615">
        <v>0.58499999999999996</v>
      </c>
      <c r="G80" s="615">
        <v>0.56999999999999995</v>
      </c>
      <c r="H80" s="615">
        <v>9.2899999999999991</v>
      </c>
    </row>
    <row r="81" spans="2:8" ht="14.4" customHeight="1" x14ac:dyDescent="0.3">
      <c r="B81" s="579">
        <v>78</v>
      </c>
      <c r="C81" s="1232"/>
      <c r="D81" s="615" t="s">
        <v>465</v>
      </c>
      <c r="E81" s="616">
        <v>46281</v>
      </c>
      <c r="F81" s="615">
        <v>0.58299999999999996</v>
      </c>
      <c r="G81" s="615">
        <v>0.57999999999999996</v>
      </c>
      <c r="H81" s="615">
        <v>9.14</v>
      </c>
    </row>
    <row r="82" spans="2:8" x14ac:dyDescent="0.3">
      <c r="B82" s="579">
        <v>79</v>
      </c>
      <c r="C82" s="1232"/>
      <c r="D82" s="615" t="s">
        <v>460</v>
      </c>
      <c r="E82" s="616">
        <v>46282</v>
      </c>
      <c r="F82" s="615">
        <v>0.57699999999999996</v>
      </c>
      <c r="G82" s="615">
        <v>0.53</v>
      </c>
      <c r="H82" s="615">
        <v>10.92</v>
      </c>
    </row>
    <row r="83" spans="2:8" x14ac:dyDescent="0.3">
      <c r="B83" s="579">
        <v>80</v>
      </c>
      <c r="C83" s="1232"/>
      <c r="D83" s="615" t="s">
        <v>461</v>
      </c>
      <c r="E83" s="616">
        <v>46282</v>
      </c>
      <c r="F83" s="615">
        <v>0.68</v>
      </c>
      <c r="G83" s="615">
        <v>0.67</v>
      </c>
      <c r="H83" s="615">
        <v>10.54</v>
      </c>
    </row>
    <row r="84" spans="2:8" x14ac:dyDescent="0.3">
      <c r="B84" s="579">
        <v>81</v>
      </c>
      <c r="C84" s="1232"/>
      <c r="D84" s="615" t="s">
        <v>462</v>
      </c>
      <c r="E84" s="616">
        <v>46282</v>
      </c>
      <c r="F84" s="615">
        <v>0.58599999999999997</v>
      </c>
      <c r="G84" s="615">
        <v>0.56999999999999995</v>
      </c>
      <c r="H84" s="615">
        <v>11.77</v>
      </c>
    </row>
    <row r="85" spans="2:8" x14ac:dyDescent="0.3">
      <c r="B85" s="579">
        <v>82</v>
      </c>
      <c r="C85" s="1232"/>
      <c r="D85" s="615" t="s">
        <v>463</v>
      </c>
      <c r="E85" s="616">
        <v>46282</v>
      </c>
      <c r="F85" s="615">
        <v>0.73599999999999999</v>
      </c>
      <c r="G85" s="615">
        <v>0.61</v>
      </c>
      <c r="H85" s="615">
        <v>9.9</v>
      </c>
    </row>
    <row r="86" spans="2:8" x14ac:dyDescent="0.3">
      <c r="B86" s="579">
        <v>83</v>
      </c>
      <c r="C86" s="1232"/>
      <c r="D86" s="615" t="s">
        <v>464</v>
      </c>
      <c r="E86" s="616">
        <v>46282</v>
      </c>
      <c r="F86" s="615">
        <v>0.69099999999999995</v>
      </c>
      <c r="G86" s="615">
        <v>0.53</v>
      </c>
      <c r="H86" s="615">
        <v>10.31</v>
      </c>
    </row>
    <row r="87" spans="2:8" x14ac:dyDescent="0.3">
      <c r="B87" s="579">
        <v>84</v>
      </c>
      <c r="C87" s="1233"/>
      <c r="D87" s="615" t="s">
        <v>465</v>
      </c>
      <c r="E87" s="616">
        <v>46282</v>
      </c>
      <c r="F87" s="615">
        <v>0.629</v>
      </c>
      <c r="G87" s="615">
        <v>0.51</v>
      </c>
      <c r="H87" s="615">
        <v>8.64</v>
      </c>
    </row>
    <row r="88" spans="2:8" ht="14.4" customHeight="1" x14ac:dyDescent="0.3">
      <c r="B88" s="450">
        <v>85</v>
      </c>
      <c r="C88" s="1362">
        <v>9</v>
      </c>
      <c r="D88" s="452" t="s">
        <v>460</v>
      </c>
      <c r="E88" s="453">
        <v>46283</v>
      </c>
      <c r="F88" s="452">
        <v>0.78200000000000003</v>
      </c>
      <c r="G88" s="452">
        <v>0.55000000000000004</v>
      </c>
      <c r="H88" s="452">
        <v>12.04</v>
      </c>
    </row>
    <row r="89" spans="2:8" ht="14.4" customHeight="1" x14ac:dyDescent="0.3">
      <c r="B89" s="450">
        <v>86</v>
      </c>
      <c r="C89" s="1363"/>
      <c r="D89" s="452" t="s">
        <v>461</v>
      </c>
      <c r="E89" s="453">
        <v>46283</v>
      </c>
      <c r="F89" s="452">
        <v>0.75900000000000001</v>
      </c>
      <c r="G89" s="452">
        <v>0.52</v>
      </c>
      <c r="H89" s="452">
        <v>12.08</v>
      </c>
    </row>
    <row r="90" spans="2:8" ht="14.4" customHeight="1" x14ac:dyDescent="0.3">
      <c r="B90" s="450">
        <v>87</v>
      </c>
      <c r="C90" s="1363"/>
      <c r="D90" s="452" t="s">
        <v>462</v>
      </c>
      <c r="E90" s="453">
        <v>46283</v>
      </c>
      <c r="F90" s="452">
        <v>0.76300000000000001</v>
      </c>
      <c r="G90" s="452">
        <v>0.54</v>
      </c>
      <c r="H90" s="452">
        <v>12.03</v>
      </c>
    </row>
    <row r="91" spans="2:8" ht="14.4" customHeight="1" x14ac:dyDescent="0.3">
      <c r="B91" s="450">
        <v>88</v>
      </c>
      <c r="C91" s="1363"/>
      <c r="D91" s="452" t="s">
        <v>463</v>
      </c>
      <c r="E91" s="453">
        <v>46283</v>
      </c>
      <c r="F91" s="452">
        <v>0.52500000000000002</v>
      </c>
      <c r="G91" s="452">
        <v>0.74</v>
      </c>
      <c r="H91" s="452">
        <v>11.56</v>
      </c>
    </row>
    <row r="92" spans="2:8" ht="14.4" customHeight="1" x14ac:dyDescent="0.3">
      <c r="B92" s="450">
        <v>89</v>
      </c>
      <c r="C92" s="1363"/>
      <c r="D92" s="452" t="s">
        <v>464</v>
      </c>
      <c r="E92" s="453">
        <v>46283</v>
      </c>
      <c r="F92" s="452">
        <v>0.55700000000000005</v>
      </c>
      <c r="G92" s="452">
        <v>0.72</v>
      </c>
      <c r="H92" s="452">
        <v>12.77</v>
      </c>
    </row>
    <row r="93" spans="2:8" ht="14.4" customHeight="1" x14ac:dyDescent="0.3">
      <c r="B93" s="450">
        <v>90</v>
      </c>
      <c r="C93" s="1363"/>
      <c r="D93" s="452" t="s">
        <v>465</v>
      </c>
      <c r="E93" s="453">
        <v>46283</v>
      </c>
      <c r="F93" s="452">
        <v>0.46800000000000003</v>
      </c>
      <c r="G93" s="452">
        <v>0.69</v>
      </c>
      <c r="H93" s="452">
        <v>9.9</v>
      </c>
    </row>
    <row r="94" spans="2:8" ht="14.4" customHeight="1" x14ac:dyDescent="0.3">
      <c r="B94" s="450">
        <v>91</v>
      </c>
      <c r="C94" s="1363"/>
      <c r="D94" s="452" t="s">
        <v>460</v>
      </c>
      <c r="E94" s="453">
        <v>46284</v>
      </c>
      <c r="F94" s="452">
        <v>0.57099999999999995</v>
      </c>
      <c r="G94" s="452">
        <v>0.8</v>
      </c>
      <c r="H94" s="452">
        <v>15.95</v>
      </c>
    </row>
    <row r="95" spans="2:8" ht="14.4" customHeight="1" x14ac:dyDescent="0.3">
      <c r="B95" s="450">
        <v>92</v>
      </c>
      <c r="C95" s="1363"/>
      <c r="D95" s="452" t="s">
        <v>461</v>
      </c>
      <c r="E95" s="453">
        <v>46284</v>
      </c>
      <c r="F95" s="452">
        <v>0.64400000000000002</v>
      </c>
      <c r="G95" s="452">
        <v>1.04</v>
      </c>
      <c r="H95" s="452">
        <v>16.68</v>
      </c>
    </row>
    <row r="96" spans="2:8" ht="14.4" customHeight="1" x14ac:dyDescent="0.3">
      <c r="B96" s="450">
        <v>93</v>
      </c>
      <c r="C96" s="1363"/>
      <c r="D96" s="452" t="s">
        <v>462</v>
      </c>
      <c r="E96" s="453">
        <v>46284</v>
      </c>
      <c r="F96" s="452">
        <v>0.55800000000000005</v>
      </c>
      <c r="G96" s="452">
        <v>1.06</v>
      </c>
      <c r="H96" s="452">
        <v>17.13</v>
      </c>
    </row>
    <row r="97" spans="2:8" ht="14.4" customHeight="1" x14ac:dyDescent="0.3">
      <c r="B97" s="450">
        <v>94</v>
      </c>
      <c r="C97" s="1363"/>
      <c r="D97" s="452" t="s">
        <v>463</v>
      </c>
      <c r="E97" s="453">
        <v>46284</v>
      </c>
      <c r="F97" s="452">
        <v>0.53100000000000003</v>
      </c>
      <c r="G97" s="452">
        <v>1.17</v>
      </c>
      <c r="H97" s="452">
        <v>19.079999999999998</v>
      </c>
    </row>
    <row r="98" spans="2:8" ht="14.4" customHeight="1" x14ac:dyDescent="0.3">
      <c r="B98" s="450">
        <v>95</v>
      </c>
      <c r="C98" s="1363"/>
      <c r="D98" s="452" t="s">
        <v>464</v>
      </c>
      <c r="E98" s="453">
        <v>46284</v>
      </c>
      <c r="F98" s="452">
        <v>0.60299999999999998</v>
      </c>
      <c r="G98" s="452">
        <v>1.39</v>
      </c>
      <c r="H98" s="452">
        <v>18.75</v>
      </c>
    </row>
    <row r="99" spans="2:8" ht="14.4" customHeight="1" x14ac:dyDescent="0.3">
      <c r="B99" s="450">
        <v>96</v>
      </c>
      <c r="C99" s="1364"/>
      <c r="D99" s="452" t="s">
        <v>465</v>
      </c>
      <c r="E99" s="453">
        <v>46284</v>
      </c>
      <c r="F99" s="452">
        <v>0.50800000000000001</v>
      </c>
      <c r="G99" s="452">
        <v>1.1399999999999999</v>
      </c>
      <c r="H99" s="452">
        <v>18.14</v>
      </c>
    </row>
    <row r="100" spans="2:8" ht="14.4" customHeight="1" x14ac:dyDescent="0.3">
      <c r="B100" s="482">
        <v>97</v>
      </c>
      <c r="C100" s="1355">
        <v>10</v>
      </c>
      <c r="D100" s="615" t="s">
        <v>460</v>
      </c>
      <c r="E100" s="616">
        <v>46286</v>
      </c>
      <c r="F100" s="615">
        <v>1.046</v>
      </c>
      <c r="G100" s="615">
        <v>1.86</v>
      </c>
      <c r="H100" s="615">
        <v>19.690000000000001</v>
      </c>
    </row>
    <row r="101" spans="2:8" ht="14.4" customHeight="1" x14ac:dyDescent="0.3">
      <c r="B101" s="482">
        <v>98</v>
      </c>
      <c r="C101" s="1356"/>
      <c r="D101" s="615" t="s">
        <v>461</v>
      </c>
      <c r="E101" s="616">
        <v>46286</v>
      </c>
      <c r="F101" s="615">
        <v>0.94899999999999995</v>
      </c>
      <c r="G101" s="615">
        <v>1.98</v>
      </c>
      <c r="H101" s="615">
        <v>20.5</v>
      </c>
    </row>
    <row r="102" spans="2:8" ht="14.4" customHeight="1" x14ac:dyDescent="0.3">
      <c r="B102" s="482">
        <v>99</v>
      </c>
      <c r="C102" s="1356"/>
      <c r="D102" s="615" t="s">
        <v>462</v>
      </c>
      <c r="E102" s="616">
        <v>46286</v>
      </c>
      <c r="F102" s="615">
        <v>0.96299999999999997</v>
      </c>
      <c r="G102" s="615">
        <v>2.13</v>
      </c>
      <c r="H102" s="615">
        <v>19.89</v>
      </c>
    </row>
    <row r="103" spans="2:8" ht="14.4" customHeight="1" x14ac:dyDescent="0.3">
      <c r="B103" s="482">
        <v>100</v>
      </c>
      <c r="C103" s="1356"/>
      <c r="D103" s="615" t="s">
        <v>463</v>
      </c>
      <c r="E103" s="616">
        <v>46286</v>
      </c>
      <c r="F103" s="615">
        <v>0.53800000000000003</v>
      </c>
      <c r="G103" s="615">
        <v>1.2</v>
      </c>
      <c r="H103" s="615">
        <v>18.95</v>
      </c>
    </row>
    <row r="104" spans="2:8" ht="14.4" customHeight="1" x14ac:dyDescent="0.3">
      <c r="B104" s="482">
        <v>101</v>
      </c>
      <c r="C104" s="1356"/>
      <c r="D104" s="615" t="s">
        <v>464</v>
      </c>
      <c r="E104" s="616">
        <v>46286</v>
      </c>
      <c r="F104" s="615">
        <v>0.55600000000000005</v>
      </c>
      <c r="G104" s="615">
        <v>1.19</v>
      </c>
      <c r="H104" s="615">
        <v>18.75</v>
      </c>
    </row>
    <row r="105" spans="2:8" ht="14.4" customHeight="1" x14ac:dyDescent="0.3">
      <c r="B105" s="482">
        <v>102</v>
      </c>
      <c r="C105" s="1356"/>
      <c r="D105" s="615" t="s">
        <v>465</v>
      </c>
      <c r="E105" s="616">
        <v>46286</v>
      </c>
      <c r="F105" s="615">
        <v>0.56599999999999995</v>
      </c>
      <c r="G105" s="615">
        <v>1.25</v>
      </c>
      <c r="H105" s="615">
        <v>18.899999999999999</v>
      </c>
    </row>
    <row r="106" spans="2:8" ht="14.4" customHeight="1" x14ac:dyDescent="0.3">
      <c r="B106" s="482">
        <v>103</v>
      </c>
      <c r="C106" s="1356"/>
      <c r="D106" s="615" t="s">
        <v>460</v>
      </c>
      <c r="E106" s="616">
        <v>46287</v>
      </c>
      <c r="F106" s="615">
        <v>0.80600000000000005</v>
      </c>
      <c r="G106" s="615">
        <v>1.08</v>
      </c>
      <c r="H106" s="615">
        <v>19.71</v>
      </c>
    </row>
    <row r="107" spans="2:8" ht="14.4" customHeight="1" x14ac:dyDescent="0.3">
      <c r="B107" s="482">
        <v>104</v>
      </c>
      <c r="C107" s="1356"/>
      <c r="D107" s="615" t="s">
        <v>461</v>
      </c>
      <c r="E107" s="616">
        <v>46287</v>
      </c>
      <c r="F107" s="615">
        <v>0.81799999999999995</v>
      </c>
      <c r="G107" s="615">
        <v>1.0900000000000001</v>
      </c>
      <c r="H107" s="615">
        <v>19.239999999999998</v>
      </c>
    </row>
    <row r="108" spans="2:8" ht="14.4" customHeight="1" x14ac:dyDescent="0.3">
      <c r="B108" s="482">
        <v>105</v>
      </c>
      <c r="C108" s="1356"/>
      <c r="D108" s="615" t="s">
        <v>462</v>
      </c>
      <c r="E108" s="616">
        <v>46287</v>
      </c>
      <c r="F108" s="615">
        <v>0.85399999999999998</v>
      </c>
      <c r="G108" s="615">
        <v>1.1599999999999999</v>
      </c>
      <c r="H108" s="615">
        <v>19.87</v>
      </c>
    </row>
    <row r="109" spans="2:8" ht="14.4" customHeight="1" x14ac:dyDescent="0.3">
      <c r="B109" s="482">
        <v>106</v>
      </c>
      <c r="C109" s="1356"/>
      <c r="D109" s="615" t="s">
        <v>463</v>
      </c>
      <c r="E109" s="616">
        <v>46287</v>
      </c>
      <c r="F109" s="615">
        <v>0.75700000000000001</v>
      </c>
      <c r="G109" s="615">
        <v>1.07</v>
      </c>
      <c r="H109" s="615">
        <v>15.22</v>
      </c>
    </row>
    <row r="110" spans="2:8" ht="14.4" customHeight="1" x14ac:dyDescent="0.3">
      <c r="B110" s="482">
        <v>107</v>
      </c>
      <c r="C110" s="1356"/>
      <c r="D110" s="615" t="s">
        <v>464</v>
      </c>
      <c r="E110" s="616">
        <v>46287</v>
      </c>
      <c r="F110" s="615">
        <v>0.75</v>
      </c>
      <c r="G110" s="615">
        <v>1.05</v>
      </c>
      <c r="H110" s="615">
        <v>15.65</v>
      </c>
    </row>
    <row r="111" spans="2:8" ht="14.4" customHeight="1" x14ac:dyDescent="0.3">
      <c r="B111" s="482">
        <v>108</v>
      </c>
      <c r="C111" s="1356"/>
      <c r="D111" s="615" t="s">
        <v>465</v>
      </c>
      <c r="E111" s="616">
        <v>46287</v>
      </c>
      <c r="F111" s="615">
        <v>0.74</v>
      </c>
      <c r="G111" s="615">
        <v>1.08</v>
      </c>
      <c r="H111" s="615">
        <v>15.65</v>
      </c>
    </row>
    <row r="112" spans="2:8" ht="14.4" customHeight="1" x14ac:dyDescent="0.3">
      <c r="B112" s="482">
        <v>109</v>
      </c>
      <c r="C112" s="1356"/>
      <c r="D112" s="615" t="s">
        <v>460</v>
      </c>
      <c r="E112" s="616">
        <v>46288</v>
      </c>
      <c r="F112" s="615">
        <v>1.0669999999999999</v>
      </c>
      <c r="G112" s="615">
        <v>0.94</v>
      </c>
      <c r="H112" s="615">
        <v>18.3</v>
      </c>
    </row>
    <row r="113" spans="2:8" ht="14.4" customHeight="1" x14ac:dyDescent="0.3">
      <c r="B113" s="482">
        <v>110</v>
      </c>
      <c r="C113" s="1356"/>
      <c r="D113" s="615" t="s">
        <v>461</v>
      </c>
      <c r="E113" s="616">
        <v>46288</v>
      </c>
      <c r="F113" s="615">
        <v>1.022</v>
      </c>
      <c r="G113" s="615">
        <v>0.94</v>
      </c>
      <c r="H113" s="615">
        <v>17.97</v>
      </c>
    </row>
    <row r="114" spans="2:8" ht="14.4" customHeight="1" x14ac:dyDescent="0.3">
      <c r="B114" s="482">
        <v>111</v>
      </c>
      <c r="C114" s="1356"/>
      <c r="D114" s="615" t="s">
        <v>462</v>
      </c>
      <c r="E114" s="616">
        <v>46288</v>
      </c>
      <c r="F114" s="615">
        <v>1.0740000000000001</v>
      </c>
      <c r="G114" s="615">
        <v>0.92</v>
      </c>
      <c r="H114" s="615">
        <v>17.87</v>
      </c>
    </row>
    <row r="115" spans="2:8" x14ac:dyDescent="0.3">
      <c r="B115" s="482">
        <v>112</v>
      </c>
      <c r="C115" s="1356"/>
      <c r="D115" s="615" t="s">
        <v>463</v>
      </c>
      <c r="E115" s="616">
        <v>46288</v>
      </c>
      <c r="F115" s="615">
        <v>0.71299999999999997</v>
      </c>
      <c r="G115" s="615">
        <v>0.64</v>
      </c>
      <c r="H115" s="615">
        <v>16.61</v>
      </c>
    </row>
    <row r="116" spans="2:8" x14ac:dyDescent="0.3">
      <c r="B116" s="482">
        <v>113</v>
      </c>
      <c r="C116" s="1356"/>
      <c r="D116" s="615" t="s">
        <v>464</v>
      </c>
      <c r="E116" s="616">
        <v>46288</v>
      </c>
      <c r="F116" s="615">
        <v>0.745</v>
      </c>
      <c r="G116" s="615">
        <v>0.61</v>
      </c>
      <c r="H116" s="615">
        <v>16.53</v>
      </c>
    </row>
    <row r="117" spans="2:8" x14ac:dyDescent="0.3">
      <c r="B117" s="482">
        <v>114</v>
      </c>
      <c r="C117" s="1356"/>
      <c r="D117" s="615" t="s">
        <v>465</v>
      </c>
      <c r="E117" s="616">
        <v>46288</v>
      </c>
      <c r="F117" s="615">
        <v>0.747</v>
      </c>
      <c r="G117" s="615">
        <v>0.69</v>
      </c>
      <c r="H117" s="615">
        <v>16.399999999999999</v>
      </c>
    </row>
    <row r="118" spans="2:8" x14ac:dyDescent="0.3">
      <c r="B118" s="482">
        <v>115</v>
      </c>
      <c r="C118" s="1356"/>
      <c r="D118" s="615" t="s">
        <v>460</v>
      </c>
      <c r="E118" s="616">
        <v>46289</v>
      </c>
      <c r="F118" s="482">
        <v>0.86099999999999999</v>
      </c>
      <c r="G118" s="482">
        <v>1.02</v>
      </c>
      <c r="H118" s="482">
        <v>16.37</v>
      </c>
    </row>
    <row r="119" spans="2:8" x14ac:dyDescent="0.3">
      <c r="B119" s="482">
        <v>116</v>
      </c>
      <c r="C119" s="1356"/>
      <c r="D119" s="615" t="s">
        <v>461</v>
      </c>
      <c r="E119" s="616">
        <v>46289</v>
      </c>
      <c r="F119" s="482">
        <v>0.90500000000000003</v>
      </c>
      <c r="G119" s="482">
        <v>1.1399999999999999</v>
      </c>
      <c r="H119" s="482">
        <v>16.22</v>
      </c>
    </row>
    <row r="120" spans="2:8" x14ac:dyDescent="0.3">
      <c r="B120" s="482">
        <v>117</v>
      </c>
      <c r="C120" s="1357"/>
      <c r="D120" s="615" t="s">
        <v>462</v>
      </c>
      <c r="E120" s="616">
        <v>46289</v>
      </c>
      <c r="F120" s="482">
        <v>0.86699999999999999</v>
      </c>
      <c r="G120" s="482">
        <v>0.88</v>
      </c>
      <c r="H120" s="482">
        <v>17.47</v>
      </c>
    </row>
    <row r="121" spans="2:8" ht="14.4" customHeight="1" x14ac:dyDescent="0.3">
      <c r="B121" s="451">
        <v>118</v>
      </c>
      <c r="C121" s="1359">
        <v>11</v>
      </c>
      <c r="D121" s="452" t="s">
        <v>463</v>
      </c>
      <c r="E121" s="453">
        <v>46289</v>
      </c>
      <c r="F121" s="451">
        <v>0.57699999999999996</v>
      </c>
      <c r="G121" s="451">
        <v>1.87</v>
      </c>
      <c r="H121" s="451">
        <v>17.46</v>
      </c>
    </row>
    <row r="122" spans="2:8" ht="14.4" customHeight="1" x14ac:dyDescent="0.3">
      <c r="B122" s="451">
        <v>119</v>
      </c>
      <c r="C122" s="1360"/>
      <c r="D122" s="452" t="s">
        <v>464</v>
      </c>
      <c r="E122" s="453">
        <v>46289</v>
      </c>
      <c r="F122" s="451">
        <v>0.59699999999999998</v>
      </c>
      <c r="G122" s="451">
        <v>1.8</v>
      </c>
      <c r="H122" s="451">
        <v>17.75</v>
      </c>
    </row>
    <row r="123" spans="2:8" ht="14.4" customHeight="1" x14ac:dyDescent="0.3">
      <c r="B123" s="451">
        <v>120</v>
      </c>
      <c r="C123" s="1360"/>
      <c r="D123" s="452" t="s">
        <v>465</v>
      </c>
      <c r="E123" s="453">
        <v>46289</v>
      </c>
      <c r="F123" s="451">
        <v>0.56499999999999995</v>
      </c>
      <c r="G123" s="451">
        <v>1.89</v>
      </c>
      <c r="H123" s="451">
        <v>17.72</v>
      </c>
    </row>
    <row r="124" spans="2:8" ht="14.4" customHeight="1" x14ac:dyDescent="0.3">
      <c r="B124" s="451">
        <v>121</v>
      </c>
      <c r="C124" s="1360"/>
      <c r="D124" s="452" t="s">
        <v>460</v>
      </c>
      <c r="E124" s="453">
        <v>46290</v>
      </c>
      <c r="F124" s="452">
        <v>0.75</v>
      </c>
      <c r="G124" s="452">
        <v>1.24</v>
      </c>
      <c r="H124" s="452">
        <v>20.04</v>
      </c>
    </row>
    <row r="125" spans="2:8" ht="14.4" customHeight="1" x14ac:dyDescent="0.3">
      <c r="B125" s="451">
        <v>122</v>
      </c>
      <c r="C125" s="1360"/>
      <c r="D125" s="452" t="s">
        <v>461</v>
      </c>
      <c r="E125" s="453">
        <v>46290</v>
      </c>
      <c r="F125" s="452">
        <v>0.71199999999999997</v>
      </c>
      <c r="G125" s="452">
        <v>1.1200000000000001</v>
      </c>
      <c r="H125" s="452">
        <v>19.91</v>
      </c>
    </row>
    <row r="126" spans="2:8" ht="14.4" customHeight="1" x14ac:dyDescent="0.3">
      <c r="B126" s="451">
        <v>123</v>
      </c>
      <c r="C126" s="1360"/>
      <c r="D126" s="452" t="s">
        <v>462</v>
      </c>
      <c r="E126" s="453">
        <v>46290</v>
      </c>
      <c r="F126" s="452">
        <v>0.72799999999999998</v>
      </c>
      <c r="G126" s="452">
        <v>1.29</v>
      </c>
      <c r="H126" s="452">
        <v>20.12</v>
      </c>
    </row>
    <row r="127" spans="2:8" x14ac:dyDescent="0.3">
      <c r="B127" s="451">
        <v>124</v>
      </c>
      <c r="C127" s="1360"/>
      <c r="D127" s="452" t="s">
        <v>463</v>
      </c>
      <c r="E127" s="453">
        <v>46290</v>
      </c>
      <c r="F127" s="452"/>
      <c r="G127" s="452"/>
      <c r="H127" s="452"/>
    </row>
    <row r="128" spans="2:8" x14ac:dyDescent="0.3">
      <c r="B128" s="451">
        <v>125</v>
      </c>
      <c r="C128" s="1360"/>
      <c r="D128" s="452" t="s">
        <v>464</v>
      </c>
      <c r="E128" s="453">
        <v>46290</v>
      </c>
      <c r="F128" s="452"/>
      <c r="G128" s="452"/>
      <c r="H128" s="452"/>
    </row>
    <row r="129" spans="2:8" x14ac:dyDescent="0.3">
      <c r="B129" s="451">
        <v>126</v>
      </c>
      <c r="C129" s="1361"/>
      <c r="D129" s="452" t="s">
        <v>465</v>
      </c>
      <c r="E129" s="453">
        <v>46290</v>
      </c>
      <c r="F129" s="452"/>
      <c r="G129" s="452"/>
      <c r="H129" s="452"/>
    </row>
    <row r="130" spans="2:8" ht="14.4" customHeight="1" x14ac:dyDescent="0.3">
      <c r="B130" s="615">
        <v>127</v>
      </c>
      <c r="C130" s="1355">
        <v>12</v>
      </c>
      <c r="D130" s="615" t="s">
        <v>460</v>
      </c>
      <c r="E130" s="616">
        <v>46292</v>
      </c>
      <c r="F130" s="615">
        <v>0.52700000000000002</v>
      </c>
      <c r="G130" s="615">
        <v>1.1599999999999999</v>
      </c>
      <c r="H130" s="615">
        <v>13.75</v>
      </c>
    </row>
    <row r="131" spans="2:8" ht="14.4" customHeight="1" x14ac:dyDescent="0.3">
      <c r="B131" s="615">
        <v>128</v>
      </c>
      <c r="C131" s="1356"/>
      <c r="D131" s="615" t="s">
        <v>461</v>
      </c>
      <c r="E131" s="616">
        <v>46292</v>
      </c>
      <c r="F131" s="615">
        <v>0.51100000000000001</v>
      </c>
      <c r="G131" s="615">
        <v>1.07</v>
      </c>
      <c r="H131" s="615">
        <v>13.27</v>
      </c>
    </row>
    <row r="132" spans="2:8" ht="14.4" customHeight="1" x14ac:dyDescent="0.3">
      <c r="B132" s="615">
        <v>129</v>
      </c>
      <c r="C132" s="1356"/>
      <c r="D132" s="615" t="s">
        <v>462</v>
      </c>
      <c r="E132" s="616">
        <v>46292</v>
      </c>
      <c r="F132" s="615">
        <v>0.52300000000000002</v>
      </c>
      <c r="G132" s="615">
        <v>1.08</v>
      </c>
      <c r="H132" s="615">
        <v>13.91</v>
      </c>
    </row>
    <row r="133" spans="2:8" ht="14.4" customHeight="1" x14ac:dyDescent="0.3">
      <c r="B133" s="615">
        <v>130</v>
      </c>
      <c r="C133" s="1356"/>
      <c r="D133" s="615" t="s">
        <v>463</v>
      </c>
      <c r="E133" s="616">
        <v>46292</v>
      </c>
      <c r="F133" s="615">
        <v>0.76</v>
      </c>
      <c r="G133" s="615">
        <v>1.44</v>
      </c>
      <c r="H133" s="615">
        <v>15.45</v>
      </c>
    </row>
    <row r="134" spans="2:8" ht="14.4" customHeight="1" x14ac:dyDescent="0.3">
      <c r="B134" s="615">
        <v>131</v>
      </c>
      <c r="C134" s="1356"/>
      <c r="D134" s="615" t="s">
        <v>464</v>
      </c>
      <c r="E134" s="616">
        <v>46292</v>
      </c>
      <c r="F134" s="615">
        <v>0.73199999999999998</v>
      </c>
      <c r="G134" s="615">
        <v>1.43</v>
      </c>
      <c r="H134" s="615">
        <v>15.47</v>
      </c>
    </row>
    <row r="135" spans="2:8" ht="14.4" customHeight="1" x14ac:dyDescent="0.3">
      <c r="B135" s="615">
        <v>132</v>
      </c>
      <c r="C135" s="1356"/>
      <c r="D135" s="615" t="s">
        <v>465</v>
      </c>
      <c r="E135" s="616">
        <v>46292</v>
      </c>
      <c r="F135" s="615">
        <v>0.751</v>
      </c>
      <c r="G135" s="615">
        <v>1.45</v>
      </c>
      <c r="H135" s="615">
        <v>15.17</v>
      </c>
    </row>
    <row r="136" spans="2:8" ht="14.4" customHeight="1" x14ac:dyDescent="0.3">
      <c r="B136" s="615">
        <v>133</v>
      </c>
      <c r="C136" s="1356"/>
      <c r="D136" s="615" t="s">
        <v>460</v>
      </c>
      <c r="E136" s="616">
        <v>46293</v>
      </c>
      <c r="F136" s="615">
        <v>0.58799999999999997</v>
      </c>
      <c r="G136" s="615">
        <v>1.07</v>
      </c>
      <c r="H136" s="615">
        <v>14.31</v>
      </c>
    </row>
    <row r="137" spans="2:8" ht="14.4" customHeight="1" x14ac:dyDescent="0.3">
      <c r="B137" s="615">
        <v>134</v>
      </c>
      <c r="C137" s="1356"/>
      <c r="D137" s="615" t="s">
        <v>461</v>
      </c>
      <c r="E137" s="616">
        <v>46293</v>
      </c>
      <c r="F137" s="615">
        <v>0.57199999999999995</v>
      </c>
      <c r="G137" s="615">
        <v>1.18</v>
      </c>
      <c r="H137" s="615">
        <v>14.17</v>
      </c>
    </row>
    <row r="138" spans="2:8" ht="14.4" customHeight="1" x14ac:dyDescent="0.3">
      <c r="B138" s="615">
        <v>135</v>
      </c>
      <c r="C138" s="1356"/>
      <c r="D138" s="615" t="s">
        <v>462</v>
      </c>
      <c r="E138" s="616">
        <v>46293</v>
      </c>
      <c r="F138" s="615">
        <v>0.59499999999999997</v>
      </c>
      <c r="G138" s="615">
        <v>1.05</v>
      </c>
      <c r="H138" s="615">
        <v>14.35</v>
      </c>
    </row>
    <row r="139" spans="2:8" ht="14.4" customHeight="1" x14ac:dyDescent="0.3">
      <c r="B139" s="615">
        <v>136</v>
      </c>
      <c r="C139" s="1356"/>
      <c r="D139" s="615" t="s">
        <v>463</v>
      </c>
      <c r="E139" s="616">
        <v>46293</v>
      </c>
      <c r="F139" s="615">
        <v>0.53200000000000003</v>
      </c>
      <c r="G139" s="615">
        <v>2.09</v>
      </c>
      <c r="H139" s="615">
        <v>17.87</v>
      </c>
    </row>
    <row r="140" spans="2:8" ht="14.4" customHeight="1" x14ac:dyDescent="0.3">
      <c r="B140" s="615">
        <v>137</v>
      </c>
      <c r="C140" s="1356"/>
      <c r="D140" s="615" t="s">
        <v>464</v>
      </c>
      <c r="E140" s="616">
        <v>46293</v>
      </c>
      <c r="F140" s="615">
        <v>0.57899999999999996</v>
      </c>
      <c r="G140" s="615">
        <v>2.0299999999999998</v>
      </c>
      <c r="H140" s="615">
        <v>17.97</v>
      </c>
    </row>
    <row r="141" spans="2:8" ht="14.4" customHeight="1" x14ac:dyDescent="0.3">
      <c r="B141" s="615">
        <v>138</v>
      </c>
      <c r="C141" s="1356"/>
      <c r="D141" s="615" t="s">
        <v>465</v>
      </c>
      <c r="E141" s="616">
        <v>46293</v>
      </c>
      <c r="F141" s="615">
        <v>0.53500000000000003</v>
      </c>
      <c r="G141" s="615">
        <v>2.12</v>
      </c>
      <c r="H141" s="615">
        <v>17.87</v>
      </c>
    </row>
    <row r="142" spans="2:8" ht="14.4" customHeight="1" x14ac:dyDescent="0.3">
      <c r="B142" s="615">
        <v>139</v>
      </c>
      <c r="C142" s="1356"/>
      <c r="D142" s="615" t="s">
        <v>460</v>
      </c>
      <c r="E142" s="616">
        <v>46294</v>
      </c>
      <c r="F142" s="615">
        <v>0.58299999999999996</v>
      </c>
      <c r="G142" s="615">
        <v>1.07</v>
      </c>
      <c r="H142" s="615">
        <v>19.14</v>
      </c>
    </row>
    <row r="143" spans="2:8" ht="14.4" customHeight="1" x14ac:dyDescent="0.3">
      <c r="B143" s="615">
        <v>140</v>
      </c>
      <c r="C143" s="1356"/>
      <c r="D143" s="615" t="s">
        <v>461</v>
      </c>
      <c r="E143" s="616">
        <v>46294</v>
      </c>
      <c r="F143" s="615">
        <v>0.54400000000000004</v>
      </c>
      <c r="G143" s="615">
        <v>1.18</v>
      </c>
      <c r="H143" s="615">
        <v>18.68</v>
      </c>
    </row>
    <row r="144" spans="2:8" ht="14.4" customHeight="1" x14ac:dyDescent="0.3">
      <c r="B144" s="615">
        <v>141</v>
      </c>
      <c r="C144" s="1356"/>
      <c r="D144" s="615" t="s">
        <v>462</v>
      </c>
      <c r="E144" s="616">
        <v>46294</v>
      </c>
      <c r="F144" s="615">
        <v>0.52300000000000002</v>
      </c>
      <c r="G144" s="615">
        <v>1.05</v>
      </c>
      <c r="H144" s="615">
        <v>18.850000000000001</v>
      </c>
    </row>
    <row r="145" spans="2:8" x14ac:dyDescent="0.3">
      <c r="B145" s="615">
        <v>142</v>
      </c>
      <c r="C145" s="1356"/>
      <c r="D145" s="615" t="s">
        <v>463</v>
      </c>
      <c r="E145" s="616">
        <v>46294</v>
      </c>
      <c r="F145" s="615">
        <v>0.55800000000000005</v>
      </c>
      <c r="G145" s="615">
        <v>1.28</v>
      </c>
      <c r="H145" s="615">
        <v>19.61</v>
      </c>
    </row>
    <row r="146" spans="2:8" x14ac:dyDescent="0.3">
      <c r="B146" s="615">
        <v>143</v>
      </c>
      <c r="C146" s="1356"/>
      <c r="D146" s="615" t="s">
        <v>464</v>
      </c>
      <c r="E146" s="616">
        <v>46294</v>
      </c>
      <c r="F146" s="615">
        <v>0.57499999999999996</v>
      </c>
      <c r="G146" s="615">
        <v>1.23</v>
      </c>
      <c r="H146" s="615">
        <v>19.61</v>
      </c>
    </row>
    <row r="147" spans="2:8" x14ac:dyDescent="0.3">
      <c r="B147" s="615">
        <v>144</v>
      </c>
      <c r="C147" s="1357"/>
      <c r="D147" s="615" t="s">
        <v>465</v>
      </c>
      <c r="E147" s="616">
        <v>46294</v>
      </c>
      <c r="F147" s="615">
        <v>0.50600000000000001</v>
      </c>
      <c r="G147" s="615">
        <v>1.28</v>
      </c>
      <c r="H147" s="615">
        <v>19.079999999999998</v>
      </c>
    </row>
    <row r="148" spans="2:8" x14ac:dyDescent="0.3">
      <c r="B148" s="452">
        <v>145</v>
      </c>
      <c r="C148" s="1258">
        <v>13</v>
      </c>
      <c r="D148" s="452" t="s">
        <v>463</v>
      </c>
      <c r="E148" s="453">
        <v>46294</v>
      </c>
      <c r="F148" s="452">
        <v>0.55800000000000005</v>
      </c>
      <c r="G148" s="452">
        <v>1.42</v>
      </c>
      <c r="H148" s="452">
        <v>19.61</v>
      </c>
    </row>
    <row r="149" spans="2:8" x14ac:dyDescent="0.3">
      <c r="B149" s="452">
        <v>146</v>
      </c>
      <c r="C149" s="1259"/>
      <c r="D149" s="452" t="s">
        <v>464</v>
      </c>
      <c r="E149" s="453">
        <v>46294</v>
      </c>
      <c r="F149" s="452">
        <v>0.57499999999999996</v>
      </c>
      <c r="G149" s="452">
        <v>1.39</v>
      </c>
      <c r="H149" s="452">
        <v>19.61</v>
      </c>
    </row>
    <row r="150" spans="2:8" x14ac:dyDescent="0.3">
      <c r="B150" s="452">
        <v>147</v>
      </c>
      <c r="C150" s="1259"/>
      <c r="D150" s="452" t="s">
        <v>465</v>
      </c>
      <c r="E150" s="453">
        <v>46294</v>
      </c>
      <c r="F150" s="452">
        <v>0.50600000000000001</v>
      </c>
      <c r="G150" s="452">
        <v>1.36</v>
      </c>
      <c r="H150" s="452">
        <v>19.079999999999998</v>
      </c>
    </row>
    <row r="151" spans="2:8" x14ac:dyDescent="0.3">
      <c r="B151" s="452">
        <v>148</v>
      </c>
      <c r="C151" s="1259"/>
      <c r="D151" s="452" t="s">
        <v>460</v>
      </c>
      <c r="E151" s="453">
        <v>46299</v>
      </c>
      <c r="F151" s="452"/>
      <c r="G151" s="452"/>
      <c r="H151" s="452"/>
    </row>
    <row r="152" spans="2:8" x14ac:dyDescent="0.3">
      <c r="B152" s="452">
        <v>149</v>
      </c>
      <c r="C152" s="1259"/>
      <c r="D152" s="452" t="s">
        <v>461</v>
      </c>
      <c r="E152" s="453">
        <v>46299</v>
      </c>
      <c r="F152" s="452"/>
      <c r="G152" s="452"/>
      <c r="H152" s="452"/>
    </row>
    <row r="153" spans="2:8" x14ac:dyDescent="0.3">
      <c r="B153" s="452">
        <v>150</v>
      </c>
      <c r="C153" s="1259"/>
      <c r="D153" s="452" t="s">
        <v>462</v>
      </c>
      <c r="E153" s="453">
        <v>46299</v>
      </c>
      <c r="F153" s="452"/>
      <c r="G153" s="452"/>
      <c r="H153" s="452"/>
    </row>
    <row r="154" spans="2:8" x14ac:dyDescent="0.3">
      <c r="B154" s="452">
        <v>151</v>
      </c>
      <c r="C154" s="1259"/>
      <c r="D154" s="452" t="s">
        <v>463</v>
      </c>
      <c r="E154" s="453">
        <v>46299</v>
      </c>
      <c r="F154" s="452"/>
      <c r="G154" s="452"/>
      <c r="H154" s="452"/>
    </row>
    <row r="155" spans="2:8" x14ac:dyDescent="0.3">
      <c r="B155" s="452">
        <v>152</v>
      </c>
      <c r="C155" s="1259"/>
      <c r="D155" s="452" t="s">
        <v>464</v>
      </c>
      <c r="E155" s="453">
        <v>46299</v>
      </c>
      <c r="F155" s="452"/>
      <c r="G155" s="452"/>
      <c r="H155" s="452"/>
    </row>
    <row r="156" spans="2:8" x14ac:dyDescent="0.3">
      <c r="B156" s="452">
        <v>153</v>
      </c>
      <c r="C156" s="1260"/>
      <c r="D156" s="452" t="s">
        <v>465</v>
      </c>
      <c r="E156" s="453">
        <v>46299</v>
      </c>
      <c r="F156" s="452"/>
      <c r="G156" s="452"/>
      <c r="H156" s="452"/>
    </row>
    <row r="157" spans="2:8" x14ac:dyDescent="0.3">
      <c r="B157" s="6"/>
      <c r="C157" s="6"/>
      <c r="D157" s="6"/>
      <c r="E157" s="233"/>
      <c r="F157" s="6"/>
      <c r="G157" s="6"/>
      <c r="H157" s="6"/>
    </row>
    <row r="158" spans="2:8" x14ac:dyDescent="0.3">
      <c r="B158" s="6"/>
      <c r="C158" s="6"/>
      <c r="D158" s="6"/>
      <c r="E158" s="233"/>
      <c r="F158" s="6"/>
      <c r="G158" s="6"/>
      <c r="H158" s="6"/>
    </row>
    <row r="159" spans="2:8" x14ac:dyDescent="0.3">
      <c r="B159" s="6"/>
      <c r="C159" s="6"/>
      <c r="D159" s="6"/>
      <c r="E159" s="233"/>
      <c r="F159" s="6"/>
      <c r="G159" s="6"/>
      <c r="H159" s="6"/>
    </row>
    <row r="160" spans="2:8" x14ac:dyDescent="0.3">
      <c r="B160" s="6"/>
      <c r="C160" s="6"/>
      <c r="D160" s="6"/>
      <c r="E160" s="233"/>
      <c r="F160" s="6"/>
      <c r="G160" s="6"/>
      <c r="H160" s="6"/>
    </row>
    <row r="161" spans="2:8" x14ac:dyDescent="0.3">
      <c r="B161" s="6"/>
      <c r="C161" s="6"/>
      <c r="D161" s="6"/>
      <c r="E161" s="233"/>
      <c r="F161" s="6"/>
      <c r="G161" s="6"/>
      <c r="H161" s="6"/>
    </row>
    <row r="162" spans="2:8" x14ac:dyDescent="0.3">
      <c r="B162" s="6"/>
      <c r="C162" s="6"/>
      <c r="D162" s="6"/>
      <c r="E162" s="233"/>
      <c r="F162" s="6"/>
      <c r="G162" s="6"/>
      <c r="H162" s="6"/>
    </row>
    <row r="163" spans="2:8" x14ac:dyDescent="0.3">
      <c r="B163" s="6"/>
      <c r="C163" s="6"/>
      <c r="D163" s="6"/>
      <c r="E163" s="233"/>
      <c r="F163" s="6"/>
      <c r="G163" s="6"/>
      <c r="H163" s="6"/>
    </row>
    <row r="164" spans="2:8" x14ac:dyDescent="0.3">
      <c r="B164" s="6"/>
      <c r="C164" s="6"/>
      <c r="D164" s="6"/>
      <c r="E164" s="233"/>
      <c r="F164" s="6"/>
      <c r="G164" s="6"/>
      <c r="H164" s="6"/>
    </row>
    <row r="165" spans="2:8" x14ac:dyDescent="0.3">
      <c r="B165" s="6"/>
      <c r="C165" s="6"/>
      <c r="D165" s="6"/>
      <c r="E165" s="233"/>
      <c r="F165" s="6"/>
      <c r="G165" s="6"/>
      <c r="H165" s="6"/>
    </row>
    <row r="166" spans="2:8" x14ac:dyDescent="0.3">
      <c r="B166" s="6"/>
      <c r="C166" s="6"/>
      <c r="D166" s="6"/>
      <c r="E166" s="233"/>
      <c r="F166" s="6"/>
      <c r="G166" s="6"/>
      <c r="H166" s="6"/>
    </row>
    <row r="167" spans="2:8" x14ac:dyDescent="0.3">
      <c r="B167" s="6"/>
      <c r="C167" s="6"/>
      <c r="D167" s="6"/>
      <c r="E167" s="233"/>
      <c r="F167" s="6"/>
      <c r="G167" s="6"/>
      <c r="H167" s="6"/>
    </row>
    <row r="168" spans="2:8" x14ac:dyDescent="0.3">
      <c r="B168" s="6"/>
      <c r="C168" s="6"/>
      <c r="D168" s="6"/>
      <c r="E168" s="233"/>
      <c r="F168" s="6"/>
      <c r="G168" s="6"/>
      <c r="H168" s="6"/>
    </row>
    <row r="169" spans="2:8" x14ac:dyDescent="0.3">
      <c r="B169" s="6"/>
      <c r="C169" s="6"/>
      <c r="D169" s="6"/>
      <c r="E169" s="233"/>
      <c r="F169" s="6"/>
      <c r="G169" s="6"/>
      <c r="H169" s="6"/>
    </row>
    <row r="170" spans="2:8" x14ac:dyDescent="0.3">
      <c r="B170" s="6"/>
      <c r="C170" s="6"/>
      <c r="D170" s="6"/>
      <c r="E170" s="233"/>
      <c r="F170" s="6"/>
      <c r="G170" s="6"/>
      <c r="H170" s="6"/>
    </row>
    <row r="171" spans="2:8" x14ac:dyDescent="0.3">
      <c r="B171" s="6"/>
      <c r="C171" s="6"/>
      <c r="D171" s="6"/>
      <c r="E171" s="233"/>
      <c r="F171" s="6"/>
      <c r="G171" s="6"/>
      <c r="H171" s="6"/>
    </row>
    <row r="172" spans="2:8" x14ac:dyDescent="0.3">
      <c r="B172" s="6"/>
      <c r="C172" s="6"/>
      <c r="D172" s="6"/>
      <c r="E172" s="233"/>
      <c r="F172" s="6"/>
      <c r="G172" s="6"/>
      <c r="H172" s="6"/>
    </row>
    <row r="173" spans="2:8" x14ac:dyDescent="0.3">
      <c r="B173" s="6"/>
      <c r="C173" s="6"/>
      <c r="D173" s="6"/>
      <c r="E173" s="233"/>
      <c r="F173" s="6"/>
      <c r="G173" s="6"/>
      <c r="H173" s="6"/>
    </row>
    <row r="174" spans="2:8" x14ac:dyDescent="0.3">
      <c r="B174" s="6"/>
      <c r="C174" s="6"/>
      <c r="D174" s="6"/>
      <c r="E174" s="233"/>
      <c r="F174" s="6"/>
      <c r="G174" s="6"/>
      <c r="H174" s="6"/>
    </row>
    <row r="175" spans="2:8" x14ac:dyDescent="0.3">
      <c r="B175" s="6"/>
      <c r="C175" s="6"/>
      <c r="D175" s="6"/>
      <c r="E175" s="233"/>
      <c r="F175" s="6"/>
      <c r="G175" s="6"/>
      <c r="H175" s="6"/>
    </row>
    <row r="176" spans="2:8" x14ac:dyDescent="0.3">
      <c r="B176" s="6"/>
      <c r="C176" s="6"/>
      <c r="D176" s="6"/>
      <c r="E176" s="233"/>
      <c r="F176" s="6"/>
      <c r="G176" s="6"/>
      <c r="H176" s="6"/>
    </row>
    <row r="177" spans="2:8" x14ac:dyDescent="0.3">
      <c r="B177" s="6"/>
      <c r="C177" s="6"/>
      <c r="D177" s="6"/>
      <c r="E177" s="233"/>
      <c r="F177" s="6"/>
      <c r="G177" s="6"/>
      <c r="H177" s="6"/>
    </row>
    <row r="178" spans="2:8" x14ac:dyDescent="0.3">
      <c r="B178" s="6"/>
      <c r="C178" s="6"/>
      <c r="D178" s="6"/>
      <c r="E178" s="233"/>
      <c r="F178" s="6"/>
      <c r="G178" s="6"/>
      <c r="H178" s="6"/>
    </row>
    <row r="179" spans="2:8" x14ac:dyDescent="0.3">
      <c r="B179" s="6"/>
      <c r="C179" s="6"/>
      <c r="D179" s="6"/>
      <c r="E179" s="233"/>
      <c r="F179" s="6"/>
      <c r="G179" s="6"/>
      <c r="H179" s="6"/>
    </row>
    <row r="180" spans="2:8" x14ac:dyDescent="0.3">
      <c r="B180" s="6"/>
      <c r="C180" s="6"/>
      <c r="D180" s="6"/>
      <c r="E180" s="233"/>
      <c r="F180" s="6"/>
      <c r="G180" s="6"/>
      <c r="H180" s="6"/>
    </row>
    <row r="181" spans="2:8" x14ac:dyDescent="0.3">
      <c r="B181" s="6"/>
      <c r="C181" s="6"/>
      <c r="D181" s="6"/>
      <c r="E181" s="233"/>
      <c r="F181" s="6"/>
      <c r="G181" s="6"/>
      <c r="H181" s="6"/>
    </row>
    <row r="182" spans="2:8" x14ac:dyDescent="0.3">
      <c r="B182" s="6"/>
      <c r="C182" s="6"/>
      <c r="D182" s="6"/>
      <c r="E182" s="233"/>
      <c r="F182" s="6"/>
      <c r="G182" s="6"/>
      <c r="H182" s="6"/>
    </row>
    <row r="183" spans="2:8" x14ac:dyDescent="0.3">
      <c r="B183" s="6"/>
      <c r="C183" s="6"/>
      <c r="D183" s="6"/>
      <c r="E183" s="233"/>
      <c r="F183" s="6"/>
      <c r="G183" s="6"/>
      <c r="H183" s="6"/>
    </row>
    <row r="184" spans="2:8" x14ac:dyDescent="0.3">
      <c r="B184" s="6"/>
      <c r="C184" s="6"/>
      <c r="D184" s="6"/>
      <c r="E184" s="233"/>
      <c r="F184" s="6"/>
      <c r="G184" s="6"/>
      <c r="H184" s="6"/>
    </row>
    <row r="185" spans="2:8" x14ac:dyDescent="0.3">
      <c r="B185" s="6"/>
      <c r="C185" s="6"/>
      <c r="D185" s="6"/>
      <c r="E185" s="233"/>
      <c r="F185" s="6"/>
      <c r="G185" s="6"/>
      <c r="H185" s="6"/>
    </row>
    <row r="186" spans="2:8" x14ac:dyDescent="0.3">
      <c r="B186" s="6"/>
      <c r="C186" s="6"/>
      <c r="D186" s="6"/>
      <c r="E186" s="233"/>
      <c r="F186" s="6"/>
      <c r="G186" s="6"/>
      <c r="H186" s="6"/>
    </row>
    <row r="187" spans="2:8" x14ac:dyDescent="0.3">
      <c r="B187" s="6"/>
      <c r="C187" s="6"/>
      <c r="D187" s="6"/>
      <c r="E187" s="233"/>
      <c r="F187" s="6"/>
      <c r="G187" s="6"/>
      <c r="H187" s="6"/>
    </row>
    <row r="188" spans="2:8" x14ac:dyDescent="0.3">
      <c r="B188" s="6"/>
      <c r="C188" s="6"/>
      <c r="D188" s="6"/>
      <c r="E188" s="233"/>
      <c r="F188" s="6"/>
      <c r="G188" s="6"/>
      <c r="H188" s="6"/>
    </row>
    <row r="189" spans="2:8" x14ac:dyDescent="0.3">
      <c r="B189" s="6"/>
      <c r="C189" s="6"/>
      <c r="D189" s="6"/>
      <c r="E189" s="233"/>
      <c r="F189" s="6"/>
      <c r="G189" s="6"/>
      <c r="H189" s="6"/>
    </row>
    <row r="190" spans="2:8" x14ac:dyDescent="0.3">
      <c r="B190" s="6"/>
      <c r="C190" s="6"/>
      <c r="D190" s="6"/>
      <c r="E190" s="233"/>
      <c r="F190" s="6"/>
      <c r="G190" s="6"/>
      <c r="H190" s="6"/>
    </row>
    <row r="191" spans="2:8" x14ac:dyDescent="0.3">
      <c r="B191" s="6"/>
      <c r="C191" s="6"/>
      <c r="D191" s="6"/>
      <c r="E191" s="233"/>
      <c r="F191" s="6"/>
      <c r="G191" s="6"/>
      <c r="H191" s="6"/>
    </row>
    <row r="192" spans="2:8" x14ac:dyDescent="0.3">
      <c r="B192" s="6"/>
      <c r="C192" s="6"/>
      <c r="D192" s="6"/>
      <c r="E192" s="233"/>
      <c r="F192" s="6"/>
      <c r="G192" s="6"/>
      <c r="H192" s="6"/>
    </row>
    <row r="193" spans="2:8" x14ac:dyDescent="0.3">
      <c r="B193" s="6"/>
      <c r="C193" s="6"/>
      <c r="D193" s="6"/>
      <c r="E193" s="233"/>
      <c r="F193" s="6"/>
      <c r="G193" s="6"/>
      <c r="H193" s="6"/>
    </row>
    <row r="194" spans="2:8" x14ac:dyDescent="0.3">
      <c r="B194" s="6"/>
      <c r="C194" s="6"/>
      <c r="D194" s="6"/>
      <c r="E194" s="233"/>
      <c r="F194" s="6"/>
      <c r="G194" s="6"/>
      <c r="H194" s="6"/>
    </row>
    <row r="195" spans="2:8" x14ac:dyDescent="0.3">
      <c r="B195" s="6"/>
      <c r="C195" s="6"/>
      <c r="D195" s="6"/>
      <c r="E195" s="233"/>
      <c r="F195" s="6"/>
      <c r="G195" s="6"/>
      <c r="H195" s="6"/>
    </row>
    <row r="196" spans="2:8" x14ac:dyDescent="0.3">
      <c r="B196" s="6"/>
      <c r="C196" s="6"/>
      <c r="D196" s="6"/>
      <c r="E196" s="233"/>
      <c r="F196" s="6"/>
      <c r="G196" s="6"/>
      <c r="H196" s="6"/>
    </row>
    <row r="197" spans="2:8" x14ac:dyDescent="0.3">
      <c r="B197" s="6"/>
      <c r="C197" s="6"/>
      <c r="D197" s="6"/>
      <c r="E197" s="233"/>
      <c r="F197" s="6"/>
      <c r="G197" s="6"/>
      <c r="H197" s="6"/>
    </row>
    <row r="198" spans="2:8" x14ac:dyDescent="0.3">
      <c r="B198" s="6"/>
      <c r="C198" s="6"/>
      <c r="D198" s="6"/>
      <c r="E198" s="233"/>
      <c r="F198" s="6"/>
      <c r="G198" s="6"/>
      <c r="H198" s="6"/>
    </row>
    <row r="199" spans="2:8" x14ac:dyDescent="0.3">
      <c r="B199" s="6"/>
      <c r="C199" s="6"/>
      <c r="D199" s="6"/>
      <c r="E199" s="233"/>
      <c r="F199" s="6"/>
      <c r="G199" s="6"/>
      <c r="H199" s="6"/>
    </row>
    <row r="200" spans="2:8" x14ac:dyDescent="0.3">
      <c r="B200" s="6"/>
      <c r="C200" s="6"/>
      <c r="D200" s="6"/>
      <c r="E200" s="233"/>
      <c r="F200" s="6"/>
      <c r="G200" s="6"/>
      <c r="H200" s="6"/>
    </row>
    <row r="201" spans="2:8" x14ac:dyDescent="0.3">
      <c r="B201" s="6"/>
      <c r="C201" s="6"/>
      <c r="D201" s="6"/>
      <c r="E201" s="233"/>
      <c r="F201" s="6"/>
      <c r="G201" s="6"/>
      <c r="H201" s="6"/>
    </row>
    <row r="202" spans="2:8" x14ac:dyDescent="0.3">
      <c r="B202" s="6"/>
      <c r="C202" s="6"/>
      <c r="D202" s="6"/>
      <c r="E202" s="233"/>
      <c r="F202" s="6"/>
      <c r="G202" s="6"/>
      <c r="H202" s="6"/>
    </row>
    <row r="203" spans="2:8" x14ac:dyDescent="0.3">
      <c r="B203" s="6"/>
      <c r="C203" s="6"/>
      <c r="D203" s="6"/>
      <c r="E203" s="233"/>
      <c r="F203" s="6"/>
      <c r="G203" s="6"/>
      <c r="H203" s="6"/>
    </row>
    <row r="204" spans="2:8" x14ac:dyDescent="0.3">
      <c r="B204" s="6"/>
      <c r="C204" s="6"/>
      <c r="D204" s="6"/>
      <c r="E204" s="233"/>
      <c r="F204" s="6"/>
      <c r="G204" s="6"/>
      <c r="H204" s="6"/>
    </row>
    <row r="205" spans="2:8" x14ac:dyDescent="0.3">
      <c r="B205" s="6"/>
      <c r="C205" s="6"/>
      <c r="D205" s="6"/>
      <c r="E205" s="233"/>
      <c r="F205" s="6"/>
      <c r="G205" s="6"/>
      <c r="H205" s="6"/>
    </row>
    <row r="206" spans="2:8" x14ac:dyDescent="0.3">
      <c r="B206" s="6"/>
      <c r="C206" s="6"/>
      <c r="D206" s="6"/>
      <c r="E206" s="233"/>
      <c r="F206" s="6"/>
      <c r="G206" s="6"/>
      <c r="H206" s="6"/>
    </row>
    <row r="207" spans="2:8" x14ac:dyDescent="0.3">
      <c r="B207" s="6"/>
      <c r="C207" s="6"/>
      <c r="D207" s="6"/>
      <c r="E207" s="233"/>
      <c r="F207" s="6"/>
      <c r="G207" s="6"/>
      <c r="H207" s="6"/>
    </row>
    <row r="208" spans="2:8" x14ac:dyDescent="0.3">
      <c r="B208" s="6"/>
      <c r="C208" s="6"/>
      <c r="D208" s="6"/>
      <c r="E208" s="233"/>
      <c r="F208" s="6"/>
      <c r="G208" s="6"/>
      <c r="H208" s="6"/>
    </row>
    <row r="209" spans="2:8" x14ac:dyDescent="0.3">
      <c r="B209" s="6"/>
      <c r="C209" s="6"/>
      <c r="D209" s="6"/>
      <c r="E209" s="233"/>
      <c r="F209" s="6"/>
      <c r="G209" s="6"/>
      <c r="H209" s="6"/>
    </row>
    <row r="210" spans="2:8" x14ac:dyDescent="0.3">
      <c r="B210" s="6"/>
      <c r="C210" s="6"/>
      <c r="D210" s="6"/>
      <c r="E210" s="233"/>
      <c r="F210" s="6"/>
      <c r="G210" s="6"/>
      <c r="H210" s="6"/>
    </row>
    <row r="211" spans="2:8" x14ac:dyDescent="0.3">
      <c r="B211" s="6"/>
      <c r="C211" s="6"/>
      <c r="D211" s="6"/>
      <c r="E211" s="233"/>
      <c r="F211" s="6"/>
      <c r="G211" s="6"/>
      <c r="H211" s="6"/>
    </row>
    <row r="212" spans="2:8" x14ac:dyDescent="0.3">
      <c r="B212" s="6"/>
      <c r="C212" s="6"/>
      <c r="D212" s="6"/>
      <c r="E212" s="233"/>
      <c r="F212" s="6"/>
      <c r="G212" s="6"/>
      <c r="H212" s="6"/>
    </row>
    <row r="213" spans="2:8" x14ac:dyDescent="0.3">
      <c r="B213" s="6"/>
      <c r="C213" s="6"/>
      <c r="D213" s="6"/>
      <c r="E213" s="233"/>
      <c r="F213" s="6"/>
      <c r="G213" s="6"/>
      <c r="H213" s="6"/>
    </row>
    <row r="214" spans="2:8" x14ac:dyDescent="0.3">
      <c r="B214" s="6"/>
      <c r="C214" s="6"/>
      <c r="D214" s="6"/>
      <c r="E214" s="233"/>
      <c r="F214" s="6"/>
      <c r="G214" s="6"/>
      <c r="H214" s="6"/>
    </row>
    <row r="215" spans="2:8" x14ac:dyDescent="0.3">
      <c r="B215" s="6"/>
      <c r="C215" s="6"/>
      <c r="D215" s="6"/>
      <c r="E215" s="233"/>
      <c r="F215" s="6"/>
      <c r="G215" s="6"/>
      <c r="H215" s="6"/>
    </row>
    <row r="216" spans="2:8" x14ac:dyDescent="0.3">
      <c r="B216" s="6"/>
      <c r="C216" s="6"/>
      <c r="D216" s="6"/>
      <c r="E216" s="233"/>
      <c r="F216" s="6"/>
      <c r="G216" s="6"/>
      <c r="H216" s="6"/>
    </row>
    <row r="217" spans="2:8" x14ac:dyDescent="0.3">
      <c r="B217" s="6"/>
      <c r="C217" s="6"/>
      <c r="D217" s="6"/>
      <c r="E217" s="233"/>
      <c r="F217" s="6"/>
      <c r="G217" s="6"/>
      <c r="H217" s="6"/>
    </row>
    <row r="218" spans="2:8" x14ac:dyDescent="0.3">
      <c r="B218" s="6"/>
      <c r="C218" s="6"/>
      <c r="D218" s="6"/>
      <c r="E218" s="233"/>
      <c r="F218" s="6"/>
      <c r="G218" s="6"/>
      <c r="H218" s="6"/>
    </row>
    <row r="219" spans="2:8" x14ac:dyDescent="0.3">
      <c r="B219" s="6"/>
      <c r="C219" s="6"/>
      <c r="D219" s="6"/>
      <c r="E219" s="233"/>
      <c r="F219" s="6"/>
      <c r="G219" s="6"/>
      <c r="H219" s="6"/>
    </row>
    <row r="220" spans="2:8" x14ac:dyDescent="0.3">
      <c r="B220" s="6"/>
      <c r="C220" s="6"/>
      <c r="D220" s="6"/>
      <c r="E220" s="233"/>
      <c r="F220" s="6"/>
      <c r="G220" s="6"/>
      <c r="H220" s="6"/>
    </row>
    <row r="221" spans="2:8" x14ac:dyDescent="0.3">
      <c r="B221" s="6"/>
      <c r="C221" s="6"/>
      <c r="D221" s="6"/>
      <c r="E221" s="233"/>
      <c r="F221" s="6"/>
      <c r="G221" s="6"/>
      <c r="H221" s="6"/>
    </row>
    <row r="222" spans="2:8" x14ac:dyDescent="0.3">
      <c r="B222" s="6"/>
      <c r="C222" s="6"/>
      <c r="D222" s="6"/>
      <c r="E222" s="233"/>
      <c r="F222" s="6"/>
      <c r="G222" s="6"/>
      <c r="H222" s="6"/>
    </row>
    <row r="223" spans="2:8" x14ac:dyDescent="0.3">
      <c r="B223" s="6"/>
      <c r="C223" s="6"/>
      <c r="D223" s="6"/>
      <c r="E223" s="233"/>
      <c r="F223" s="6"/>
      <c r="G223" s="6"/>
      <c r="H223" s="6"/>
    </row>
    <row r="224" spans="2:8" x14ac:dyDescent="0.3">
      <c r="B224" s="6"/>
      <c r="C224" s="6"/>
      <c r="D224" s="6"/>
      <c r="E224" s="233"/>
      <c r="F224" s="6"/>
      <c r="G224" s="6"/>
      <c r="H224" s="6"/>
    </row>
    <row r="225" spans="2:8" x14ac:dyDescent="0.3">
      <c r="B225" s="6"/>
      <c r="C225" s="6"/>
      <c r="D225" s="6"/>
      <c r="E225" s="233"/>
      <c r="F225" s="6"/>
      <c r="G225" s="6"/>
      <c r="H225" s="6"/>
    </row>
    <row r="226" spans="2:8" x14ac:dyDescent="0.3">
      <c r="B226" s="6"/>
      <c r="C226" s="6"/>
      <c r="D226" s="6"/>
      <c r="E226" s="233"/>
      <c r="F226" s="6"/>
      <c r="G226" s="6"/>
      <c r="H226" s="6"/>
    </row>
    <row r="227" spans="2:8" x14ac:dyDescent="0.3">
      <c r="B227" s="6"/>
      <c r="C227" s="6"/>
      <c r="D227" s="6"/>
      <c r="E227" s="233"/>
      <c r="F227" s="6"/>
      <c r="G227" s="6"/>
      <c r="H227" s="6"/>
    </row>
    <row r="228" spans="2:8" x14ac:dyDescent="0.3">
      <c r="B228" s="6"/>
      <c r="C228" s="6"/>
      <c r="D228" s="6"/>
      <c r="E228" s="233"/>
      <c r="F228" s="6"/>
      <c r="G228" s="6"/>
      <c r="H228" s="6"/>
    </row>
    <row r="229" spans="2:8" x14ac:dyDescent="0.3">
      <c r="B229" s="6"/>
      <c r="C229" s="6"/>
      <c r="D229" s="6"/>
      <c r="E229" s="233"/>
      <c r="F229" s="6"/>
      <c r="G229" s="6"/>
      <c r="H229" s="6"/>
    </row>
    <row r="230" spans="2:8" x14ac:dyDescent="0.3">
      <c r="B230" s="6"/>
      <c r="C230" s="6"/>
      <c r="D230" s="6"/>
      <c r="E230" s="233"/>
      <c r="F230" s="6"/>
      <c r="G230" s="6"/>
      <c r="H230" s="6"/>
    </row>
    <row r="231" spans="2:8" x14ac:dyDescent="0.3">
      <c r="B231" s="6"/>
      <c r="C231" s="6"/>
      <c r="D231" s="6"/>
      <c r="E231" s="233"/>
      <c r="F231" s="6"/>
      <c r="G231" s="6"/>
      <c r="H231" s="6"/>
    </row>
    <row r="232" spans="2:8" x14ac:dyDescent="0.3">
      <c r="B232" s="6"/>
      <c r="C232" s="6"/>
      <c r="D232" s="6"/>
      <c r="E232" s="233"/>
      <c r="F232" s="6"/>
      <c r="G232" s="6"/>
      <c r="H232" s="6"/>
    </row>
    <row r="233" spans="2:8" x14ac:dyDescent="0.3">
      <c r="B233" s="6"/>
      <c r="C233" s="6"/>
      <c r="D233" s="6"/>
      <c r="E233" s="233"/>
      <c r="F233" s="6"/>
      <c r="G233" s="6"/>
      <c r="H233" s="6"/>
    </row>
    <row r="234" spans="2:8" x14ac:dyDescent="0.3">
      <c r="B234" s="6"/>
      <c r="C234" s="6"/>
      <c r="D234" s="6"/>
      <c r="E234" s="233"/>
      <c r="F234" s="6"/>
      <c r="G234" s="6"/>
      <c r="H234" s="6"/>
    </row>
    <row r="235" spans="2:8" x14ac:dyDescent="0.3">
      <c r="B235" s="6"/>
      <c r="C235" s="6"/>
      <c r="D235" s="6"/>
      <c r="E235" s="233"/>
      <c r="F235" s="6"/>
      <c r="G235" s="6"/>
      <c r="H235" s="6"/>
    </row>
    <row r="236" spans="2:8" x14ac:dyDescent="0.3">
      <c r="B236" s="6"/>
      <c r="C236" s="6"/>
      <c r="D236" s="6"/>
      <c r="E236" s="233"/>
      <c r="F236" s="6"/>
      <c r="G236" s="6"/>
      <c r="H236" s="6"/>
    </row>
    <row r="237" spans="2:8" x14ac:dyDescent="0.3">
      <c r="B237" s="6"/>
      <c r="C237" s="6"/>
      <c r="D237" s="6"/>
      <c r="E237" s="233"/>
      <c r="F237" s="6"/>
      <c r="G237" s="6"/>
      <c r="H237" s="6"/>
    </row>
    <row r="238" spans="2:8" x14ac:dyDescent="0.3">
      <c r="B238" s="6"/>
      <c r="C238" s="6"/>
      <c r="D238" s="6"/>
      <c r="E238" s="233"/>
      <c r="F238" s="6"/>
      <c r="G238" s="6"/>
      <c r="H238" s="6"/>
    </row>
    <row r="239" spans="2:8" x14ac:dyDescent="0.3">
      <c r="B239" s="6"/>
      <c r="C239" s="6"/>
      <c r="D239" s="6"/>
      <c r="E239" s="233"/>
      <c r="F239" s="6"/>
      <c r="G239" s="6"/>
      <c r="H239" s="6"/>
    </row>
    <row r="240" spans="2:8" x14ac:dyDescent="0.3">
      <c r="B240" s="6"/>
      <c r="C240" s="6"/>
      <c r="D240" s="6"/>
      <c r="E240" s="233"/>
      <c r="F240" s="6"/>
      <c r="G240" s="6"/>
      <c r="H240" s="6"/>
    </row>
    <row r="241" spans="2:8" x14ac:dyDescent="0.3">
      <c r="B241" s="6"/>
      <c r="C241" s="6"/>
      <c r="D241" s="6"/>
      <c r="E241" s="233"/>
      <c r="F241" s="6"/>
      <c r="G241" s="6"/>
      <c r="H241" s="6"/>
    </row>
    <row r="242" spans="2:8" x14ac:dyDescent="0.3">
      <c r="B242" s="6"/>
      <c r="C242" s="6"/>
      <c r="D242" s="6"/>
      <c r="E242" s="233"/>
      <c r="F242" s="6"/>
      <c r="G242" s="6"/>
      <c r="H242" s="6"/>
    </row>
    <row r="243" spans="2:8" x14ac:dyDescent="0.3">
      <c r="B243" s="6"/>
      <c r="C243" s="6"/>
      <c r="D243" s="6"/>
      <c r="E243" s="233"/>
      <c r="F243" s="6"/>
      <c r="G243" s="6"/>
      <c r="H243" s="6"/>
    </row>
    <row r="244" spans="2:8" x14ac:dyDescent="0.3">
      <c r="B244" s="6"/>
      <c r="C244" s="6"/>
      <c r="D244" s="6"/>
      <c r="E244" s="233"/>
      <c r="F244" s="6"/>
      <c r="G244" s="6"/>
      <c r="H244" s="6"/>
    </row>
    <row r="245" spans="2:8" x14ac:dyDescent="0.3">
      <c r="B245" s="6"/>
      <c r="C245" s="6"/>
      <c r="D245" s="6"/>
      <c r="E245" s="233"/>
      <c r="F245" s="6"/>
      <c r="G245" s="6"/>
      <c r="H245" s="6"/>
    </row>
    <row r="246" spans="2:8" x14ac:dyDescent="0.3">
      <c r="B246" s="6"/>
      <c r="C246" s="6"/>
      <c r="D246" s="6"/>
      <c r="E246" s="233"/>
      <c r="F246" s="6"/>
      <c r="G246" s="6"/>
      <c r="H246" s="6"/>
    </row>
    <row r="247" spans="2:8" x14ac:dyDescent="0.3">
      <c r="B247" s="6"/>
      <c r="C247" s="6"/>
      <c r="D247" s="6"/>
      <c r="E247" s="233"/>
      <c r="F247" s="6"/>
      <c r="G247" s="6"/>
      <c r="H247" s="6"/>
    </row>
    <row r="248" spans="2:8" x14ac:dyDescent="0.3">
      <c r="B248" s="6"/>
      <c r="C248" s="6"/>
      <c r="D248" s="6"/>
      <c r="E248" s="233"/>
      <c r="F248" s="6"/>
      <c r="G248" s="6"/>
      <c r="H248" s="6"/>
    </row>
    <row r="249" spans="2:8" x14ac:dyDescent="0.3">
      <c r="B249" s="6"/>
      <c r="C249" s="6"/>
      <c r="D249" s="6"/>
      <c r="E249" s="233"/>
      <c r="F249" s="6"/>
      <c r="G249" s="6"/>
      <c r="H249" s="6"/>
    </row>
    <row r="250" spans="2:8" x14ac:dyDescent="0.3">
      <c r="B250" s="6"/>
      <c r="C250" s="6"/>
      <c r="D250" s="6"/>
      <c r="E250" s="233"/>
      <c r="F250" s="6"/>
      <c r="G250" s="6"/>
      <c r="H250" s="6"/>
    </row>
    <row r="251" spans="2:8" x14ac:dyDescent="0.3">
      <c r="B251" s="6"/>
      <c r="C251" s="6"/>
      <c r="D251" s="6"/>
      <c r="E251" s="233"/>
      <c r="F251" s="6"/>
      <c r="G251" s="6"/>
      <c r="H251" s="6"/>
    </row>
    <row r="252" spans="2:8" x14ac:dyDescent="0.3">
      <c r="B252" s="6"/>
      <c r="C252" s="6"/>
      <c r="D252" s="6"/>
      <c r="E252" s="233"/>
      <c r="F252" s="6"/>
      <c r="G252" s="6"/>
      <c r="H252" s="6"/>
    </row>
    <row r="253" spans="2:8" x14ac:dyDescent="0.3">
      <c r="B253" s="6"/>
      <c r="C253" s="6"/>
      <c r="D253" s="6"/>
      <c r="E253" s="233"/>
      <c r="F253" s="6"/>
      <c r="G253" s="6"/>
      <c r="H253" s="6"/>
    </row>
    <row r="254" spans="2:8" x14ac:dyDescent="0.3">
      <c r="B254" s="6"/>
      <c r="C254" s="6"/>
      <c r="D254" s="6"/>
      <c r="E254" s="233"/>
      <c r="F254" s="6"/>
      <c r="G254" s="6"/>
      <c r="H254" s="6"/>
    </row>
    <row r="255" spans="2:8" x14ac:dyDescent="0.3">
      <c r="B255" s="6"/>
      <c r="C255" s="6"/>
      <c r="D255" s="6"/>
      <c r="E255" s="233"/>
      <c r="F255" s="6"/>
      <c r="G255" s="6"/>
      <c r="H255" s="6"/>
    </row>
    <row r="256" spans="2:8" x14ac:dyDescent="0.3">
      <c r="B256" s="6"/>
      <c r="C256" s="6"/>
      <c r="D256" s="6"/>
      <c r="E256" s="233"/>
      <c r="F256" s="6"/>
      <c r="G256" s="6"/>
      <c r="H256" s="6"/>
    </row>
    <row r="257" spans="2:8" x14ac:dyDescent="0.3">
      <c r="B257" s="6"/>
      <c r="C257" s="6"/>
      <c r="D257" s="6"/>
      <c r="E257" s="233"/>
      <c r="F257" s="6"/>
      <c r="G257" s="6"/>
      <c r="H257" s="6"/>
    </row>
    <row r="258" spans="2:8" x14ac:dyDescent="0.3">
      <c r="B258" s="6"/>
      <c r="C258" s="6"/>
      <c r="D258" s="6"/>
      <c r="E258" s="233"/>
      <c r="F258" s="6"/>
      <c r="G258" s="6"/>
      <c r="H258" s="6"/>
    </row>
    <row r="259" spans="2:8" x14ac:dyDescent="0.3">
      <c r="B259" s="6"/>
      <c r="C259" s="6"/>
      <c r="D259" s="6"/>
      <c r="E259" s="233"/>
      <c r="F259" s="6"/>
      <c r="G259" s="6"/>
      <c r="H259" s="6"/>
    </row>
    <row r="260" spans="2:8" x14ac:dyDescent="0.3">
      <c r="B260" s="6"/>
      <c r="C260" s="6"/>
      <c r="D260" s="6"/>
      <c r="E260" s="233"/>
      <c r="F260" s="6"/>
      <c r="G260" s="6"/>
      <c r="H260" s="6"/>
    </row>
    <row r="261" spans="2:8" x14ac:dyDescent="0.3">
      <c r="B261" s="6"/>
      <c r="C261" s="6"/>
      <c r="D261" s="6"/>
      <c r="E261" s="233"/>
      <c r="F261" s="6"/>
      <c r="G261" s="6"/>
      <c r="H261" s="6"/>
    </row>
    <row r="262" spans="2:8" x14ac:dyDescent="0.3">
      <c r="B262" s="6"/>
      <c r="C262" s="6"/>
      <c r="D262" s="6"/>
      <c r="E262" s="233"/>
      <c r="F262" s="6"/>
      <c r="G262" s="6"/>
      <c r="H262" s="6"/>
    </row>
    <row r="263" spans="2:8" x14ac:dyDescent="0.3">
      <c r="B263" s="6"/>
      <c r="C263" s="6"/>
      <c r="D263" s="6"/>
      <c r="E263" s="233"/>
      <c r="F263" s="6"/>
      <c r="G263" s="6"/>
      <c r="H263" s="6"/>
    </row>
    <row r="264" spans="2:8" x14ac:dyDescent="0.3">
      <c r="B264" s="6"/>
      <c r="C264" s="6"/>
      <c r="D264" s="6"/>
      <c r="E264" s="233"/>
      <c r="F264" s="6"/>
      <c r="G264" s="6"/>
      <c r="H264" s="6"/>
    </row>
    <row r="265" spans="2:8" x14ac:dyDescent="0.3">
      <c r="B265" s="6"/>
      <c r="C265" s="6"/>
      <c r="D265" s="6"/>
      <c r="E265" s="233"/>
      <c r="F265" s="6"/>
      <c r="G265" s="6"/>
      <c r="H265" s="6"/>
    </row>
    <row r="266" spans="2:8" x14ac:dyDescent="0.3">
      <c r="B266" s="6"/>
      <c r="C266" s="6"/>
      <c r="D266" s="6"/>
      <c r="E266" s="233"/>
      <c r="F266" s="6"/>
      <c r="G266" s="6"/>
      <c r="H266" s="6"/>
    </row>
    <row r="267" spans="2:8" x14ac:dyDescent="0.3">
      <c r="B267" s="6"/>
      <c r="C267" s="6"/>
      <c r="D267" s="6"/>
      <c r="E267" s="233"/>
      <c r="F267" s="6"/>
      <c r="G267" s="6"/>
      <c r="H267" s="6"/>
    </row>
    <row r="268" spans="2:8" x14ac:dyDescent="0.3">
      <c r="B268" s="6"/>
      <c r="C268" s="6"/>
      <c r="D268" s="6"/>
      <c r="E268" s="233"/>
      <c r="F268" s="6"/>
      <c r="G268" s="6"/>
      <c r="H268" s="6"/>
    </row>
    <row r="269" spans="2:8" x14ac:dyDescent="0.3">
      <c r="B269" s="6"/>
      <c r="C269" s="6"/>
      <c r="D269" s="6"/>
      <c r="E269" s="233"/>
      <c r="F269" s="6"/>
      <c r="G269" s="6"/>
      <c r="H269" s="6"/>
    </row>
    <row r="270" spans="2:8" x14ac:dyDescent="0.3">
      <c r="B270" s="6"/>
      <c r="C270" s="6"/>
      <c r="D270" s="6"/>
      <c r="E270" s="233"/>
      <c r="F270" s="6"/>
      <c r="G270" s="6"/>
      <c r="H270" s="6"/>
    </row>
    <row r="271" spans="2:8" x14ac:dyDescent="0.3">
      <c r="B271" s="6"/>
      <c r="C271" s="6"/>
      <c r="D271" s="6"/>
      <c r="E271" s="233"/>
      <c r="F271" s="6"/>
      <c r="G271" s="6"/>
      <c r="H271" s="6"/>
    </row>
    <row r="272" spans="2:8" x14ac:dyDescent="0.3">
      <c r="B272" s="6"/>
      <c r="C272" s="6"/>
      <c r="D272" s="6"/>
      <c r="E272" s="233"/>
      <c r="F272" s="6"/>
      <c r="G272" s="6"/>
      <c r="H272" s="6"/>
    </row>
    <row r="273" spans="2:8" x14ac:dyDescent="0.3">
      <c r="B273" s="6"/>
      <c r="C273" s="6"/>
      <c r="D273" s="6"/>
      <c r="E273" s="233"/>
      <c r="F273" s="6"/>
      <c r="G273" s="6"/>
      <c r="H273" s="6"/>
    </row>
    <row r="274" spans="2:8" x14ac:dyDescent="0.3">
      <c r="B274" s="6"/>
      <c r="C274" s="6"/>
      <c r="D274" s="6"/>
      <c r="E274" s="233"/>
      <c r="F274" s="6"/>
      <c r="G274" s="6"/>
      <c r="H274" s="6"/>
    </row>
    <row r="275" spans="2:8" x14ac:dyDescent="0.3">
      <c r="B275" s="6"/>
      <c r="C275" s="6"/>
      <c r="D275" s="6"/>
      <c r="E275" s="233"/>
      <c r="F275" s="6"/>
      <c r="G275" s="6"/>
      <c r="H275" s="6"/>
    </row>
    <row r="276" spans="2:8" x14ac:dyDescent="0.3">
      <c r="B276" s="6"/>
      <c r="C276" s="6"/>
      <c r="D276" s="6"/>
      <c r="E276" s="233"/>
      <c r="F276" s="6"/>
      <c r="G276" s="6"/>
      <c r="H276" s="6"/>
    </row>
    <row r="277" spans="2:8" x14ac:dyDescent="0.3">
      <c r="B277" s="6"/>
      <c r="C277" s="6"/>
      <c r="D277" s="6"/>
      <c r="E277" s="233"/>
      <c r="F277" s="6"/>
      <c r="G277" s="6"/>
      <c r="H277" s="6"/>
    </row>
    <row r="278" spans="2:8" x14ac:dyDescent="0.3">
      <c r="B278" s="6"/>
      <c r="C278" s="6"/>
      <c r="D278" s="6"/>
      <c r="E278" s="233"/>
      <c r="F278" s="6"/>
      <c r="G278" s="6"/>
      <c r="H278" s="6"/>
    </row>
    <row r="279" spans="2:8" x14ac:dyDescent="0.3">
      <c r="B279" s="6"/>
      <c r="C279" s="6"/>
      <c r="D279" s="6"/>
      <c r="E279" s="233"/>
      <c r="F279" s="6"/>
      <c r="G279" s="6"/>
      <c r="H279" s="6"/>
    </row>
    <row r="280" spans="2:8" x14ac:dyDescent="0.3">
      <c r="B280" s="6"/>
      <c r="C280" s="6"/>
      <c r="D280" s="6"/>
      <c r="E280" s="233"/>
      <c r="F280" s="6"/>
      <c r="G280" s="6"/>
      <c r="H280" s="6"/>
    </row>
    <row r="281" spans="2:8" x14ac:dyDescent="0.3">
      <c r="B281" s="6"/>
      <c r="C281" s="6"/>
      <c r="D281" s="6"/>
      <c r="E281" s="233"/>
      <c r="F281" s="6"/>
      <c r="G281" s="6"/>
      <c r="H281" s="6"/>
    </row>
    <row r="282" spans="2:8" x14ac:dyDescent="0.3">
      <c r="B282" s="6"/>
      <c r="C282" s="6"/>
      <c r="D282" s="6"/>
      <c r="E282" s="233"/>
      <c r="F282" s="6"/>
      <c r="G282" s="6"/>
      <c r="H282" s="6"/>
    </row>
    <row r="283" spans="2:8" x14ac:dyDescent="0.3">
      <c r="B283" s="6"/>
      <c r="C283" s="6"/>
      <c r="D283" s="6"/>
      <c r="E283" s="233"/>
      <c r="F283" s="6"/>
      <c r="G283" s="6"/>
      <c r="H283" s="6"/>
    </row>
    <row r="284" spans="2:8" x14ac:dyDescent="0.3">
      <c r="B284" s="6"/>
      <c r="C284" s="6"/>
      <c r="D284" s="6"/>
      <c r="E284" s="233"/>
      <c r="F284" s="6"/>
      <c r="G284" s="6"/>
      <c r="H284" s="6"/>
    </row>
    <row r="285" spans="2:8" x14ac:dyDescent="0.3">
      <c r="B285" s="6"/>
      <c r="C285" s="6"/>
      <c r="D285" s="6"/>
      <c r="E285" s="233"/>
      <c r="F285" s="6"/>
      <c r="G285" s="6"/>
      <c r="H285" s="6"/>
    </row>
    <row r="286" spans="2:8" x14ac:dyDescent="0.3">
      <c r="B286" s="6"/>
      <c r="C286" s="6"/>
      <c r="D286" s="6"/>
      <c r="E286" s="233"/>
      <c r="F286" s="6"/>
      <c r="G286" s="6"/>
      <c r="H286" s="6"/>
    </row>
    <row r="287" spans="2:8" x14ac:dyDescent="0.3">
      <c r="B287" s="6"/>
      <c r="C287" s="6"/>
      <c r="D287" s="6"/>
      <c r="E287" s="233"/>
      <c r="F287" s="6"/>
      <c r="G287" s="6"/>
      <c r="H287" s="6"/>
    </row>
    <row r="288" spans="2:8" x14ac:dyDescent="0.3">
      <c r="B288" s="6"/>
      <c r="C288" s="6"/>
      <c r="D288" s="6"/>
      <c r="E288" s="233"/>
      <c r="F288" s="6"/>
      <c r="G288" s="6"/>
      <c r="H288" s="6"/>
    </row>
    <row r="289" spans="2:8" x14ac:dyDescent="0.3">
      <c r="B289" s="6"/>
      <c r="C289" s="6"/>
      <c r="D289" s="6"/>
      <c r="E289" s="233"/>
      <c r="F289" s="6"/>
      <c r="G289" s="6"/>
      <c r="H289" s="6"/>
    </row>
    <row r="290" spans="2:8" x14ac:dyDescent="0.3">
      <c r="B290" s="6"/>
      <c r="C290" s="6"/>
      <c r="D290" s="6"/>
      <c r="E290" s="233"/>
      <c r="F290" s="6"/>
      <c r="G290" s="6"/>
      <c r="H290" s="6"/>
    </row>
    <row r="291" spans="2:8" x14ac:dyDescent="0.3">
      <c r="B291" s="6"/>
      <c r="C291" s="6"/>
      <c r="D291" s="6"/>
      <c r="E291" s="233"/>
      <c r="F291" s="6"/>
      <c r="G291" s="6"/>
      <c r="H291" s="6"/>
    </row>
    <row r="292" spans="2:8" x14ac:dyDescent="0.3">
      <c r="B292" s="6"/>
      <c r="C292" s="6"/>
      <c r="D292" s="6"/>
      <c r="E292" s="233"/>
      <c r="F292" s="6"/>
      <c r="G292" s="6"/>
      <c r="H292" s="6"/>
    </row>
    <row r="293" spans="2:8" x14ac:dyDescent="0.3">
      <c r="B293" s="6"/>
      <c r="C293" s="6"/>
      <c r="D293" s="6"/>
      <c r="E293" s="233"/>
      <c r="F293" s="6"/>
      <c r="G293" s="6"/>
      <c r="H293" s="6"/>
    </row>
    <row r="294" spans="2:8" x14ac:dyDescent="0.3">
      <c r="B294" s="6"/>
      <c r="C294" s="6"/>
      <c r="D294" s="6"/>
      <c r="E294" s="233"/>
      <c r="F294" s="6"/>
      <c r="G294" s="6"/>
      <c r="H294" s="6"/>
    </row>
    <row r="295" spans="2:8" x14ac:dyDescent="0.3">
      <c r="B295" s="6"/>
      <c r="C295" s="6"/>
      <c r="D295" s="6"/>
      <c r="E295" s="233"/>
      <c r="F295" s="6"/>
      <c r="G295" s="6"/>
      <c r="H295" s="6"/>
    </row>
    <row r="296" spans="2:8" x14ac:dyDescent="0.3">
      <c r="B296" s="6"/>
      <c r="C296" s="6"/>
      <c r="D296" s="6"/>
      <c r="E296" s="233"/>
      <c r="F296" s="6"/>
      <c r="G296" s="6"/>
      <c r="H296" s="6"/>
    </row>
    <row r="297" spans="2:8" x14ac:dyDescent="0.3">
      <c r="B297" s="6"/>
      <c r="C297" s="6"/>
      <c r="D297" s="6"/>
      <c r="E297" s="233"/>
      <c r="F297" s="6"/>
      <c r="G297" s="6"/>
      <c r="H297" s="6"/>
    </row>
    <row r="298" spans="2:8" x14ac:dyDescent="0.3">
      <c r="B298" s="6"/>
      <c r="C298" s="6"/>
      <c r="D298" s="6"/>
      <c r="E298" s="233"/>
      <c r="F298" s="6"/>
      <c r="G298" s="6"/>
      <c r="H298" s="6"/>
    </row>
    <row r="299" spans="2:8" x14ac:dyDescent="0.3">
      <c r="B299" s="6"/>
      <c r="C299" s="6"/>
      <c r="D299" s="6"/>
      <c r="E299" s="233"/>
      <c r="F299" s="6"/>
      <c r="G299" s="6"/>
      <c r="H299" s="6"/>
    </row>
    <row r="300" spans="2:8" x14ac:dyDescent="0.3">
      <c r="B300" s="6"/>
      <c r="C300" s="6"/>
      <c r="D300" s="6"/>
      <c r="E300" s="233"/>
      <c r="F300" s="6"/>
      <c r="G300" s="6"/>
      <c r="H300" s="6"/>
    </row>
    <row r="301" spans="2:8" x14ac:dyDescent="0.3">
      <c r="B301" s="6"/>
      <c r="C301" s="6"/>
      <c r="D301" s="6"/>
      <c r="E301" s="233"/>
      <c r="F301" s="6"/>
      <c r="G301" s="6"/>
      <c r="H301" s="6"/>
    </row>
    <row r="302" spans="2:8" x14ac:dyDescent="0.3">
      <c r="B302" s="6"/>
      <c r="C302" s="6"/>
      <c r="D302" s="6"/>
      <c r="E302" s="233"/>
      <c r="F302" s="6"/>
      <c r="G302" s="6"/>
      <c r="H302" s="6"/>
    </row>
    <row r="303" spans="2:8" x14ac:dyDescent="0.3">
      <c r="B303" s="6"/>
      <c r="C303" s="6"/>
      <c r="D303" s="6"/>
      <c r="E303" s="233"/>
      <c r="F303" s="6"/>
      <c r="G303" s="6"/>
      <c r="H303" s="6"/>
    </row>
    <row r="304" spans="2:8" x14ac:dyDescent="0.3">
      <c r="B304" s="6"/>
      <c r="C304" s="6"/>
      <c r="D304" s="6"/>
      <c r="E304" s="233"/>
      <c r="F304" s="6"/>
      <c r="G304" s="6"/>
      <c r="H304" s="6"/>
    </row>
    <row r="305" spans="2:8" x14ac:dyDescent="0.3">
      <c r="B305" s="6"/>
      <c r="C305" s="6"/>
      <c r="D305" s="6"/>
      <c r="E305" s="233"/>
      <c r="F305" s="6"/>
      <c r="G305" s="6"/>
      <c r="H305" s="6"/>
    </row>
    <row r="306" spans="2:8" x14ac:dyDescent="0.3">
      <c r="B306" s="6"/>
      <c r="C306" s="6"/>
      <c r="D306" s="6"/>
      <c r="E306" s="233"/>
      <c r="F306" s="6"/>
      <c r="G306" s="6"/>
      <c r="H306" s="6"/>
    </row>
    <row r="307" spans="2:8" x14ac:dyDescent="0.3">
      <c r="B307" s="6"/>
      <c r="C307" s="6"/>
      <c r="D307" s="6"/>
      <c r="E307" s="233"/>
      <c r="F307" s="6"/>
      <c r="G307" s="6"/>
      <c r="H307" s="6"/>
    </row>
    <row r="308" spans="2:8" x14ac:dyDescent="0.3">
      <c r="B308" s="6"/>
      <c r="C308" s="6"/>
      <c r="D308" s="6"/>
      <c r="E308" s="233"/>
      <c r="F308" s="6"/>
      <c r="G308" s="6"/>
      <c r="H308" s="6"/>
    </row>
    <row r="309" spans="2:8" x14ac:dyDescent="0.3">
      <c r="B309" s="6"/>
      <c r="C309" s="6"/>
      <c r="D309" s="6"/>
      <c r="E309" s="233"/>
      <c r="F309" s="6"/>
      <c r="G309" s="6"/>
      <c r="H309" s="6"/>
    </row>
    <row r="310" spans="2:8" x14ac:dyDescent="0.3">
      <c r="B310" s="6"/>
      <c r="C310" s="6"/>
      <c r="D310" s="6"/>
      <c r="E310" s="233"/>
      <c r="F310" s="6"/>
      <c r="G310" s="6"/>
      <c r="H310" s="6"/>
    </row>
    <row r="311" spans="2:8" x14ac:dyDescent="0.3">
      <c r="B311" s="6"/>
      <c r="C311" s="6"/>
      <c r="D311" s="6"/>
      <c r="E311" s="233"/>
      <c r="F311" s="6"/>
      <c r="G311" s="6"/>
      <c r="H311" s="6"/>
    </row>
    <row r="312" spans="2:8" x14ac:dyDescent="0.3">
      <c r="B312" s="6"/>
      <c r="C312" s="6"/>
      <c r="D312" s="6"/>
      <c r="E312" s="233"/>
      <c r="F312" s="6"/>
      <c r="G312" s="6"/>
      <c r="H312" s="6"/>
    </row>
    <row r="313" spans="2:8" x14ac:dyDescent="0.3">
      <c r="B313" s="6"/>
      <c r="C313" s="6"/>
      <c r="D313" s="6"/>
      <c r="E313" s="233"/>
      <c r="F313" s="6"/>
      <c r="G313" s="6"/>
      <c r="H313" s="6"/>
    </row>
    <row r="314" spans="2:8" x14ac:dyDescent="0.3">
      <c r="B314" s="6"/>
      <c r="C314" s="6"/>
      <c r="D314" s="6"/>
      <c r="E314" s="233"/>
      <c r="F314" s="6"/>
      <c r="G314" s="6"/>
      <c r="H314" s="6"/>
    </row>
    <row r="315" spans="2:8" x14ac:dyDescent="0.3">
      <c r="B315" s="6"/>
      <c r="C315" s="6"/>
      <c r="D315" s="6"/>
      <c r="E315" s="233"/>
      <c r="F315" s="6"/>
      <c r="G315" s="6"/>
      <c r="H315" s="6"/>
    </row>
    <row r="316" spans="2:8" x14ac:dyDescent="0.3">
      <c r="B316" s="6"/>
      <c r="C316" s="6"/>
      <c r="D316" s="6"/>
      <c r="E316" s="233"/>
      <c r="F316" s="6"/>
      <c r="G316" s="6"/>
      <c r="H316" s="6"/>
    </row>
    <row r="317" spans="2:8" x14ac:dyDescent="0.3">
      <c r="B317" s="6"/>
      <c r="C317" s="6"/>
      <c r="D317" s="6"/>
      <c r="E317" s="233"/>
      <c r="F317" s="6"/>
      <c r="G317" s="6"/>
      <c r="H317" s="6"/>
    </row>
    <row r="318" spans="2:8" x14ac:dyDescent="0.3">
      <c r="B318" s="6"/>
      <c r="C318" s="6"/>
      <c r="D318" s="6"/>
      <c r="E318" s="233"/>
      <c r="F318" s="6"/>
      <c r="G318" s="6"/>
      <c r="H318" s="6"/>
    </row>
    <row r="319" spans="2:8" x14ac:dyDescent="0.3">
      <c r="B319" s="6"/>
      <c r="C319" s="6"/>
      <c r="D319" s="6"/>
      <c r="E319" s="233"/>
      <c r="F319" s="6"/>
      <c r="G319" s="6"/>
      <c r="H319" s="6"/>
    </row>
    <row r="320" spans="2:8" x14ac:dyDescent="0.3">
      <c r="B320" s="6"/>
      <c r="C320" s="6"/>
      <c r="D320" s="6"/>
      <c r="E320" s="233"/>
      <c r="F320" s="6"/>
      <c r="G320" s="6"/>
      <c r="H320" s="6"/>
    </row>
    <row r="321" spans="2:8" x14ac:dyDescent="0.3">
      <c r="B321" s="6"/>
      <c r="C321" s="6"/>
      <c r="D321" s="6"/>
      <c r="E321" s="233"/>
      <c r="F321" s="6"/>
      <c r="G321" s="6"/>
      <c r="H321" s="6"/>
    </row>
    <row r="322" spans="2:8" x14ac:dyDescent="0.3">
      <c r="B322" s="6"/>
      <c r="C322" s="6"/>
      <c r="D322" s="6"/>
      <c r="E322" s="233"/>
      <c r="F322" s="6"/>
      <c r="G322" s="6"/>
      <c r="H322" s="6"/>
    </row>
    <row r="323" spans="2:8" x14ac:dyDescent="0.3">
      <c r="B323" s="6"/>
      <c r="C323" s="6"/>
      <c r="D323" s="6"/>
      <c r="E323" s="233"/>
      <c r="F323" s="6"/>
      <c r="G323" s="6"/>
      <c r="H323" s="6"/>
    </row>
    <row r="324" spans="2:8" x14ac:dyDescent="0.3">
      <c r="B324" s="6"/>
      <c r="C324" s="6"/>
      <c r="D324" s="6"/>
      <c r="E324" s="233"/>
      <c r="F324" s="6"/>
      <c r="G324" s="6"/>
      <c r="H324" s="6"/>
    </row>
    <row r="325" spans="2:8" x14ac:dyDescent="0.3">
      <c r="B325" s="6"/>
      <c r="C325" s="6"/>
      <c r="D325" s="6"/>
      <c r="E325" s="233"/>
      <c r="F325" s="6"/>
      <c r="G325" s="6"/>
      <c r="H325" s="6"/>
    </row>
    <row r="326" spans="2:8" x14ac:dyDescent="0.3">
      <c r="B326" s="6"/>
      <c r="C326" s="6"/>
      <c r="D326" s="6"/>
      <c r="E326" s="233"/>
      <c r="F326" s="6"/>
      <c r="G326" s="6"/>
      <c r="H326" s="6"/>
    </row>
    <row r="327" spans="2:8" x14ac:dyDescent="0.3">
      <c r="B327" s="6"/>
      <c r="C327" s="6"/>
      <c r="D327" s="6"/>
      <c r="E327" s="233"/>
      <c r="F327" s="6"/>
      <c r="G327" s="6"/>
      <c r="H327" s="6"/>
    </row>
    <row r="328" spans="2:8" x14ac:dyDescent="0.3">
      <c r="B328" s="6"/>
      <c r="C328" s="6"/>
      <c r="D328" s="6"/>
      <c r="E328" s="233"/>
      <c r="F328" s="6"/>
      <c r="G328" s="6"/>
      <c r="H328" s="6"/>
    </row>
    <row r="329" spans="2:8" x14ac:dyDescent="0.3">
      <c r="B329" s="6"/>
      <c r="C329" s="6"/>
      <c r="D329" s="6"/>
      <c r="E329" s="233"/>
      <c r="F329" s="6"/>
      <c r="G329" s="6"/>
      <c r="H329" s="6"/>
    </row>
    <row r="330" spans="2:8" x14ac:dyDescent="0.3">
      <c r="B330" s="6"/>
      <c r="C330" s="6"/>
      <c r="D330" s="6"/>
      <c r="E330" s="233"/>
      <c r="F330" s="6"/>
      <c r="G330" s="6"/>
      <c r="H330" s="6"/>
    </row>
    <row r="331" spans="2:8" x14ac:dyDescent="0.3">
      <c r="B331" s="6"/>
      <c r="C331" s="6"/>
      <c r="D331" s="6"/>
      <c r="E331" s="233"/>
      <c r="F331" s="6"/>
      <c r="G331" s="6"/>
      <c r="H331" s="6"/>
    </row>
    <row r="332" spans="2:8" x14ac:dyDescent="0.3">
      <c r="B332" s="6"/>
      <c r="C332" s="6"/>
      <c r="D332" s="6"/>
      <c r="E332" s="233"/>
      <c r="F332" s="6"/>
      <c r="G332" s="6"/>
      <c r="H332" s="6"/>
    </row>
    <row r="333" spans="2:8" x14ac:dyDescent="0.3">
      <c r="B333" s="6"/>
      <c r="C333" s="6"/>
      <c r="D333" s="6"/>
      <c r="E333" s="233"/>
      <c r="F333" s="6"/>
      <c r="G333" s="6"/>
      <c r="H333" s="6"/>
    </row>
    <row r="334" spans="2:8" x14ac:dyDescent="0.3">
      <c r="B334" s="6"/>
      <c r="C334" s="6"/>
      <c r="D334" s="6"/>
      <c r="E334" s="233"/>
      <c r="F334" s="6"/>
      <c r="G334" s="6"/>
      <c r="H334" s="6"/>
    </row>
    <row r="335" spans="2:8" x14ac:dyDescent="0.3">
      <c r="B335" s="6"/>
      <c r="C335" s="6"/>
      <c r="D335" s="6"/>
      <c r="E335" s="233"/>
      <c r="F335" s="6"/>
      <c r="G335" s="6"/>
      <c r="H335" s="6"/>
    </row>
    <row r="336" spans="2:8" x14ac:dyDescent="0.3">
      <c r="B336" s="6"/>
      <c r="C336" s="6"/>
      <c r="D336" s="6"/>
      <c r="E336" s="233"/>
      <c r="F336" s="6"/>
      <c r="G336" s="6"/>
      <c r="H336" s="6"/>
    </row>
    <row r="337" spans="2:8" x14ac:dyDescent="0.3">
      <c r="B337" s="6"/>
      <c r="C337" s="6"/>
      <c r="D337" s="6"/>
      <c r="E337" s="233"/>
      <c r="F337" s="6"/>
      <c r="G337" s="6"/>
      <c r="H337" s="6"/>
    </row>
    <row r="338" spans="2:8" x14ac:dyDescent="0.3">
      <c r="B338" s="6"/>
      <c r="C338" s="6"/>
      <c r="D338" s="6"/>
      <c r="E338" s="233"/>
      <c r="F338" s="6"/>
      <c r="G338" s="6"/>
      <c r="H338" s="6"/>
    </row>
    <row r="339" spans="2:8" x14ac:dyDescent="0.3">
      <c r="B339" s="6"/>
      <c r="C339" s="6"/>
      <c r="D339" s="6"/>
      <c r="E339" s="233"/>
      <c r="F339" s="6"/>
      <c r="G339" s="6"/>
      <c r="H339" s="6"/>
    </row>
    <row r="340" spans="2:8" x14ac:dyDescent="0.3">
      <c r="B340" s="6"/>
      <c r="C340" s="6"/>
      <c r="D340" s="6"/>
      <c r="E340" s="233"/>
      <c r="F340" s="6"/>
      <c r="G340" s="6"/>
      <c r="H340" s="6"/>
    </row>
    <row r="341" spans="2:8" x14ac:dyDescent="0.3">
      <c r="B341" s="6"/>
      <c r="C341" s="6"/>
      <c r="D341" s="6"/>
      <c r="E341" s="233"/>
      <c r="F341" s="6"/>
      <c r="G341" s="6"/>
      <c r="H341" s="6"/>
    </row>
    <row r="342" spans="2:8" x14ac:dyDescent="0.3">
      <c r="B342" s="6"/>
      <c r="C342" s="6"/>
      <c r="D342" s="6"/>
      <c r="E342" s="233"/>
      <c r="F342" s="6"/>
      <c r="G342" s="6"/>
      <c r="H342" s="6"/>
    </row>
    <row r="343" spans="2:8" x14ac:dyDescent="0.3">
      <c r="B343" s="6"/>
      <c r="C343" s="6"/>
      <c r="D343" s="6"/>
      <c r="E343" s="233"/>
      <c r="F343" s="6"/>
      <c r="G343" s="6"/>
      <c r="H343" s="6"/>
    </row>
    <row r="344" spans="2:8" x14ac:dyDescent="0.3">
      <c r="B344" s="6"/>
      <c r="C344" s="6"/>
      <c r="D344" s="6"/>
      <c r="E344" s="233"/>
      <c r="F344" s="6"/>
      <c r="G344" s="6"/>
      <c r="H344" s="6"/>
    </row>
    <row r="345" spans="2:8" x14ac:dyDescent="0.3">
      <c r="B345" s="6"/>
      <c r="C345" s="6"/>
      <c r="D345" s="6"/>
      <c r="E345" s="233"/>
      <c r="F345" s="6"/>
      <c r="G345" s="6"/>
      <c r="H345" s="6"/>
    </row>
    <row r="346" spans="2:8" x14ac:dyDescent="0.3">
      <c r="B346" s="6"/>
      <c r="C346" s="6"/>
      <c r="D346" s="6"/>
      <c r="E346" s="233"/>
      <c r="F346" s="6"/>
      <c r="G346" s="6"/>
      <c r="H346" s="6"/>
    </row>
    <row r="347" spans="2:8" x14ac:dyDescent="0.3">
      <c r="B347" s="6"/>
      <c r="C347" s="6"/>
      <c r="D347" s="6"/>
      <c r="E347" s="233"/>
      <c r="F347" s="6"/>
      <c r="G347" s="6"/>
      <c r="H347" s="6"/>
    </row>
    <row r="348" spans="2:8" x14ac:dyDescent="0.3">
      <c r="B348" s="6"/>
      <c r="C348" s="6"/>
      <c r="D348" s="6"/>
      <c r="E348" s="233"/>
      <c r="F348" s="6"/>
      <c r="G348" s="6"/>
      <c r="H348" s="6"/>
    </row>
    <row r="349" spans="2:8" x14ac:dyDescent="0.3">
      <c r="B349" s="6"/>
      <c r="C349" s="6"/>
      <c r="D349" s="6"/>
      <c r="E349" s="233"/>
      <c r="F349" s="6"/>
      <c r="G349" s="6"/>
      <c r="H349" s="6"/>
    </row>
    <row r="350" spans="2:8" x14ac:dyDescent="0.3">
      <c r="B350" s="6"/>
      <c r="C350" s="6"/>
      <c r="D350" s="6"/>
      <c r="E350" s="233"/>
      <c r="F350" s="6"/>
      <c r="G350" s="6"/>
      <c r="H350" s="6"/>
    </row>
    <row r="351" spans="2:8" x14ac:dyDescent="0.3">
      <c r="B351" s="6"/>
      <c r="C351" s="6"/>
      <c r="D351" s="6"/>
      <c r="E351" s="233"/>
      <c r="F351" s="6"/>
      <c r="G351" s="6"/>
      <c r="H351" s="6"/>
    </row>
    <row r="352" spans="2:8" x14ac:dyDescent="0.3">
      <c r="B352" s="6"/>
      <c r="C352" s="6"/>
      <c r="D352" s="6"/>
      <c r="E352" s="233"/>
      <c r="F352" s="6"/>
      <c r="G352" s="6"/>
      <c r="H352" s="6"/>
    </row>
    <row r="353" spans="2:8" x14ac:dyDescent="0.3">
      <c r="B353" s="6"/>
      <c r="C353" s="6"/>
      <c r="D353" s="6"/>
      <c r="E353" s="233"/>
      <c r="F353" s="6"/>
      <c r="G353" s="6"/>
      <c r="H353" s="6"/>
    </row>
    <row r="354" spans="2:8" x14ac:dyDescent="0.3">
      <c r="B354" s="6"/>
      <c r="C354" s="6"/>
      <c r="D354" s="6"/>
      <c r="E354" s="233"/>
      <c r="F354" s="6"/>
      <c r="G354" s="6"/>
      <c r="H354" s="6"/>
    </row>
    <row r="355" spans="2:8" x14ac:dyDescent="0.3">
      <c r="B355" s="6"/>
      <c r="C355" s="6"/>
      <c r="D355" s="6"/>
      <c r="E355" s="233"/>
      <c r="F355" s="6"/>
      <c r="G355" s="6"/>
      <c r="H355" s="6"/>
    </row>
    <row r="356" spans="2:8" x14ac:dyDescent="0.3">
      <c r="B356" s="6"/>
      <c r="C356" s="6"/>
      <c r="D356" s="6"/>
      <c r="E356" s="233"/>
      <c r="F356" s="6"/>
      <c r="G356" s="6"/>
      <c r="H356" s="6"/>
    </row>
    <row r="357" spans="2:8" x14ac:dyDescent="0.3">
      <c r="B357" s="6"/>
      <c r="C357" s="6"/>
      <c r="D357" s="6"/>
      <c r="E357" s="233"/>
      <c r="F357" s="6"/>
      <c r="G357" s="6"/>
      <c r="H357" s="6"/>
    </row>
    <row r="358" spans="2:8" x14ac:dyDescent="0.3">
      <c r="B358" s="6"/>
      <c r="C358" s="6"/>
      <c r="D358" s="6"/>
      <c r="E358" s="233"/>
      <c r="F358" s="6"/>
      <c r="G358" s="6"/>
      <c r="H358" s="6"/>
    </row>
    <row r="359" spans="2:8" x14ac:dyDescent="0.3">
      <c r="B359" s="6"/>
      <c r="C359" s="6"/>
      <c r="D359" s="6"/>
      <c r="E359" s="233"/>
      <c r="F359" s="6"/>
      <c r="G359" s="6"/>
      <c r="H359" s="6"/>
    </row>
    <row r="360" spans="2:8" x14ac:dyDescent="0.3">
      <c r="B360" s="6"/>
      <c r="C360" s="6"/>
      <c r="D360" s="6"/>
      <c r="E360" s="233"/>
      <c r="F360" s="6"/>
      <c r="G360" s="6"/>
      <c r="H360" s="6"/>
    </row>
    <row r="361" spans="2:8" x14ac:dyDescent="0.3">
      <c r="B361" s="6"/>
      <c r="C361" s="6"/>
      <c r="D361" s="6"/>
      <c r="E361" s="233"/>
      <c r="F361" s="6"/>
      <c r="G361" s="6"/>
      <c r="H361" s="6"/>
    </row>
    <row r="362" spans="2:8" x14ac:dyDescent="0.3">
      <c r="B362" s="6"/>
      <c r="C362" s="6"/>
      <c r="D362" s="6"/>
      <c r="E362" s="233"/>
      <c r="F362" s="6"/>
      <c r="G362" s="6"/>
      <c r="H362" s="6"/>
    </row>
    <row r="363" spans="2:8" x14ac:dyDescent="0.3">
      <c r="B363" s="6"/>
      <c r="C363" s="6"/>
      <c r="D363" s="6"/>
      <c r="E363" s="233"/>
      <c r="F363" s="6"/>
      <c r="G363" s="6"/>
      <c r="H363" s="6"/>
    </row>
    <row r="364" spans="2:8" x14ac:dyDescent="0.3">
      <c r="B364" s="6"/>
      <c r="C364" s="6"/>
      <c r="D364" s="6"/>
      <c r="E364" s="233"/>
      <c r="F364" s="6"/>
      <c r="G364" s="6"/>
      <c r="H364" s="6"/>
    </row>
    <row r="365" spans="2:8" x14ac:dyDescent="0.3">
      <c r="B365" s="6"/>
      <c r="C365" s="6"/>
      <c r="D365" s="6"/>
      <c r="E365" s="233"/>
      <c r="F365" s="6"/>
      <c r="G365" s="6"/>
      <c r="H365" s="6"/>
    </row>
    <row r="366" spans="2:8" x14ac:dyDescent="0.3">
      <c r="B366" s="6"/>
      <c r="C366" s="6"/>
      <c r="D366" s="6"/>
      <c r="E366" s="233"/>
      <c r="F366" s="6"/>
      <c r="G366" s="6"/>
      <c r="H366" s="6"/>
    </row>
    <row r="367" spans="2:8" x14ac:dyDescent="0.3">
      <c r="B367" s="6"/>
      <c r="C367" s="6"/>
      <c r="D367" s="6"/>
      <c r="E367" s="233"/>
      <c r="F367" s="6"/>
      <c r="G367" s="6"/>
      <c r="H367" s="6"/>
    </row>
    <row r="368" spans="2:8" x14ac:dyDescent="0.3">
      <c r="B368" s="6"/>
      <c r="C368" s="6"/>
      <c r="D368" s="6"/>
      <c r="E368" s="233"/>
      <c r="F368" s="6"/>
      <c r="G368" s="6"/>
      <c r="H368" s="6"/>
    </row>
    <row r="369" spans="2:8" x14ac:dyDescent="0.3">
      <c r="B369" s="6"/>
      <c r="C369" s="6"/>
      <c r="D369" s="6"/>
      <c r="E369" s="233"/>
      <c r="F369" s="6"/>
      <c r="G369" s="6"/>
      <c r="H369" s="6"/>
    </row>
    <row r="370" spans="2:8" x14ac:dyDescent="0.3">
      <c r="B370" s="6"/>
      <c r="C370" s="6"/>
      <c r="D370" s="6"/>
      <c r="E370" s="233"/>
      <c r="F370" s="6"/>
      <c r="G370" s="6"/>
      <c r="H370" s="6"/>
    </row>
    <row r="371" spans="2:8" x14ac:dyDescent="0.3">
      <c r="B371" s="6"/>
      <c r="C371" s="6"/>
      <c r="D371" s="6"/>
      <c r="E371" s="233"/>
      <c r="F371" s="6"/>
      <c r="G371" s="6"/>
      <c r="H371" s="6"/>
    </row>
    <row r="372" spans="2:8" x14ac:dyDescent="0.3">
      <c r="B372" s="6"/>
      <c r="C372" s="6"/>
      <c r="D372" s="6"/>
      <c r="E372" s="233"/>
      <c r="F372" s="6"/>
      <c r="G372" s="6"/>
      <c r="H372" s="6"/>
    </row>
    <row r="373" spans="2:8" x14ac:dyDescent="0.3">
      <c r="B373" s="6"/>
      <c r="C373" s="6"/>
      <c r="D373" s="6"/>
      <c r="E373" s="233"/>
      <c r="F373" s="6"/>
      <c r="G373" s="6"/>
      <c r="H373" s="6"/>
    </row>
    <row r="374" spans="2:8" x14ac:dyDescent="0.3">
      <c r="B374" s="6"/>
      <c r="C374" s="6"/>
      <c r="D374" s="6"/>
      <c r="E374" s="233"/>
      <c r="F374" s="6"/>
      <c r="G374" s="6"/>
      <c r="H374" s="6"/>
    </row>
    <row r="375" spans="2:8" x14ac:dyDescent="0.3">
      <c r="B375" s="6"/>
      <c r="C375" s="6"/>
      <c r="D375" s="6"/>
      <c r="E375" s="233"/>
      <c r="F375" s="6"/>
      <c r="G375" s="6"/>
      <c r="H375" s="6"/>
    </row>
    <row r="376" spans="2:8" x14ac:dyDescent="0.3">
      <c r="B376" s="6"/>
      <c r="C376" s="6"/>
      <c r="D376" s="6"/>
      <c r="E376" s="233"/>
      <c r="F376" s="6"/>
      <c r="G376" s="6"/>
      <c r="H376" s="6"/>
    </row>
    <row r="377" spans="2:8" x14ac:dyDescent="0.3">
      <c r="B377" s="6"/>
      <c r="C377" s="6"/>
      <c r="D377" s="6"/>
      <c r="E377" s="233"/>
      <c r="F377" s="6"/>
      <c r="G377" s="6"/>
      <c r="H377" s="6"/>
    </row>
    <row r="378" spans="2:8" x14ac:dyDescent="0.3">
      <c r="B378" s="6"/>
      <c r="C378" s="6"/>
      <c r="D378" s="6"/>
      <c r="E378" s="233"/>
      <c r="F378" s="6"/>
      <c r="G378" s="6"/>
      <c r="H378" s="6"/>
    </row>
    <row r="379" spans="2:8" x14ac:dyDescent="0.3">
      <c r="B379" s="6"/>
      <c r="C379" s="6"/>
      <c r="D379" s="6"/>
      <c r="E379" s="233"/>
      <c r="F379" s="6"/>
      <c r="G379" s="6"/>
      <c r="H379" s="6"/>
    </row>
    <row r="380" spans="2:8" x14ac:dyDescent="0.3">
      <c r="B380" s="6"/>
      <c r="C380" s="6"/>
      <c r="D380" s="6"/>
      <c r="E380" s="233"/>
      <c r="F380" s="6"/>
      <c r="G380" s="6"/>
      <c r="H380" s="6"/>
    </row>
    <row r="381" spans="2:8" x14ac:dyDescent="0.3">
      <c r="B381" s="6"/>
      <c r="C381" s="6"/>
      <c r="D381" s="6"/>
      <c r="E381" s="233"/>
      <c r="F381" s="6"/>
      <c r="G381" s="6"/>
      <c r="H381" s="6"/>
    </row>
    <row r="382" spans="2:8" x14ac:dyDescent="0.3">
      <c r="B382" s="6"/>
      <c r="C382" s="6"/>
      <c r="D382" s="6"/>
      <c r="E382" s="233"/>
      <c r="F382" s="6"/>
      <c r="G382" s="6"/>
      <c r="H382" s="6"/>
    </row>
    <row r="383" spans="2:8" x14ac:dyDescent="0.3">
      <c r="B383" s="6"/>
      <c r="C383" s="6"/>
      <c r="D383" s="6"/>
      <c r="E383" s="233"/>
      <c r="F383" s="6"/>
      <c r="G383" s="6"/>
      <c r="H383" s="6"/>
    </row>
    <row r="384" spans="2:8" x14ac:dyDescent="0.3">
      <c r="B384" s="6"/>
      <c r="C384" s="6"/>
      <c r="D384" s="6"/>
      <c r="E384" s="233"/>
      <c r="F384" s="6"/>
      <c r="G384" s="6"/>
      <c r="H384" s="6"/>
    </row>
    <row r="385" spans="2:8" x14ac:dyDescent="0.3">
      <c r="B385" s="6"/>
      <c r="C385" s="6"/>
      <c r="D385" s="6"/>
      <c r="E385" s="233"/>
      <c r="F385" s="6"/>
      <c r="G385" s="6"/>
      <c r="H385" s="6"/>
    </row>
    <row r="386" spans="2:8" x14ac:dyDescent="0.3">
      <c r="B386" s="6"/>
      <c r="C386" s="6"/>
      <c r="D386" s="6"/>
      <c r="E386" s="233"/>
      <c r="F386" s="6"/>
      <c r="G386" s="6"/>
      <c r="H386" s="6"/>
    </row>
    <row r="387" spans="2:8" x14ac:dyDescent="0.3">
      <c r="B387" s="6"/>
      <c r="C387" s="6"/>
      <c r="D387" s="6"/>
      <c r="E387" s="233"/>
      <c r="F387" s="6"/>
      <c r="G387" s="6"/>
      <c r="H387" s="6"/>
    </row>
    <row r="388" spans="2:8" x14ac:dyDescent="0.3">
      <c r="B388" s="6"/>
      <c r="C388" s="6"/>
      <c r="D388" s="6"/>
      <c r="E388" s="233"/>
      <c r="F388" s="6"/>
      <c r="G388" s="6"/>
      <c r="H388" s="6"/>
    </row>
    <row r="389" spans="2:8" x14ac:dyDescent="0.3">
      <c r="B389" s="6"/>
      <c r="C389" s="6"/>
      <c r="D389" s="6"/>
      <c r="E389" s="233"/>
      <c r="F389" s="6"/>
      <c r="G389" s="6"/>
      <c r="H389" s="6"/>
    </row>
    <row r="390" spans="2:8" x14ac:dyDescent="0.3">
      <c r="B390" s="6"/>
      <c r="C390" s="6"/>
      <c r="D390" s="6"/>
      <c r="E390" s="233"/>
      <c r="F390" s="6"/>
      <c r="G390" s="6"/>
      <c r="H390" s="6"/>
    </row>
    <row r="391" spans="2:8" x14ac:dyDescent="0.3">
      <c r="B391" s="6"/>
      <c r="C391" s="6"/>
      <c r="D391" s="6"/>
      <c r="E391" s="233"/>
      <c r="F391" s="6"/>
      <c r="G391" s="6"/>
      <c r="H391" s="6"/>
    </row>
    <row r="392" spans="2:8" x14ac:dyDescent="0.3">
      <c r="B392" s="6"/>
      <c r="C392" s="6"/>
      <c r="D392" s="6"/>
      <c r="E392" s="233"/>
      <c r="F392" s="6"/>
      <c r="G392" s="6"/>
      <c r="H392" s="6"/>
    </row>
    <row r="393" spans="2:8" x14ac:dyDescent="0.3">
      <c r="B393" s="6"/>
      <c r="C393" s="6"/>
      <c r="D393" s="6"/>
      <c r="E393" s="233"/>
      <c r="F393" s="6"/>
      <c r="G393" s="6"/>
      <c r="H393" s="6"/>
    </row>
    <row r="394" spans="2:8" x14ac:dyDescent="0.3">
      <c r="B394" s="6"/>
      <c r="C394" s="6"/>
      <c r="D394" s="6"/>
      <c r="E394" s="233"/>
      <c r="F394" s="6"/>
      <c r="G394" s="6"/>
      <c r="H394" s="6"/>
    </row>
    <row r="395" spans="2:8" x14ac:dyDescent="0.3">
      <c r="B395" s="6"/>
      <c r="C395" s="6"/>
      <c r="D395" s="6"/>
      <c r="E395" s="233"/>
      <c r="F395" s="6"/>
      <c r="G395" s="6"/>
      <c r="H395" s="6"/>
    </row>
    <row r="396" spans="2:8" x14ac:dyDescent="0.3">
      <c r="B396" s="6"/>
      <c r="C396" s="6"/>
      <c r="D396" s="6"/>
      <c r="E396" s="233"/>
      <c r="F396" s="6"/>
      <c r="G396" s="6"/>
      <c r="H396" s="6"/>
    </row>
    <row r="397" spans="2:8" x14ac:dyDescent="0.3">
      <c r="B397" s="6"/>
      <c r="C397" s="6"/>
      <c r="D397" s="6"/>
      <c r="E397" s="233"/>
      <c r="F397" s="6"/>
      <c r="G397" s="6"/>
      <c r="H397" s="6"/>
    </row>
    <row r="398" spans="2:8" x14ac:dyDescent="0.3">
      <c r="B398" s="6"/>
      <c r="C398" s="6"/>
      <c r="D398" s="6"/>
      <c r="E398" s="233"/>
      <c r="F398" s="6"/>
      <c r="G398" s="6"/>
      <c r="H398" s="6"/>
    </row>
    <row r="399" spans="2:8" x14ac:dyDescent="0.3">
      <c r="B399" s="6"/>
      <c r="C399" s="6"/>
      <c r="D399" s="6"/>
      <c r="E399" s="233"/>
      <c r="F399" s="6"/>
      <c r="G399" s="6"/>
      <c r="H399" s="6"/>
    </row>
    <row r="400" spans="2:8" x14ac:dyDescent="0.3">
      <c r="B400" s="6"/>
      <c r="C400" s="6"/>
      <c r="D400" s="6"/>
      <c r="E400" s="233"/>
      <c r="F400" s="6"/>
      <c r="G400" s="6"/>
      <c r="H400" s="6"/>
    </row>
    <row r="401" spans="2:8" x14ac:dyDescent="0.3">
      <c r="B401" s="6"/>
      <c r="C401" s="6"/>
      <c r="D401" s="6"/>
      <c r="E401" s="233"/>
      <c r="F401" s="6"/>
      <c r="G401" s="6"/>
      <c r="H401" s="6"/>
    </row>
    <row r="402" spans="2:8" x14ac:dyDescent="0.3">
      <c r="B402" s="6"/>
      <c r="C402" s="6"/>
      <c r="D402" s="6"/>
      <c r="E402" s="233"/>
      <c r="F402" s="6"/>
      <c r="G402" s="6"/>
      <c r="H402" s="6"/>
    </row>
    <row r="403" spans="2:8" x14ac:dyDescent="0.3">
      <c r="B403" s="6"/>
      <c r="C403" s="6"/>
      <c r="D403" s="6"/>
      <c r="E403" s="233"/>
      <c r="F403" s="6"/>
      <c r="G403" s="6"/>
      <c r="H403" s="6"/>
    </row>
    <row r="404" spans="2:8" x14ac:dyDescent="0.3">
      <c r="B404" s="6"/>
      <c r="C404" s="6"/>
      <c r="D404" s="6"/>
      <c r="E404" s="233"/>
      <c r="F404" s="6"/>
      <c r="G404" s="6"/>
      <c r="H404" s="6"/>
    </row>
    <row r="405" spans="2:8" x14ac:dyDescent="0.3">
      <c r="B405" s="6"/>
      <c r="C405" s="6"/>
      <c r="D405" s="6"/>
      <c r="E405" s="233"/>
      <c r="F405" s="6"/>
      <c r="G405" s="6"/>
      <c r="H405" s="6"/>
    </row>
    <row r="406" spans="2:8" x14ac:dyDescent="0.3">
      <c r="B406" s="6"/>
      <c r="C406" s="6"/>
      <c r="D406" s="6"/>
      <c r="E406" s="233"/>
      <c r="F406" s="6"/>
      <c r="G406" s="6"/>
      <c r="H406" s="6"/>
    </row>
    <row r="407" spans="2:8" x14ac:dyDescent="0.3">
      <c r="B407" s="6"/>
      <c r="C407" s="6"/>
      <c r="D407" s="6"/>
      <c r="E407" s="233"/>
      <c r="F407" s="6"/>
      <c r="G407" s="6"/>
      <c r="H407" s="6"/>
    </row>
    <row r="408" spans="2:8" x14ac:dyDescent="0.3">
      <c r="B408" s="6"/>
      <c r="C408" s="6"/>
      <c r="D408" s="6"/>
      <c r="E408" s="233"/>
      <c r="F408" s="6"/>
      <c r="G408" s="6"/>
      <c r="H408" s="6"/>
    </row>
    <row r="409" spans="2:8" x14ac:dyDescent="0.3">
      <c r="B409" s="6"/>
      <c r="C409" s="6"/>
      <c r="D409" s="6"/>
      <c r="E409" s="233"/>
      <c r="F409" s="6"/>
      <c r="G409" s="6"/>
      <c r="H409" s="6"/>
    </row>
    <row r="410" spans="2:8" x14ac:dyDescent="0.3">
      <c r="B410" s="6"/>
      <c r="C410" s="6"/>
      <c r="D410" s="6"/>
      <c r="E410" s="233"/>
      <c r="F410" s="6"/>
      <c r="G410" s="6"/>
      <c r="H410" s="6"/>
    </row>
    <row r="411" spans="2:8" x14ac:dyDescent="0.3">
      <c r="B411" s="6"/>
      <c r="C411" s="6"/>
      <c r="D411" s="6"/>
      <c r="E411" s="233"/>
      <c r="F411" s="6"/>
      <c r="G411" s="6"/>
      <c r="H411" s="6"/>
    </row>
    <row r="412" spans="2:8" x14ac:dyDescent="0.3">
      <c r="B412" s="6"/>
      <c r="C412" s="6"/>
      <c r="D412" s="6"/>
      <c r="E412" s="233"/>
      <c r="F412" s="6"/>
      <c r="G412" s="6"/>
      <c r="H412" s="6"/>
    </row>
    <row r="413" spans="2:8" x14ac:dyDescent="0.3">
      <c r="B413" s="6"/>
      <c r="C413" s="6"/>
      <c r="D413" s="6"/>
      <c r="E413" s="233"/>
      <c r="F413" s="6"/>
      <c r="G413" s="6"/>
      <c r="H413" s="6"/>
    </row>
    <row r="414" spans="2:8" x14ac:dyDescent="0.3">
      <c r="B414" s="6"/>
      <c r="C414" s="6"/>
      <c r="D414" s="6"/>
      <c r="E414" s="233"/>
      <c r="F414" s="6"/>
      <c r="G414" s="6"/>
      <c r="H414" s="6"/>
    </row>
    <row r="415" spans="2:8" x14ac:dyDescent="0.3">
      <c r="B415" s="6"/>
      <c r="C415" s="6"/>
      <c r="D415" s="6"/>
      <c r="E415" s="233"/>
      <c r="F415" s="6"/>
      <c r="G415" s="6"/>
      <c r="H415" s="6"/>
    </row>
    <row r="416" spans="2:8" x14ac:dyDescent="0.3">
      <c r="B416" s="6"/>
      <c r="C416" s="6"/>
      <c r="D416" s="6"/>
      <c r="E416" s="233"/>
      <c r="F416" s="6"/>
      <c r="G416" s="6"/>
      <c r="H416" s="6"/>
    </row>
    <row r="417" spans="2:8" x14ac:dyDescent="0.3">
      <c r="B417" s="6"/>
      <c r="C417" s="6"/>
      <c r="D417" s="6"/>
      <c r="E417" s="233"/>
      <c r="F417" s="6"/>
      <c r="G417" s="6"/>
      <c r="H417" s="6"/>
    </row>
    <row r="418" spans="2:8" x14ac:dyDescent="0.3">
      <c r="B418" s="6"/>
      <c r="C418" s="6"/>
      <c r="D418" s="6"/>
      <c r="E418" s="233"/>
      <c r="F418" s="6"/>
      <c r="G418" s="6"/>
      <c r="H418" s="6"/>
    </row>
    <row r="419" spans="2:8" x14ac:dyDescent="0.3">
      <c r="B419" s="6"/>
      <c r="C419" s="6"/>
      <c r="D419" s="6"/>
      <c r="E419" s="233"/>
      <c r="F419" s="6"/>
      <c r="G419" s="6"/>
      <c r="H419" s="6"/>
    </row>
    <row r="420" spans="2:8" x14ac:dyDescent="0.3">
      <c r="B420" s="6"/>
      <c r="C420" s="6"/>
      <c r="D420" s="6"/>
      <c r="E420" s="233"/>
      <c r="F420" s="6"/>
      <c r="G420" s="6"/>
      <c r="H420" s="6"/>
    </row>
    <row r="421" spans="2:8" x14ac:dyDescent="0.3">
      <c r="B421" s="6"/>
      <c r="C421" s="6"/>
      <c r="D421" s="6"/>
      <c r="E421" s="233"/>
      <c r="F421" s="6"/>
      <c r="G421" s="6"/>
      <c r="H421" s="6"/>
    </row>
    <row r="422" spans="2:8" x14ac:dyDescent="0.3">
      <c r="B422" s="6"/>
      <c r="C422" s="6"/>
      <c r="D422" s="6"/>
      <c r="E422" s="233"/>
      <c r="F422" s="6"/>
      <c r="G422" s="6"/>
      <c r="H422" s="6"/>
    </row>
    <row r="423" spans="2:8" x14ac:dyDescent="0.3">
      <c r="B423" s="6"/>
      <c r="C423" s="6"/>
      <c r="D423" s="6"/>
      <c r="E423" s="233"/>
      <c r="F423" s="6"/>
      <c r="G423" s="6"/>
      <c r="H423" s="6"/>
    </row>
    <row r="424" spans="2:8" x14ac:dyDescent="0.3">
      <c r="B424" s="6"/>
      <c r="C424" s="6"/>
      <c r="D424" s="6"/>
      <c r="E424" s="233"/>
      <c r="F424" s="6"/>
      <c r="G424" s="6"/>
      <c r="H424" s="6"/>
    </row>
    <row r="425" spans="2:8" x14ac:dyDescent="0.3">
      <c r="B425" s="6"/>
      <c r="C425" s="6"/>
      <c r="D425" s="6"/>
      <c r="E425" s="233"/>
      <c r="F425" s="6"/>
      <c r="G425" s="6"/>
      <c r="H425" s="6"/>
    </row>
    <row r="426" spans="2:8" x14ac:dyDescent="0.3">
      <c r="B426" s="6"/>
      <c r="C426" s="6"/>
      <c r="D426" s="6"/>
      <c r="E426" s="233"/>
      <c r="F426" s="6"/>
      <c r="G426" s="6"/>
      <c r="H426" s="6"/>
    </row>
    <row r="427" spans="2:8" x14ac:dyDescent="0.3">
      <c r="B427" s="6"/>
      <c r="C427" s="6"/>
      <c r="D427" s="6"/>
      <c r="E427" s="233"/>
      <c r="F427" s="6"/>
      <c r="G427" s="6"/>
      <c r="H427" s="6"/>
    </row>
    <row r="428" spans="2:8" x14ac:dyDescent="0.3">
      <c r="B428" s="6"/>
      <c r="C428" s="6"/>
      <c r="D428" s="6"/>
      <c r="E428" s="233"/>
      <c r="F428" s="6"/>
      <c r="G428" s="6"/>
      <c r="H428" s="6"/>
    </row>
    <row r="429" spans="2:8" x14ac:dyDescent="0.3">
      <c r="B429" s="6"/>
      <c r="C429" s="6"/>
      <c r="D429" s="6"/>
      <c r="E429" s="233"/>
      <c r="F429" s="6"/>
      <c r="G429" s="6"/>
      <c r="H429" s="6"/>
    </row>
    <row r="430" spans="2:8" x14ac:dyDescent="0.3">
      <c r="B430" s="6"/>
      <c r="C430" s="6"/>
      <c r="D430" s="6"/>
      <c r="E430" s="233"/>
      <c r="F430" s="6"/>
      <c r="G430" s="6"/>
      <c r="H430" s="6"/>
    </row>
    <row r="431" spans="2:8" x14ac:dyDescent="0.3">
      <c r="B431" s="6"/>
      <c r="C431" s="6"/>
      <c r="D431" s="6"/>
      <c r="E431" s="233"/>
      <c r="F431" s="6"/>
      <c r="G431" s="6"/>
      <c r="H431" s="6"/>
    </row>
    <row r="432" spans="2:8" x14ac:dyDescent="0.3">
      <c r="B432" s="6"/>
      <c r="C432" s="6"/>
      <c r="D432" s="6"/>
      <c r="E432" s="233"/>
      <c r="F432" s="6"/>
      <c r="G432" s="6"/>
      <c r="H432" s="6"/>
    </row>
    <row r="433" spans="2:8" x14ac:dyDescent="0.3">
      <c r="B433" s="6"/>
      <c r="C433" s="6"/>
      <c r="D433" s="6"/>
      <c r="E433" s="233"/>
      <c r="F433" s="6"/>
      <c r="G433" s="6"/>
      <c r="H433" s="6"/>
    </row>
    <row r="434" spans="2:8" x14ac:dyDescent="0.3">
      <c r="B434" s="6"/>
      <c r="C434" s="6"/>
      <c r="D434" s="6"/>
      <c r="E434" s="233"/>
      <c r="F434" s="6"/>
      <c r="G434" s="6"/>
      <c r="H434" s="6"/>
    </row>
    <row r="435" spans="2:8" x14ac:dyDescent="0.3">
      <c r="B435" s="6"/>
      <c r="C435" s="6"/>
      <c r="D435" s="6"/>
      <c r="E435" s="233"/>
      <c r="F435" s="6"/>
      <c r="G435" s="6"/>
      <c r="H435" s="6"/>
    </row>
    <row r="436" spans="2:8" x14ac:dyDescent="0.3">
      <c r="B436" s="6"/>
      <c r="C436" s="6"/>
      <c r="D436" s="6"/>
      <c r="E436" s="233"/>
      <c r="F436" s="6"/>
      <c r="G436" s="6"/>
      <c r="H436" s="6"/>
    </row>
    <row r="437" spans="2:8" x14ac:dyDescent="0.3">
      <c r="B437" s="6"/>
      <c r="C437" s="6"/>
      <c r="D437" s="6"/>
      <c r="E437" s="233"/>
      <c r="F437" s="6"/>
      <c r="G437" s="6"/>
      <c r="H437" s="6"/>
    </row>
    <row r="438" spans="2:8" x14ac:dyDescent="0.3">
      <c r="B438" s="6"/>
      <c r="C438" s="6"/>
      <c r="D438" s="6"/>
      <c r="E438" s="233"/>
      <c r="F438" s="6"/>
      <c r="G438" s="6"/>
      <c r="H438" s="6"/>
    </row>
    <row r="439" spans="2:8" x14ac:dyDescent="0.3">
      <c r="B439" s="6"/>
      <c r="C439" s="6"/>
      <c r="D439" s="6"/>
      <c r="E439" s="233"/>
      <c r="F439" s="6"/>
      <c r="G439" s="6"/>
      <c r="H439" s="6"/>
    </row>
    <row r="440" spans="2:8" x14ac:dyDescent="0.3">
      <c r="B440" s="6"/>
      <c r="C440" s="6"/>
      <c r="D440" s="6"/>
      <c r="E440" s="233"/>
      <c r="F440" s="6"/>
      <c r="G440" s="6"/>
      <c r="H440" s="6"/>
    </row>
    <row r="441" spans="2:8" x14ac:dyDescent="0.3">
      <c r="B441" s="6"/>
      <c r="C441" s="6"/>
      <c r="D441" s="6"/>
      <c r="E441" s="233"/>
      <c r="F441" s="6"/>
      <c r="G441" s="6"/>
      <c r="H441" s="6"/>
    </row>
    <row r="442" spans="2:8" x14ac:dyDescent="0.3">
      <c r="B442" s="6"/>
      <c r="C442" s="6"/>
      <c r="D442" s="6"/>
      <c r="E442" s="233"/>
      <c r="F442" s="6"/>
      <c r="G442" s="6"/>
      <c r="H442" s="6"/>
    </row>
    <row r="443" spans="2:8" x14ac:dyDescent="0.3">
      <c r="B443" s="6"/>
      <c r="C443" s="6"/>
      <c r="D443" s="6"/>
      <c r="E443" s="233"/>
      <c r="F443" s="6"/>
      <c r="G443" s="6"/>
      <c r="H443" s="6"/>
    </row>
    <row r="444" spans="2:8" x14ac:dyDescent="0.3">
      <c r="B444" s="6"/>
      <c r="C444" s="6"/>
      <c r="D444" s="6"/>
      <c r="E444" s="233"/>
      <c r="F444" s="6"/>
      <c r="G444" s="6"/>
      <c r="H444" s="6"/>
    </row>
    <row r="445" spans="2:8" x14ac:dyDescent="0.3">
      <c r="B445" s="6"/>
      <c r="C445" s="6"/>
      <c r="D445" s="6"/>
      <c r="E445" s="233"/>
      <c r="F445" s="6"/>
      <c r="G445" s="6"/>
      <c r="H445" s="6"/>
    </row>
    <row r="446" spans="2:8" x14ac:dyDescent="0.3">
      <c r="B446" s="6"/>
      <c r="C446" s="6"/>
      <c r="D446" s="6"/>
      <c r="E446" s="233"/>
      <c r="F446" s="6"/>
      <c r="G446" s="6"/>
      <c r="H446" s="6"/>
    </row>
    <row r="447" spans="2:8" x14ac:dyDescent="0.3">
      <c r="B447" s="6"/>
      <c r="C447" s="6"/>
      <c r="D447" s="6"/>
      <c r="E447" s="233"/>
      <c r="F447" s="6"/>
      <c r="G447" s="6"/>
      <c r="H447" s="6"/>
    </row>
    <row r="448" spans="2:8" x14ac:dyDescent="0.3">
      <c r="B448" s="6"/>
      <c r="C448" s="6"/>
      <c r="D448" s="6"/>
      <c r="E448" s="233"/>
      <c r="F448" s="6"/>
      <c r="G448" s="6"/>
      <c r="H448" s="6"/>
    </row>
    <row r="449" spans="2:8" x14ac:dyDescent="0.3">
      <c r="B449" s="6"/>
      <c r="C449" s="6"/>
      <c r="D449" s="6"/>
      <c r="E449" s="233"/>
      <c r="F449" s="6"/>
      <c r="G449" s="6"/>
      <c r="H449" s="6"/>
    </row>
    <row r="450" spans="2:8" x14ac:dyDescent="0.3">
      <c r="B450" s="6"/>
      <c r="C450" s="6"/>
      <c r="D450" s="6"/>
      <c r="E450" s="233"/>
      <c r="F450" s="6"/>
      <c r="G450" s="6"/>
      <c r="H450" s="6"/>
    </row>
    <row r="451" spans="2:8" x14ac:dyDescent="0.3">
      <c r="B451" s="6"/>
      <c r="C451" s="6"/>
      <c r="D451" s="6"/>
      <c r="E451" s="233"/>
      <c r="F451" s="6"/>
      <c r="G451" s="6"/>
      <c r="H451" s="6"/>
    </row>
    <row r="452" spans="2:8" x14ac:dyDescent="0.3">
      <c r="B452" s="6"/>
      <c r="C452" s="6"/>
      <c r="D452" s="6"/>
      <c r="E452" s="233"/>
      <c r="F452" s="6"/>
      <c r="G452" s="6"/>
      <c r="H452" s="6"/>
    </row>
    <row r="453" spans="2:8" x14ac:dyDescent="0.3">
      <c r="B453" s="6"/>
      <c r="C453" s="6"/>
      <c r="D453" s="6"/>
      <c r="E453" s="233"/>
      <c r="F453" s="6"/>
      <c r="G453" s="6"/>
      <c r="H453" s="6"/>
    </row>
    <row r="454" spans="2:8" x14ac:dyDescent="0.3">
      <c r="B454" s="6"/>
      <c r="C454" s="6"/>
      <c r="D454" s="6"/>
      <c r="E454" s="233"/>
      <c r="F454" s="6"/>
      <c r="G454" s="6"/>
      <c r="H454" s="6"/>
    </row>
    <row r="455" spans="2:8" x14ac:dyDescent="0.3">
      <c r="B455" s="6"/>
      <c r="C455" s="6"/>
      <c r="D455" s="6"/>
      <c r="E455" s="233"/>
      <c r="F455" s="6"/>
      <c r="G455" s="6"/>
      <c r="H455" s="6"/>
    </row>
    <row r="456" spans="2:8" x14ac:dyDescent="0.3">
      <c r="B456" s="6"/>
      <c r="C456" s="6"/>
      <c r="D456" s="6"/>
      <c r="E456" s="233"/>
      <c r="F456" s="6"/>
      <c r="G456" s="6"/>
      <c r="H456" s="6"/>
    </row>
    <row r="457" spans="2:8" x14ac:dyDescent="0.3">
      <c r="B457" s="6"/>
      <c r="C457" s="6"/>
      <c r="D457" s="6"/>
      <c r="E457" s="233"/>
      <c r="F457" s="6"/>
      <c r="G457" s="6"/>
      <c r="H457" s="6"/>
    </row>
    <row r="458" spans="2:8" x14ac:dyDescent="0.3">
      <c r="B458" s="6"/>
      <c r="C458" s="6"/>
      <c r="D458" s="6"/>
      <c r="E458" s="233"/>
      <c r="F458" s="6"/>
      <c r="G458" s="6"/>
      <c r="H458" s="6"/>
    </row>
    <row r="459" spans="2:8" x14ac:dyDescent="0.3">
      <c r="B459" s="6"/>
      <c r="C459" s="6"/>
      <c r="D459" s="6"/>
      <c r="E459" s="233"/>
      <c r="F459" s="6"/>
      <c r="G459" s="6"/>
      <c r="H459" s="6"/>
    </row>
    <row r="460" spans="2:8" x14ac:dyDescent="0.3">
      <c r="B460" s="6"/>
      <c r="C460" s="6"/>
      <c r="D460" s="6"/>
      <c r="E460" s="233"/>
      <c r="F460" s="6"/>
      <c r="G460" s="6"/>
      <c r="H460" s="6"/>
    </row>
    <row r="461" spans="2:8" x14ac:dyDescent="0.3">
      <c r="B461" s="6"/>
      <c r="C461" s="6"/>
      <c r="D461" s="6"/>
      <c r="E461" s="233"/>
      <c r="F461" s="6"/>
      <c r="G461" s="6"/>
      <c r="H461" s="6"/>
    </row>
    <row r="462" spans="2:8" x14ac:dyDescent="0.3">
      <c r="B462" s="6"/>
      <c r="C462" s="6"/>
      <c r="D462" s="6"/>
      <c r="E462" s="233"/>
      <c r="F462" s="6"/>
      <c r="G462" s="6"/>
      <c r="H462" s="6"/>
    </row>
    <row r="463" spans="2:8" x14ac:dyDescent="0.3">
      <c r="B463" s="6"/>
      <c r="C463" s="6"/>
      <c r="D463" s="6"/>
      <c r="E463" s="233"/>
      <c r="F463" s="6"/>
      <c r="G463" s="6"/>
      <c r="H463" s="6"/>
    </row>
    <row r="464" spans="2:8" x14ac:dyDescent="0.3">
      <c r="B464" s="6"/>
      <c r="C464" s="6"/>
      <c r="D464" s="6"/>
      <c r="E464" s="233"/>
      <c r="F464" s="6"/>
      <c r="G464" s="6"/>
      <c r="H464" s="6"/>
    </row>
    <row r="465" spans="2:8" x14ac:dyDescent="0.3">
      <c r="B465" s="6"/>
      <c r="C465" s="6"/>
      <c r="D465" s="6"/>
      <c r="E465" s="233"/>
      <c r="F465" s="6"/>
      <c r="G465" s="6"/>
      <c r="H465" s="6"/>
    </row>
    <row r="466" spans="2:8" x14ac:dyDescent="0.3">
      <c r="B466" s="6"/>
      <c r="C466" s="6"/>
      <c r="D466" s="6"/>
      <c r="E466" s="233"/>
      <c r="F466" s="6"/>
      <c r="G466" s="6"/>
      <c r="H466" s="6"/>
    </row>
    <row r="467" spans="2:8" x14ac:dyDescent="0.3">
      <c r="B467" s="6"/>
      <c r="C467" s="6"/>
      <c r="D467" s="6"/>
      <c r="E467" s="233"/>
      <c r="F467" s="6"/>
      <c r="G467" s="6"/>
      <c r="H467" s="6"/>
    </row>
    <row r="468" spans="2:8" x14ac:dyDescent="0.3">
      <c r="B468" s="6"/>
      <c r="C468" s="6"/>
      <c r="D468" s="6"/>
      <c r="E468" s="233"/>
      <c r="F468" s="6"/>
      <c r="G468" s="6"/>
      <c r="H468" s="6"/>
    </row>
    <row r="469" spans="2:8" x14ac:dyDescent="0.3">
      <c r="B469" s="6"/>
      <c r="C469" s="6"/>
      <c r="D469" s="6"/>
      <c r="E469" s="233"/>
      <c r="F469" s="6"/>
      <c r="G469" s="6"/>
      <c r="H469" s="6"/>
    </row>
    <row r="470" spans="2:8" x14ac:dyDescent="0.3">
      <c r="B470" s="6"/>
      <c r="C470" s="6"/>
      <c r="D470" s="6"/>
      <c r="E470" s="233"/>
      <c r="F470" s="6"/>
      <c r="G470" s="6"/>
      <c r="H470" s="6"/>
    </row>
    <row r="471" spans="2:8" x14ac:dyDescent="0.3">
      <c r="B471" s="6"/>
      <c r="C471" s="6"/>
      <c r="D471" s="6"/>
      <c r="E471" s="233"/>
      <c r="F471" s="6"/>
      <c r="G471" s="6"/>
      <c r="H471" s="6"/>
    </row>
    <row r="472" spans="2:8" x14ac:dyDescent="0.3">
      <c r="B472" s="6"/>
      <c r="C472" s="6"/>
      <c r="D472" s="6"/>
      <c r="E472" s="233"/>
      <c r="F472" s="6"/>
      <c r="G472" s="6"/>
      <c r="H472" s="6"/>
    </row>
    <row r="473" spans="2:8" x14ac:dyDescent="0.3">
      <c r="B473" s="6"/>
      <c r="C473" s="6"/>
      <c r="D473" s="6"/>
      <c r="E473" s="233"/>
      <c r="F473" s="6"/>
      <c r="G473" s="6"/>
      <c r="H473" s="6"/>
    </row>
    <row r="474" spans="2:8" x14ac:dyDescent="0.3">
      <c r="B474" s="6"/>
      <c r="C474" s="6"/>
      <c r="D474" s="6"/>
      <c r="E474" s="233"/>
      <c r="F474" s="6"/>
      <c r="G474" s="6"/>
      <c r="H474" s="6"/>
    </row>
    <row r="475" spans="2:8" x14ac:dyDescent="0.3">
      <c r="B475" s="6"/>
      <c r="C475" s="6"/>
      <c r="D475" s="6"/>
      <c r="E475" s="233"/>
      <c r="F475" s="6"/>
      <c r="G475" s="6"/>
      <c r="H475" s="6"/>
    </row>
    <row r="476" spans="2:8" x14ac:dyDescent="0.3">
      <c r="B476" s="6"/>
      <c r="C476" s="6"/>
      <c r="D476" s="6"/>
      <c r="E476" s="233"/>
      <c r="F476" s="6"/>
      <c r="G476" s="6"/>
      <c r="H476" s="6"/>
    </row>
    <row r="477" spans="2:8" x14ac:dyDescent="0.3">
      <c r="B477" s="6"/>
      <c r="C477" s="6"/>
      <c r="D477" s="6"/>
      <c r="E477" s="233"/>
      <c r="F477" s="6"/>
      <c r="G477" s="6"/>
      <c r="H477" s="6"/>
    </row>
    <row r="478" spans="2:8" x14ac:dyDescent="0.3">
      <c r="B478" s="6"/>
      <c r="C478" s="6"/>
      <c r="D478" s="6"/>
      <c r="E478" s="233"/>
      <c r="F478" s="6"/>
      <c r="G478" s="6"/>
      <c r="H478" s="6"/>
    </row>
    <row r="479" spans="2:8" x14ac:dyDescent="0.3">
      <c r="B479" s="6"/>
      <c r="C479" s="6"/>
      <c r="D479" s="6"/>
      <c r="E479" s="233"/>
      <c r="F479" s="6"/>
      <c r="G479" s="6"/>
      <c r="H479" s="6"/>
    </row>
    <row r="480" spans="2:8" x14ac:dyDescent="0.3">
      <c r="B480" s="6"/>
      <c r="C480" s="6"/>
      <c r="D480" s="6"/>
      <c r="E480" s="233"/>
      <c r="F480" s="6"/>
      <c r="G480" s="6"/>
      <c r="H480" s="6"/>
    </row>
    <row r="481" spans="2:8" x14ac:dyDescent="0.3">
      <c r="B481" s="6"/>
      <c r="C481" s="6"/>
      <c r="D481" s="6"/>
      <c r="E481" s="233"/>
      <c r="F481" s="6"/>
      <c r="G481" s="6"/>
      <c r="H481" s="6"/>
    </row>
    <row r="482" spans="2:8" x14ac:dyDescent="0.3">
      <c r="B482" s="6"/>
      <c r="C482" s="6"/>
      <c r="D482" s="6"/>
      <c r="E482" s="233"/>
      <c r="F482" s="6"/>
      <c r="G482" s="6"/>
      <c r="H482" s="6"/>
    </row>
    <row r="483" spans="2:8" x14ac:dyDescent="0.3">
      <c r="B483" s="6"/>
      <c r="C483" s="6"/>
      <c r="D483" s="6"/>
      <c r="E483" s="233"/>
      <c r="F483" s="6"/>
      <c r="G483" s="6"/>
      <c r="H483" s="6"/>
    </row>
    <row r="484" spans="2:8" x14ac:dyDescent="0.3">
      <c r="B484" s="6"/>
      <c r="C484" s="6"/>
      <c r="D484" s="6"/>
      <c r="E484" s="233"/>
      <c r="F484" s="6"/>
      <c r="G484" s="6"/>
      <c r="H484" s="6"/>
    </row>
    <row r="485" spans="2:8" x14ac:dyDescent="0.3">
      <c r="B485" s="6"/>
      <c r="C485" s="6"/>
      <c r="D485" s="6"/>
      <c r="E485" s="233"/>
      <c r="F485" s="6"/>
      <c r="G485" s="6"/>
      <c r="H485" s="6"/>
    </row>
    <row r="486" spans="2:8" x14ac:dyDescent="0.3">
      <c r="B486" s="6"/>
      <c r="C486" s="6"/>
      <c r="D486" s="6"/>
      <c r="E486" s="233"/>
      <c r="F486" s="6"/>
      <c r="G486" s="6"/>
      <c r="H486" s="6"/>
    </row>
    <row r="487" spans="2:8" x14ac:dyDescent="0.3">
      <c r="B487" s="6"/>
      <c r="C487" s="6"/>
      <c r="D487" s="6"/>
      <c r="E487" s="233"/>
      <c r="F487" s="6"/>
      <c r="G487" s="6"/>
      <c r="H487" s="6"/>
    </row>
    <row r="488" spans="2:8" x14ac:dyDescent="0.3">
      <c r="B488" s="6"/>
      <c r="C488" s="6"/>
      <c r="D488" s="6"/>
      <c r="E488" s="233"/>
      <c r="F488" s="6"/>
      <c r="G488" s="6"/>
      <c r="H488" s="6"/>
    </row>
    <row r="489" spans="2:8" x14ac:dyDescent="0.3">
      <c r="B489" s="6"/>
      <c r="C489" s="6"/>
      <c r="D489" s="6"/>
      <c r="E489" s="233"/>
      <c r="F489" s="6"/>
      <c r="G489" s="6"/>
      <c r="H489" s="6"/>
    </row>
    <row r="490" spans="2:8" x14ac:dyDescent="0.3">
      <c r="B490" s="6"/>
      <c r="C490" s="6"/>
      <c r="D490" s="6"/>
      <c r="E490" s="233"/>
      <c r="F490" s="6"/>
      <c r="G490" s="6"/>
      <c r="H490" s="6"/>
    </row>
    <row r="491" spans="2:8" x14ac:dyDescent="0.3">
      <c r="B491" s="6"/>
      <c r="C491" s="6"/>
      <c r="D491" s="6"/>
      <c r="E491" s="233"/>
      <c r="F491" s="6"/>
      <c r="G491" s="6"/>
      <c r="H491" s="6"/>
    </row>
    <row r="492" spans="2:8" x14ac:dyDescent="0.3">
      <c r="B492" s="6"/>
      <c r="C492" s="6"/>
      <c r="D492" s="6"/>
      <c r="E492" s="233"/>
      <c r="F492" s="6"/>
      <c r="G492" s="6"/>
      <c r="H492" s="6"/>
    </row>
    <row r="493" spans="2:8" x14ac:dyDescent="0.3">
      <c r="B493" s="6"/>
      <c r="C493" s="6"/>
      <c r="D493" s="6"/>
      <c r="E493" s="233"/>
      <c r="F493" s="6"/>
      <c r="G493" s="6"/>
      <c r="H493" s="6"/>
    </row>
    <row r="494" spans="2:8" x14ac:dyDescent="0.3">
      <c r="B494" s="6"/>
      <c r="C494" s="6"/>
      <c r="D494" s="6"/>
      <c r="E494" s="233"/>
      <c r="F494" s="6"/>
      <c r="G494" s="6"/>
      <c r="H494" s="6"/>
    </row>
    <row r="495" spans="2:8" x14ac:dyDescent="0.3">
      <c r="B495" s="6"/>
      <c r="C495" s="6"/>
      <c r="D495" s="6"/>
      <c r="E495" s="233"/>
      <c r="F495" s="6"/>
      <c r="G495" s="6"/>
      <c r="H495" s="6"/>
    </row>
    <row r="496" spans="2:8" x14ac:dyDescent="0.3">
      <c r="B496" s="6"/>
      <c r="C496" s="6"/>
      <c r="D496" s="6"/>
      <c r="E496" s="233"/>
      <c r="F496" s="6"/>
      <c r="G496" s="6"/>
      <c r="H496" s="6"/>
    </row>
    <row r="497" spans="2:8" x14ac:dyDescent="0.3">
      <c r="B497" s="6"/>
      <c r="C497" s="6"/>
      <c r="D497" s="6"/>
      <c r="E497" s="233"/>
      <c r="F497" s="6"/>
      <c r="G497" s="6"/>
      <c r="H497" s="6"/>
    </row>
    <row r="498" spans="2:8" x14ac:dyDescent="0.3">
      <c r="B498" s="6"/>
      <c r="C498" s="6"/>
      <c r="D498" s="6"/>
      <c r="E498" s="233"/>
      <c r="F498" s="6"/>
      <c r="G498" s="6"/>
      <c r="H498" s="6"/>
    </row>
    <row r="499" spans="2:8" x14ac:dyDescent="0.3">
      <c r="B499" s="6"/>
      <c r="C499" s="6"/>
      <c r="D499" s="6"/>
      <c r="E499" s="233"/>
      <c r="F499" s="6"/>
      <c r="G499" s="6"/>
      <c r="H499" s="6"/>
    </row>
    <row r="500" spans="2:8" x14ac:dyDescent="0.3">
      <c r="B500" s="6"/>
      <c r="C500" s="6"/>
      <c r="D500" s="6"/>
      <c r="E500" s="233"/>
      <c r="F500" s="6"/>
      <c r="G500" s="6"/>
      <c r="H500" s="6"/>
    </row>
    <row r="501" spans="2:8" x14ac:dyDescent="0.3">
      <c r="B501" s="6"/>
      <c r="C501" s="6"/>
      <c r="D501" s="6"/>
      <c r="E501" s="233"/>
      <c r="F501" s="6"/>
      <c r="G501" s="6"/>
      <c r="H501" s="6"/>
    </row>
    <row r="502" spans="2:8" x14ac:dyDescent="0.3">
      <c r="B502" s="6"/>
      <c r="C502" s="6"/>
      <c r="D502" s="6"/>
      <c r="E502" s="233"/>
      <c r="F502" s="6"/>
      <c r="G502" s="6"/>
      <c r="H502" s="6"/>
    </row>
    <row r="503" spans="2:8" x14ac:dyDescent="0.3">
      <c r="B503" s="6"/>
      <c r="C503" s="6"/>
      <c r="D503" s="6"/>
      <c r="E503" s="233"/>
      <c r="F503" s="6"/>
      <c r="G503" s="6"/>
      <c r="H503" s="6"/>
    </row>
    <row r="504" spans="2:8" x14ac:dyDescent="0.3">
      <c r="B504" s="6"/>
      <c r="C504" s="6"/>
      <c r="D504" s="6"/>
      <c r="E504" s="233"/>
      <c r="F504" s="6"/>
      <c r="G504" s="6"/>
      <c r="H504" s="6"/>
    </row>
    <row r="505" spans="2:8" x14ac:dyDescent="0.3">
      <c r="B505" s="6"/>
      <c r="C505" s="6"/>
      <c r="D505" s="6"/>
      <c r="E505" s="233"/>
      <c r="F505" s="6"/>
      <c r="G505" s="6"/>
      <c r="H505" s="6"/>
    </row>
    <row r="506" spans="2:8" x14ac:dyDescent="0.3">
      <c r="B506" s="6"/>
      <c r="C506" s="6"/>
      <c r="D506" s="6"/>
      <c r="E506" s="233"/>
      <c r="F506" s="6"/>
      <c r="G506" s="6"/>
      <c r="H506" s="6"/>
    </row>
    <row r="507" spans="2:8" x14ac:dyDescent="0.3">
      <c r="B507" s="6"/>
      <c r="C507" s="6"/>
      <c r="D507" s="6"/>
      <c r="E507" s="233"/>
      <c r="F507" s="6"/>
      <c r="G507" s="6"/>
      <c r="H507" s="6"/>
    </row>
    <row r="508" spans="2:8" x14ac:dyDescent="0.3">
      <c r="B508" s="6"/>
      <c r="C508" s="6"/>
      <c r="D508" s="6"/>
      <c r="E508" s="233"/>
      <c r="F508" s="6"/>
      <c r="G508" s="6"/>
      <c r="H508" s="6"/>
    </row>
    <row r="509" spans="2:8" x14ac:dyDescent="0.3">
      <c r="B509" s="6"/>
      <c r="C509" s="6"/>
      <c r="D509" s="6"/>
      <c r="E509" s="233"/>
      <c r="F509" s="6"/>
      <c r="G509" s="6"/>
      <c r="H509" s="6"/>
    </row>
    <row r="510" spans="2:8" x14ac:dyDescent="0.3">
      <c r="B510" s="6"/>
      <c r="C510" s="6"/>
      <c r="D510" s="6"/>
      <c r="E510" s="233"/>
      <c r="F510" s="6"/>
      <c r="G510" s="6"/>
      <c r="H510" s="6"/>
    </row>
    <row r="511" spans="2:8" x14ac:dyDescent="0.3">
      <c r="B511" s="6"/>
      <c r="C511" s="6"/>
      <c r="D511" s="6"/>
      <c r="E511" s="233"/>
      <c r="F511" s="6"/>
      <c r="G511" s="6"/>
      <c r="H511" s="6"/>
    </row>
    <row r="512" spans="2:8" x14ac:dyDescent="0.3">
      <c r="B512" s="6"/>
      <c r="C512" s="6"/>
      <c r="D512" s="6"/>
      <c r="E512" s="233"/>
      <c r="F512" s="6"/>
      <c r="G512" s="6"/>
      <c r="H512" s="6"/>
    </row>
    <row r="513" spans="2:8" x14ac:dyDescent="0.3">
      <c r="B513" s="6"/>
      <c r="C513" s="6"/>
      <c r="D513" s="6"/>
      <c r="E513" s="233"/>
      <c r="F513" s="6"/>
      <c r="G513" s="6"/>
      <c r="H513" s="6"/>
    </row>
    <row r="514" spans="2:8" x14ac:dyDescent="0.3">
      <c r="B514" s="6"/>
      <c r="C514" s="6"/>
      <c r="D514" s="6"/>
      <c r="E514" s="233"/>
      <c r="F514" s="6"/>
      <c r="G514" s="6"/>
      <c r="H514" s="6"/>
    </row>
    <row r="515" spans="2:8" x14ac:dyDescent="0.3">
      <c r="B515" s="6"/>
      <c r="C515" s="6"/>
      <c r="D515" s="6"/>
      <c r="E515" s="233"/>
      <c r="F515" s="6"/>
      <c r="G515" s="6"/>
      <c r="H515" s="6"/>
    </row>
    <row r="516" spans="2:8" x14ac:dyDescent="0.3">
      <c r="B516" s="6"/>
      <c r="C516" s="6"/>
      <c r="D516" s="6"/>
      <c r="E516" s="233"/>
      <c r="F516" s="6"/>
      <c r="G516" s="6"/>
      <c r="H516" s="6"/>
    </row>
    <row r="517" spans="2:8" x14ac:dyDescent="0.3">
      <c r="B517" s="6"/>
      <c r="C517" s="6"/>
      <c r="D517" s="6"/>
      <c r="E517" s="233"/>
      <c r="F517" s="6"/>
      <c r="G517" s="6"/>
      <c r="H517" s="6"/>
    </row>
    <row r="518" spans="2:8" x14ac:dyDescent="0.3">
      <c r="B518" s="6"/>
      <c r="C518" s="6"/>
      <c r="D518" s="6"/>
      <c r="E518" s="233"/>
      <c r="F518" s="6"/>
      <c r="G518" s="6"/>
      <c r="H518" s="6"/>
    </row>
    <row r="519" spans="2:8" x14ac:dyDescent="0.3">
      <c r="B519" s="6"/>
      <c r="C519" s="6"/>
      <c r="D519" s="6"/>
      <c r="E519" s="233"/>
      <c r="F519" s="6"/>
      <c r="G519" s="6"/>
      <c r="H519" s="6"/>
    </row>
    <row r="520" spans="2:8" x14ac:dyDescent="0.3">
      <c r="B520" s="6"/>
      <c r="C520" s="6"/>
      <c r="D520" s="6"/>
      <c r="E520" s="233"/>
      <c r="F520" s="6"/>
      <c r="G520" s="6"/>
      <c r="H520" s="6"/>
    </row>
    <row r="521" spans="2:8" x14ac:dyDescent="0.3">
      <c r="B521" s="6"/>
      <c r="C521" s="6"/>
      <c r="D521" s="6"/>
      <c r="E521" s="233"/>
      <c r="F521" s="6"/>
      <c r="G521" s="6"/>
      <c r="H521" s="6"/>
    </row>
    <row r="522" spans="2:8" x14ac:dyDescent="0.3">
      <c r="B522" s="6"/>
      <c r="C522" s="6"/>
      <c r="D522" s="6"/>
      <c r="E522" s="233"/>
      <c r="F522" s="6"/>
      <c r="G522" s="6"/>
      <c r="H522" s="6"/>
    </row>
    <row r="523" spans="2:8" x14ac:dyDescent="0.3">
      <c r="B523" s="6"/>
      <c r="C523" s="6"/>
      <c r="D523" s="6"/>
      <c r="E523" s="233"/>
      <c r="F523" s="6"/>
      <c r="G523" s="6"/>
      <c r="H523" s="6"/>
    </row>
    <row r="524" spans="2:8" x14ac:dyDescent="0.3">
      <c r="B524" s="6"/>
      <c r="C524" s="6"/>
      <c r="D524" s="6"/>
      <c r="E524" s="233"/>
      <c r="F524" s="6"/>
      <c r="G524" s="6"/>
      <c r="H524" s="6"/>
    </row>
    <row r="525" spans="2:8" x14ac:dyDescent="0.3">
      <c r="B525" s="6"/>
      <c r="C525" s="6"/>
      <c r="D525" s="6"/>
      <c r="E525" s="233"/>
      <c r="F525" s="6"/>
      <c r="G525" s="6"/>
      <c r="H525" s="6"/>
    </row>
    <row r="526" spans="2:8" x14ac:dyDescent="0.3">
      <c r="B526" s="6"/>
      <c r="C526" s="6"/>
      <c r="D526" s="6"/>
      <c r="E526" s="233"/>
      <c r="F526" s="6"/>
      <c r="G526" s="6"/>
      <c r="H526" s="6"/>
    </row>
    <row r="527" spans="2:8" x14ac:dyDescent="0.3">
      <c r="B527" s="6"/>
      <c r="C527" s="6"/>
      <c r="D527" s="6"/>
      <c r="E527" s="233"/>
      <c r="F527" s="6"/>
      <c r="G527" s="6"/>
      <c r="H527" s="6"/>
    </row>
    <row r="528" spans="2:8" x14ac:dyDescent="0.3">
      <c r="B528" s="6"/>
      <c r="C528" s="6"/>
      <c r="D528" s="6"/>
      <c r="E528" s="233"/>
      <c r="F528" s="6"/>
      <c r="G528" s="6"/>
      <c r="H528" s="6"/>
    </row>
    <row r="529" spans="2:8" x14ac:dyDescent="0.3">
      <c r="B529" s="6"/>
      <c r="C529" s="6"/>
      <c r="D529" s="6"/>
      <c r="E529" s="233"/>
      <c r="F529" s="6"/>
      <c r="G529" s="6"/>
      <c r="H529" s="6"/>
    </row>
    <row r="530" spans="2:8" x14ac:dyDescent="0.3">
      <c r="B530" s="6"/>
      <c r="C530" s="6"/>
      <c r="D530" s="6"/>
      <c r="E530" s="233"/>
      <c r="F530" s="6"/>
      <c r="G530" s="6"/>
      <c r="H530" s="6"/>
    </row>
    <row r="531" spans="2:8" x14ac:dyDescent="0.3">
      <c r="B531" s="6"/>
      <c r="C531" s="6"/>
      <c r="D531" s="6"/>
      <c r="E531" s="233"/>
      <c r="F531" s="6"/>
      <c r="G531" s="6"/>
      <c r="H531" s="6"/>
    </row>
    <row r="532" spans="2:8" x14ac:dyDescent="0.3">
      <c r="B532" s="6"/>
      <c r="C532" s="6"/>
      <c r="D532" s="6"/>
      <c r="E532" s="233"/>
      <c r="F532" s="6"/>
      <c r="G532" s="6"/>
      <c r="H532" s="6"/>
    </row>
    <row r="533" spans="2:8" x14ac:dyDescent="0.3">
      <c r="B533" s="6"/>
      <c r="C533" s="6"/>
      <c r="D533" s="6"/>
      <c r="E533" s="233"/>
      <c r="F533" s="6"/>
      <c r="G533" s="6"/>
      <c r="H533" s="6"/>
    </row>
    <row r="534" spans="2:8" x14ac:dyDescent="0.3">
      <c r="B534" s="6"/>
      <c r="C534" s="6"/>
      <c r="D534" s="6"/>
      <c r="E534" s="233"/>
      <c r="F534" s="6"/>
      <c r="G534" s="6"/>
      <c r="H534" s="6"/>
    </row>
    <row r="535" spans="2:8" x14ac:dyDescent="0.3">
      <c r="B535" s="6"/>
      <c r="C535" s="6"/>
      <c r="D535" s="6"/>
      <c r="E535" s="233"/>
      <c r="F535" s="6"/>
      <c r="G535" s="6"/>
      <c r="H535" s="6"/>
    </row>
    <row r="536" spans="2:8" x14ac:dyDescent="0.3">
      <c r="B536" s="6"/>
      <c r="C536" s="6"/>
      <c r="D536" s="6"/>
      <c r="E536" s="233"/>
      <c r="F536" s="6"/>
      <c r="G536" s="6"/>
      <c r="H536" s="6"/>
    </row>
    <row r="537" spans="2:8" x14ac:dyDescent="0.3">
      <c r="B537" s="6"/>
      <c r="C537" s="6"/>
      <c r="D537" s="6"/>
      <c r="E537" s="233"/>
      <c r="F537" s="6"/>
      <c r="G537" s="6"/>
      <c r="H537" s="6"/>
    </row>
    <row r="538" spans="2:8" x14ac:dyDescent="0.3">
      <c r="B538" s="6"/>
      <c r="C538" s="6"/>
      <c r="D538" s="6"/>
      <c r="E538" s="233"/>
      <c r="F538" s="6"/>
      <c r="G538" s="6"/>
      <c r="H538" s="6"/>
    </row>
    <row r="539" spans="2:8" x14ac:dyDescent="0.3">
      <c r="B539" s="6"/>
      <c r="C539" s="6"/>
      <c r="D539" s="6"/>
      <c r="E539" s="233"/>
      <c r="F539" s="6"/>
      <c r="G539" s="6"/>
      <c r="H539" s="6"/>
    </row>
    <row r="540" spans="2:8" x14ac:dyDescent="0.3">
      <c r="B540" s="6"/>
      <c r="C540" s="6"/>
      <c r="D540" s="6"/>
      <c r="E540" s="233"/>
      <c r="F540" s="6"/>
      <c r="G540" s="6"/>
      <c r="H540" s="6"/>
    </row>
    <row r="541" spans="2:8" x14ac:dyDescent="0.3">
      <c r="B541" s="6"/>
      <c r="C541" s="6"/>
      <c r="D541" s="6"/>
      <c r="E541" s="233"/>
      <c r="F541" s="6"/>
      <c r="G541" s="6"/>
      <c r="H541" s="6"/>
    </row>
    <row r="542" spans="2:8" x14ac:dyDescent="0.3">
      <c r="B542" s="6"/>
      <c r="C542" s="6"/>
      <c r="D542" s="6"/>
      <c r="E542" s="233"/>
      <c r="F542" s="6"/>
      <c r="G542" s="6"/>
      <c r="H542" s="6"/>
    </row>
    <row r="543" spans="2:8" x14ac:dyDescent="0.3">
      <c r="B543" s="6"/>
      <c r="C543" s="6"/>
      <c r="D543" s="6"/>
      <c r="E543" s="233"/>
      <c r="F543" s="6"/>
      <c r="G543" s="6"/>
      <c r="H543" s="6"/>
    </row>
    <row r="544" spans="2:8" x14ac:dyDescent="0.3">
      <c r="B544" s="6"/>
      <c r="C544" s="6"/>
      <c r="D544" s="6"/>
      <c r="E544" s="233"/>
      <c r="F544" s="6"/>
      <c r="G544" s="6"/>
      <c r="H544" s="6"/>
    </row>
    <row r="545" spans="2:8" x14ac:dyDescent="0.3">
      <c r="B545" s="6"/>
      <c r="C545" s="6"/>
      <c r="D545" s="6"/>
      <c r="E545" s="233"/>
      <c r="F545" s="6"/>
      <c r="G545" s="6"/>
      <c r="H545" s="6"/>
    </row>
    <row r="546" spans="2:8" x14ac:dyDescent="0.3">
      <c r="B546" s="6"/>
      <c r="C546" s="6"/>
      <c r="D546" s="6"/>
      <c r="E546" s="233"/>
      <c r="F546" s="6"/>
      <c r="G546" s="6"/>
      <c r="H546" s="6"/>
    </row>
    <row r="547" spans="2:8" x14ac:dyDescent="0.3">
      <c r="B547" s="6"/>
      <c r="C547" s="6"/>
      <c r="D547" s="6"/>
      <c r="E547" s="233"/>
      <c r="F547" s="6"/>
      <c r="G547" s="6"/>
      <c r="H547" s="6"/>
    </row>
    <row r="548" spans="2:8" x14ac:dyDescent="0.3">
      <c r="B548" s="6"/>
      <c r="C548" s="6"/>
      <c r="D548" s="6"/>
      <c r="E548" s="233"/>
      <c r="F548" s="6"/>
      <c r="G548" s="6"/>
      <c r="H548" s="6"/>
    </row>
    <row r="549" spans="2:8" x14ac:dyDescent="0.3">
      <c r="B549" s="6"/>
      <c r="C549" s="6"/>
      <c r="D549" s="6"/>
      <c r="E549" s="233"/>
      <c r="F549" s="6"/>
      <c r="G549" s="6"/>
      <c r="H549" s="6"/>
    </row>
    <row r="550" spans="2:8" x14ac:dyDescent="0.3">
      <c r="B550" s="6"/>
      <c r="C550" s="6"/>
      <c r="D550" s="6"/>
      <c r="E550" s="233"/>
      <c r="F550" s="6"/>
      <c r="G550" s="6"/>
      <c r="H550" s="6"/>
    </row>
    <row r="551" spans="2:8" x14ac:dyDescent="0.3">
      <c r="B551" s="6"/>
      <c r="C551" s="6"/>
      <c r="D551" s="6"/>
      <c r="E551" s="233"/>
      <c r="F551" s="6"/>
      <c r="G551" s="6"/>
      <c r="H551" s="6"/>
    </row>
    <row r="552" spans="2:8" x14ac:dyDescent="0.3">
      <c r="B552" s="6"/>
      <c r="C552" s="6"/>
      <c r="D552" s="6"/>
      <c r="E552" s="233"/>
      <c r="F552" s="6"/>
      <c r="G552" s="6"/>
      <c r="H552" s="6"/>
    </row>
    <row r="553" spans="2:8" x14ac:dyDescent="0.3">
      <c r="B553" s="6"/>
      <c r="C553" s="6"/>
      <c r="D553" s="6"/>
      <c r="E553" s="233"/>
      <c r="F553" s="6"/>
      <c r="G553" s="6"/>
      <c r="H553" s="6"/>
    </row>
    <row r="554" spans="2:8" x14ac:dyDescent="0.3">
      <c r="B554" s="6"/>
      <c r="C554" s="6"/>
      <c r="D554" s="6"/>
      <c r="E554" s="233"/>
      <c r="F554" s="6"/>
      <c r="G554" s="6"/>
      <c r="H554" s="6"/>
    </row>
    <row r="555" spans="2:8" x14ac:dyDescent="0.3">
      <c r="B555" s="6"/>
      <c r="C555" s="6"/>
      <c r="D555" s="6"/>
      <c r="E555" s="233"/>
      <c r="F555" s="6"/>
      <c r="G555" s="6"/>
      <c r="H555" s="6"/>
    </row>
    <row r="556" spans="2:8" x14ac:dyDescent="0.3">
      <c r="B556" s="6"/>
      <c r="C556" s="6"/>
      <c r="D556" s="6"/>
      <c r="E556" s="233"/>
      <c r="F556" s="6"/>
      <c r="G556" s="6"/>
      <c r="H556" s="6"/>
    </row>
    <row r="557" spans="2:8" x14ac:dyDescent="0.3">
      <c r="B557" s="6"/>
      <c r="C557" s="6"/>
      <c r="D557" s="6"/>
      <c r="E557" s="233"/>
      <c r="F557" s="6"/>
      <c r="G557" s="6"/>
      <c r="H557" s="6"/>
    </row>
    <row r="558" spans="2:8" x14ac:dyDescent="0.3">
      <c r="B558" s="6"/>
      <c r="C558" s="6"/>
      <c r="D558" s="6"/>
      <c r="E558" s="233"/>
      <c r="F558" s="6"/>
      <c r="G558" s="6"/>
      <c r="H558" s="6"/>
    </row>
    <row r="559" spans="2:8" x14ac:dyDescent="0.3">
      <c r="B559" s="6"/>
      <c r="C559" s="6"/>
      <c r="D559" s="6"/>
      <c r="E559" s="233"/>
      <c r="F559" s="6"/>
      <c r="G559" s="6"/>
      <c r="H559" s="6"/>
    </row>
    <row r="560" spans="2:8" x14ac:dyDescent="0.3">
      <c r="B560" s="6"/>
      <c r="C560" s="6"/>
      <c r="D560" s="6"/>
      <c r="E560" s="233"/>
      <c r="F560" s="6"/>
      <c r="G560" s="6"/>
      <c r="H560" s="6"/>
    </row>
    <row r="561" spans="2:8" x14ac:dyDescent="0.3">
      <c r="B561" s="6"/>
      <c r="C561" s="6"/>
      <c r="D561" s="6"/>
      <c r="E561" s="233"/>
      <c r="F561" s="6"/>
      <c r="G561" s="6"/>
      <c r="H561" s="6"/>
    </row>
    <row r="562" spans="2:8" x14ac:dyDescent="0.3">
      <c r="B562" s="6"/>
      <c r="C562" s="6"/>
      <c r="D562" s="6"/>
      <c r="E562" s="233"/>
      <c r="F562" s="6"/>
      <c r="G562" s="6"/>
      <c r="H562" s="6"/>
    </row>
    <row r="563" spans="2:8" x14ac:dyDescent="0.3">
      <c r="B563" s="6"/>
      <c r="C563" s="6"/>
      <c r="D563" s="6"/>
      <c r="E563" s="233"/>
      <c r="F563" s="6"/>
      <c r="G563" s="6"/>
      <c r="H563" s="6"/>
    </row>
    <row r="564" spans="2:8" x14ac:dyDescent="0.3">
      <c r="B564" s="6"/>
      <c r="C564" s="6"/>
      <c r="D564" s="6"/>
      <c r="E564" s="233"/>
      <c r="F564" s="6"/>
      <c r="G564" s="6"/>
      <c r="H564" s="6"/>
    </row>
    <row r="565" spans="2:8" x14ac:dyDescent="0.3">
      <c r="B565" s="6"/>
      <c r="C565" s="6"/>
      <c r="D565" s="6"/>
      <c r="E565" s="233"/>
      <c r="F565" s="6"/>
      <c r="G565" s="6"/>
      <c r="H565" s="6"/>
    </row>
    <row r="566" spans="2:8" x14ac:dyDescent="0.3">
      <c r="B566" s="6"/>
      <c r="C566" s="6"/>
      <c r="D566" s="6"/>
      <c r="E566" s="233"/>
      <c r="F566" s="6"/>
      <c r="G566" s="6"/>
      <c r="H566" s="6"/>
    </row>
    <row r="567" spans="2:8" x14ac:dyDescent="0.3">
      <c r="B567" s="6"/>
      <c r="C567" s="6"/>
      <c r="D567" s="6"/>
      <c r="E567" s="233"/>
      <c r="F567" s="6"/>
      <c r="G567" s="6"/>
      <c r="H567" s="6"/>
    </row>
    <row r="568" spans="2:8" x14ac:dyDescent="0.3">
      <c r="B568" s="6"/>
      <c r="C568" s="6"/>
      <c r="D568" s="6"/>
      <c r="E568" s="233"/>
      <c r="F568" s="6"/>
      <c r="G568" s="6"/>
      <c r="H568" s="6"/>
    </row>
    <row r="569" spans="2:8" x14ac:dyDescent="0.3">
      <c r="B569" s="6"/>
      <c r="C569" s="6"/>
      <c r="D569" s="6"/>
      <c r="E569" s="233"/>
      <c r="F569" s="6"/>
      <c r="G569" s="6"/>
      <c r="H569" s="6"/>
    </row>
    <row r="570" spans="2:8" x14ac:dyDescent="0.3">
      <c r="B570" s="6"/>
      <c r="C570" s="6"/>
      <c r="D570" s="6"/>
      <c r="E570" s="233"/>
      <c r="F570" s="6"/>
      <c r="G570" s="6"/>
      <c r="H570" s="6"/>
    </row>
    <row r="571" spans="2:8" x14ac:dyDescent="0.3">
      <c r="B571" s="6"/>
      <c r="C571" s="6"/>
      <c r="D571" s="6"/>
      <c r="E571" s="233"/>
      <c r="F571" s="6"/>
      <c r="G571" s="6"/>
      <c r="H571" s="6"/>
    </row>
    <row r="572" spans="2:8" x14ac:dyDescent="0.3">
      <c r="B572" s="6"/>
      <c r="C572" s="6"/>
      <c r="D572" s="6"/>
      <c r="E572" s="233"/>
      <c r="F572" s="6"/>
      <c r="G572" s="6"/>
      <c r="H572" s="6"/>
    </row>
    <row r="573" spans="2:8" x14ac:dyDescent="0.3">
      <c r="B573" s="6"/>
      <c r="C573" s="6"/>
      <c r="D573" s="6"/>
      <c r="E573" s="233"/>
      <c r="F573" s="6"/>
      <c r="G573" s="6"/>
      <c r="H573" s="6"/>
    </row>
    <row r="574" spans="2:8" x14ac:dyDescent="0.3">
      <c r="B574" s="6"/>
      <c r="C574" s="6"/>
      <c r="D574" s="6"/>
      <c r="E574" s="233"/>
      <c r="F574" s="6"/>
      <c r="G574" s="6"/>
      <c r="H574" s="6"/>
    </row>
    <row r="575" spans="2:8" x14ac:dyDescent="0.3">
      <c r="B575" s="6"/>
      <c r="C575" s="6"/>
      <c r="D575" s="6"/>
      <c r="E575" s="233"/>
      <c r="F575" s="6"/>
      <c r="G575" s="6"/>
      <c r="H575" s="6"/>
    </row>
    <row r="576" spans="2:8" x14ac:dyDescent="0.3">
      <c r="B576" s="6"/>
      <c r="C576" s="6"/>
      <c r="D576" s="6"/>
      <c r="E576" s="233"/>
      <c r="F576" s="6"/>
      <c r="G576" s="6"/>
      <c r="H576" s="6"/>
    </row>
    <row r="577" spans="2:8" x14ac:dyDescent="0.3">
      <c r="B577" s="6"/>
      <c r="C577" s="6"/>
      <c r="D577" s="6"/>
      <c r="E577" s="233"/>
      <c r="F577" s="6"/>
      <c r="G577" s="6"/>
      <c r="H577" s="6"/>
    </row>
    <row r="578" spans="2:8" x14ac:dyDescent="0.3">
      <c r="B578" s="6"/>
      <c r="C578" s="6"/>
      <c r="D578" s="6"/>
      <c r="E578" s="233"/>
      <c r="F578" s="6"/>
      <c r="G578" s="6"/>
      <c r="H578" s="6"/>
    </row>
    <row r="579" spans="2:8" x14ac:dyDescent="0.3">
      <c r="B579" s="6"/>
      <c r="C579" s="6"/>
      <c r="D579" s="6"/>
      <c r="E579" s="233"/>
      <c r="F579" s="6"/>
      <c r="G579" s="6"/>
      <c r="H579" s="6"/>
    </row>
    <row r="580" spans="2:8" x14ac:dyDescent="0.3">
      <c r="B580" s="6"/>
      <c r="C580" s="6"/>
      <c r="D580" s="6"/>
      <c r="E580" s="233"/>
      <c r="F580" s="6"/>
      <c r="G580" s="6"/>
      <c r="H580" s="6"/>
    </row>
    <row r="581" spans="2:8" x14ac:dyDescent="0.3">
      <c r="B581" s="6"/>
      <c r="C581" s="6"/>
      <c r="D581" s="6"/>
      <c r="E581" s="233"/>
      <c r="F581" s="6"/>
      <c r="G581" s="6"/>
      <c r="H581" s="6"/>
    </row>
    <row r="582" spans="2:8" x14ac:dyDescent="0.3">
      <c r="B582" s="6"/>
      <c r="C582" s="6"/>
      <c r="D582" s="6"/>
      <c r="E582" s="233"/>
      <c r="F582" s="6"/>
      <c r="G582" s="6"/>
      <c r="H582" s="6"/>
    </row>
    <row r="583" spans="2:8" x14ac:dyDescent="0.3">
      <c r="B583" s="6"/>
      <c r="C583" s="6"/>
      <c r="D583" s="6"/>
      <c r="E583" s="233"/>
      <c r="F583" s="6"/>
      <c r="G583" s="6"/>
      <c r="H583" s="6"/>
    </row>
    <row r="584" spans="2:8" x14ac:dyDescent="0.3">
      <c r="B584" s="6"/>
      <c r="C584" s="6"/>
      <c r="D584" s="6"/>
      <c r="E584" s="233"/>
      <c r="F584" s="6"/>
      <c r="G584" s="6"/>
      <c r="H584" s="6"/>
    </row>
    <row r="585" spans="2:8" x14ac:dyDescent="0.3">
      <c r="B585" s="6"/>
      <c r="C585" s="6"/>
      <c r="D585" s="6"/>
      <c r="E585" s="233"/>
      <c r="F585" s="6"/>
      <c r="G585" s="6"/>
      <c r="H585" s="6"/>
    </row>
    <row r="586" spans="2:8" x14ac:dyDescent="0.3">
      <c r="B586" s="6"/>
      <c r="C586" s="6"/>
      <c r="D586" s="6"/>
      <c r="E586" s="233"/>
      <c r="F586" s="6"/>
      <c r="G586" s="6"/>
      <c r="H586" s="6"/>
    </row>
    <row r="587" spans="2:8" x14ac:dyDescent="0.3">
      <c r="B587" s="6"/>
      <c r="C587" s="6"/>
      <c r="D587" s="6"/>
      <c r="E587" s="233"/>
      <c r="F587" s="6"/>
      <c r="G587" s="6"/>
      <c r="H587" s="6"/>
    </row>
    <row r="588" spans="2:8" x14ac:dyDescent="0.3">
      <c r="B588" s="6"/>
      <c r="C588" s="6"/>
      <c r="D588" s="6"/>
      <c r="E588" s="233"/>
      <c r="F588" s="6"/>
      <c r="G588" s="6"/>
      <c r="H588" s="6"/>
    </row>
    <row r="589" spans="2:8" x14ac:dyDescent="0.3">
      <c r="B589" s="6"/>
      <c r="C589" s="6"/>
      <c r="D589" s="6"/>
      <c r="E589" s="233"/>
      <c r="F589" s="6"/>
      <c r="G589" s="6"/>
      <c r="H589" s="6"/>
    </row>
    <row r="590" spans="2:8" x14ac:dyDescent="0.3">
      <c r="B590" s="6"/>
      <c r="C590" s="6"/>
      <c r="D590" s="6"/>
      <c r="E590" s="233"/>
      <c r="F590" s="6"/>
      <c r="G590" s="6"/>
      <c r="H590" s="6"/>
    </row>
    <row r="591" spans="2:8" x14ac:dyDescent="0.3">
      <c r="B591" s="6"/>
      <c r="C591" s="6"/>
      <c r="D591" s="6"/>
      <c r="E591" s="233"/>
      <c r="F591" s="6"/>
      <c r="G591" s="6"/>
      <c r="H591" s="6"/>
    </row>
    <row r="592" spans="2:8" x14ac:dyDescent="0.3">
      <c r="B592" s="6"/>
      <c r="C592" s="6"/>
      <c r="D592" s="6"/>
      <c r="E592" s="233"/>
      <c r="F592" s="6"/>
      <c r="G592" s="6"/>
      <c r="H592" s="6"/>
    </row>
    <row r="593" spans="2:8" x14ac:dyDescent="0.3">
      <c r="B593" s="6"/>
      <c r="C593" s="6"/>
      <c r="D593" s="6"/>
      <c r="E593" s="233"/>
      <c r="F593" s="6"/>
      <c r="G593" s="6"/>
      <c r="H593" s="6"/>
    </row>
    <row r="594" spans="2:8" x14ac:dyDescent="0.3">
      <c r="B594" s="6"/>
      <c r="C594" s="6"/>
      <c r="D594" s="6"/>
      <c r="E594" s="233"/>
      <c r="F594" s="6"/>
      <c r="G594" s="6"/>
      <c r="H594" s="6"/>
    </row>
    <row r="595" spans="2:8" x14ac:dyDescent="0.3">
      <c r="B595" s="6"/>
      <c r="C595" s="6"/>
      <c r="D595" s="6"/>
      <c r="E595" s="233"/>
      <c r="F595" s="6"/>
      <c r="G595" s="6"/>
      <c r="H595" s="6"/>
    </row>
    <row r="596" spans="2:8" x14ac:dyDescent="0.3">
      <c r="B596" s="6"/>
      <c r="C596" s="6"/>
      <c r="D596" s="6"/>
      <c r="E596" s="233"/>
      <c r="F596" s="6"/>
      <c r="G596" s="6"/>
      <c r="H596" s="6"/>
    </row>
    <row r="597" spans="2:8" x14ac:dyDescent="0.3">
      <c r="B597" s="6"/>
      <c r="C597" s="6"/>
      <c r="D597" s="6"/>
      <c r="E597" s="233"/>
      <c r="F597" s="6"/>
      <c r="G597" s="6"/>
      <c r="H597" s="6"/>
    </row>
    <row r="598" spans="2:8" x14ac:dyDescent="0.3">
      <c r="B598" s="6"/>
      <c r="C598" s="6"/>
      <c r="D598" s="6"/>
      <c r="E598" s="233"/>
      <c r="F598" s="6"/>
      <c r="G598" s="6"/>
      <c r="H598" s="6"/>
    </row>
    <row r="599" spans="2:8" x14ac:dyDescent="0.3">
      <c r="B599" s="6"/>
      <c r="C599" s="6"/>
      <c r="D599" s="6"/>
      <c r="E599" s="233"/>
      <c r="F599" s="6"/>
      <c r="G599" s="6"/>
      <c r="H599" s="6"/>
    </row>
    <row r="600" spans="2:8" x14ac:dyDescent="0.3">
      <c r="B600" s="6"/>
      <c r="C600" s="6"/>
      <c r="D600" s="6"/>
      <c r="E600" s="233"/>
      <c r="F600" s="6"/>
      <c r="G600" s="6"/>
      <c r="H600" s="6"/>
    </row>
    <row r="601" spans="2:8" x14ac:dyDescent="0.3">
      <c r="B601" s="6"/>
      <c r="C601" s="6"/>
      <c r="D601" s="6"/>
      <c r="E601" s="233"/>
      <c r="F601" s="6"/>
      <c r="G601" s="6"/>
      <c r="H601" s="6"/>
    </row>
    <row r="602" spans="2:8" x14ac:dyDescent="0.3">
      <c r="B602" s="6"/>
      <c r="C602" s="6"/>
      <c r="D602" s="6"/>
      <c r="E602" s="233"/>
      <c r="F602" s="6"/>
      <c r="G602" s="6"/>
      <c r="H602" s="6"/>
    </row>
    <row r="603" spans="2:8" x14ac:dyDescent="0.3">
      <c r="B603" s="6"/>
      <c r="C603" s="6"/>
      <c r="D603" s="6"/>
      <c r="E603" s="233"/>
      <c r="F603" s="6"/>
      <c r="G603" s="6"/>
      <c r="H603" s="6"/>
    </row>
    <row r="604" spans="2:8" x14ac:dyDescent="0.3">
      <c r="B604" s="6"/>
      <c r="C604" s="6"/>
      <c r="D604" s="6"/>
      <c r="E604" s="233"/>
      <c r="F604" s="6"/>
      <c r="G604" s="6"/>
      <c r="H604" s="6"/>
    </row>
    <row r="605" spans="2:8" x14ac:dyDescent="0.3">
      <c r="B605" s="6"/>
      <c r="C605" s="6"/>
      <c r="D605" s="6"/>
      <c r="E605" s="233"/>
      <c r="F605" s="6"/>
      <c r="G605" s="6"/>
      <c r="H605" s="6"/>
    </row>
    <row r="606" spans="2:8" x14ac:dyDescent="0.3">
      <c r="B606" s="6"/>
      <c r="C606" s="6"/>
      <c r="D606" s="6"/>
      <c r="E606" s="233"/>
      <c r="F606" s="6"/>
      <c r="G606" s="6"/>
      <c r="H606" s="6"/>
    </row>
    <row r="607" spans="2:8" x14ac:dyDescent="0.3">
      <c r="B607" s="6"/>
      <c r="C607" s="6"/>
      <c r="D607" s="6"/>
      <c r="E607" s="233"/>
      <c r="F607" s="6"/>
      <c r="G607" s="6"/>
      <c r="H607" s="6"/>
    </row>
    <row r="608" spans="2:8" x14ac:dyDescent="0.3">
      <c r="B608" s="6"/>
      <c r="C608" s="6"/>
      <c r="D608" s="6"/>
      <c r="E608" s="233"/>
      <c r="F608" s="6"/>
      <c r="G608" s="6"/>
      <c r="H608" s="6"/>
    </row>
    <row r="609" spans="2:8" x14ac:dyDescent="0.3">
      <c r="B609" s="6"/>
      <c r="C609" s="6"/>
      <c r="D609" s="6"/>
      <c r="E609" s="233"/>
      <c r="F609" s="6"/>
      <c r="G609" s="6"/>
      <c r="H609" s="6"/>
    </row>
    <row r="610" spans="2:8" x14ac:dyDescent="0.3">
      <c r="B610" s="6"/>
      <c r="C610" s="6"/>
      <c r="D610" s="6"/>
      <c r="E610" s="233"/>
      <c r="F610" s="6"/>
      <c r="G610" s="6"/>
      <c r="H610" s="6"/>
    </row>
    <row r="611" spans="2:8" x14ac:dyDescent="0.3">
      <c r="B611" s="6"/>
      <c r="C611" s="6"/>
      <c r="D611" s="6"/>
      <c r="E611" s="233"/>
      <c r="F611" s="6"/>
      <c r="G611" s="6"/>
      <c r="H611" s="6"/>
    </row>
    <row r="612" spans="2:8" x14ac:dyDescent="0.3">
      <c r="B612" s="6"/>
      <c r="C612" s="6"/>
      <c r="D612" s="6"/>
      <c r="E612" s="233"/>
      <c r="F612" s="6"/>
      <c r="G612" s="6"/>
      <c r="H612" s="6"/>
    </row>
    <row r="613" spans="2:8" x14ac:dyDescent="0.3">
      <c r="B613" s="6"/>
      <c r="C613" s="6"/>
      <c r="D613" s="6"/>
      <c r="E613" s="233"/>
      <c r="F613" s="6"/>
      <c r="G613" s="6"/>
      <c r="H613" s="6"/>
    </row>
    <row r="614" spans="2:8" x14ac:dyDescent="0.3">
      <c r="B614" s="6"/>
      <c r="C614" s="6"/>
      <c r="D614" s="6"/>
      <c r="E614" s="233"/>
      <c r="F614" s="6"/>
      <c r="G614" s="6"/>
      <c r="H614" s="6"/>
    </row>
    <row r="615" spans="2:8" x14ac:dyDescent="0.3">
      <c r="B615" s="6"/>
      <c r="C615" s="6"/>
      <c r="D615" s="6"/>
      <c r="E615" s="233"/>
      <c r="F615" s="6"/>
      <c r="G615" s="6"/>
      <c r="H615" s="6"/>
    </row>
    <row r="616" spans="2:8" x14ac:dyDescent="0.3">
      <c r="B616" s="6"/>
      <c r="C616" s="6"/>
      <c r="D616" s="6"/>
      <c r="E616" s="233"/>
      <c r="F616" s="6"/>
      <c r="G616" s="6"/>
      <c r="H616" s="6"/>
    </row>
    <row r="617" spans="2:8" x14ac:dyDescent="0.3">
      <c r="B617" s="6"/>
      <c r="C617" s="6"/>
      <c r="D617" s="6"/>
      <c r="E617" s="233"/>
      <c r="F617" s="6"/>
      <c r="G617" s="6"/>
      <c r="H617" s="6"/>
    </row>
    <row r="618" spans="2:8" x14ac:dyDescent="0.3">
      <c r="B618" s="6"/>
      <c r="C618" s="6"/>
      <c r="D618" s="6"/>
      <c r="E618" s="233"/>
      <c r="F618" s="6"/>
      <c r="G618" s="6"/>
      <c r="H618" s="6"/>
    </row>
    <row r="619" spans="2:8" x14ac:dyDescent="0.3">
      <c r="B619" s="6"/>
      <c r="C619" s="6"/>
      <c r="D619" s="6"/>
      <c r="E619" s="233"/>
      <c r="F619" s="6"/>
      <c r="G619" s="6"/>
      <c r="H619" s="6"/>
    </row>
    <row r="620" spans="2:8" x14ac:dyDescent="0.3">
      <c r="B620" s="6"/>
      <c r="C620" s="6"/>
      <c r="D620" s="6"/>
      <c r="E620" s="233"/>
      <c r="F620" s="6"/>
      <c r="G620" s="6"/>
      <c r="H620" s="6"/>
    </row>
    <row r="621" spans="2:8" x14ac:dyDescent="0.3">
      <c r="B621" s="6"/>
      <c r="C621" s="6"/>
      <c r="D621" s="6"/>
      <c r="E621" s="233"/>
      <c r="F621" s="6"/>
      <c r="G621" s="6"/>
      <c r="H621" s="6"/>
    </row>
    <row r="622" spans="2:8" x14ac:dyDescent="0.3">
      <c r="B622" s="6"/>
      <c r="C622" s="6"/>
      <c r="D622" s="6"/>
      <c r="E622" s="233"/>
      <c r="F622" s="6"/>
      <c r="G622" s="6"/>
      <c r="H622" s="6"/>
    </row>
    <row r="623" spans="2:8" x14ac:dyDescent="0.3">
      <c r="B623" s="6"/>
      <c r="C623" s="6"/>
      <c r="D623" s="6"/>
      <c r="E623" s="233"/>
      <c r="F623" s="6"/>
      <c r="G623" s="6"/>
      <c r="H623" s="6"/>
    </row>
    <row r="624" spans="2:8" x14ac:dyDescent="0.3">
      <c r="B624" s="6"/>
      <c r="C624" s="6"/>
      <c r="D624" s="6"/>
      <c r="E624" s="233"/>
      <c r="F624" s="6"/>
      <c r="G624" s="6"/>
      <c r="H624" s="6"/>
    </row>
    <row r="625" spans="2:8" x14ac:dyDescent="0.3">
      <c r="B625" s="6"/>
      <c r="C625" s="6"/>
      <c r="D625" s="6"/>
      <c r="E625" s="233"/>
      <c r="F625" s="6"/>
      <c r="G625" s="6"/>
      <c r="H625" s="6"/>
    </row>
    <row r="626" spans="2:8" x14ac:dyDescent="0.3">
      <c r="B626" s="6"/>
      <c r="C626" s="6"/>
      <c r="D626" s="6"/>
      <c r="E626" s="233"/>
      <c r="F626" s="6"/>
      <c r="G626" s="6"/>
      <c r="H626" s="6"/>
    </row>
    <row r="627" spans="2:8" x14ac:dyDescent="0.3">
      <c r="B627" s="6"/>
      <c r="C627" s="6"/>
      <c r="D627" s="6"/>
      <c r="E627" s="233"/>
      <c r="F627" s="6"/>
      <c r="G627" s="6"/>
      <c r="H627" s="6"/>
    </row>
    <row r="628" spans="2:8" x14ac:dyDescent="0.3">
      <c r="B628" s="6"/>
      <c r="C628" s="6"/>
      <c r="D628" s="6"/>
      <c r="E628" s="233"/>
      <c r="F628" s="6"/>
      <c r="G628" s="6"/>
      <c r="H628" s="6"/>
    </row>
    <row r="629" spans="2:8" x14ac:dyDescent="0.3">
      <c r="B629" s="6"/>
      <c r="C629" s="6"/>
      <c r="D629" s="6"/>
      <c r="E629" s="233"/>
      <c r="F629" s="6"/>
      <c r="G629" s="6"/>
      <c r="H629" s="6"/>
    </row>
    <row r="630" spans="2:8" x14ac:dyDescent="0.3">
      <c r="B630" s="6"/>
      <c r="C630" s="6"/>
      <c r="D630" s="6"/>
      <c r="E630" s="233"/>
      <c r="F630" s="6"/>
      <c r="G630" s="6"/>
      <c r="H630" s="6"/>
    </row>
    <row r="631" spans="2:8" x14ac:dyDescent="0.3">
      <c r="B631" s="6"/>
      <c r="C631" s="6"/>
      <c r="D631" s="6"/>
      <c r="E631" s="233"/>
      <c r="F631" s="6"/>
      <c r="G631" s="6"/>
      <c r="H631" s="6"/>
    </row>
    <row r="632" spans="2:8" x14ac:dyDescent="0.3">
      <c r="B632" s="6"/>
      <c r="C632" s="6"/>
      <c r="D632" s="6"/>
      <c r="E632" s="233"/>
      <c r="F632" s="6"/>
      <c r="G632" s="6"/>
      <c r="H632" s="6"/>
    </row>
    <row r="633" spans="2:8" x14ac:dyDescent="0.3">
      <c r="B633" s="6"/>
      <c r="C633" s="6"/>
      <c r="D633" s="6"/>
      <c r="E633" s="233"/>
      <c r="F633" s="6"/>
      <c r="G633" s="6"/>
      <c r="H633" s="6"/>
    </row>
    <row r="634" spans="2:8" x14ac:dyDescent="0.3">
      <c r="B634" s="6"/>
      <c r="C634" s="6"/>
      <c r="D634" s="6"/>
      <c r="E634" s="233"/>
      <c r="F634" s="6"/>
      <c r="G634" s="6"/>
      <c r="H634" s="6"/>
    </row>
    <row r="635" spans="2:8" x14ac:dyDescent="0.3">
      <c r="B635" s="6"/>
      <c r="C635" s="6"/>
      <c r="D635" s="6"/>
      <c r="E635" s="233"/>
      <c r="F635" s="6"/>
      <c r="G635" s="6"/>
      <c r="H635" s="6"/>
    </row>
    <row r="636" spans="2:8" x14ac:dyDescent="0.3">
      <c r="B636" s="6"/>
      <c r="C636" s="6"/>
      <c r="D636" s="6"/>
      <c r="E636" s="233"/>
      <c r="F636" s="6"/>
      <c r="G636" s="6"/>
      <c r="H636" s="6"/>
    </row>
    <row r="637" spans="2:8" x14ac:dyDescent="0.3">
      <c r="B637" s="6"/>
      <c r="C637" s="6"/>
      <c r="D637" s="6"/>
      <c r="E637" s="233"/>
      <c r="F637" s="6"/>
      <c r="G637" s="6"/>
      <c r="H637" s="6"/>
    </row>
    <row r="638" spans="2:8" x14ac:dyDescent="0.3">
      <c r="B638" s="6"/>
      <c r="C638" s="6"/>
      <c r="D638" s="6"/>
      <c r="E638" s="233"/>
      <c r="F638" s="6"/>
      <c r="G638" s="6"/>
      <c r="H638" s="6"/>
    </row>
    <row r="639" spans="2:8" x14ac:dyDescent="0.3">
      <c r="B639" s="6"/>
      <c r="C639" s="6"/>
      <c r="D639" s="6"/>
      <c r="E639" s="233"/>
      <c r="F639" s="6"/>
      <c r="G639" s="6"/>
      <c r="H639" s="6"/>
    </row>
    <row r="640" spans="2:8" x14ac:dyDescent="0.3">
      <c r="B640" s="6"/>
      <c r="C640" s="6"/>
      <c r="D640" s="6"/>
      <c r="E640" s="233"/>
      <c r="F640" s="6"/>
      <c r="G640" s="6"/>
      <c r="H640" s="6"/>
    </row>
    <row r="641" spans="2:8" x14ac:dyDescent="0.3">
      <c r="B641" s="6"/>
      <c r="C641" s="6"/>
      <c r="D641" s="6"/>
      <c r="E641" s="233"/>
      <c r="F641" s="6"/>
      <c r="G641" s="6"/>
      <c r="H641" s="6"/>
    </row>
    <row r="642" spans="2:8" x14ac:dyDescent="0.3">
      <c r="B642" s="6"/>
      <c r="C642" s="6"/>
      <c r="D642" s="6"/>
      <c r="E642" s="233"/>
      <c r="F642" s="6"/>
      <c r="G642" s="6"/>
      <c r="H642" s="6"/>
    </row>
    <row r="643" spans="2:8" x14ac:dyDescent="0.3">
      <c r="B643" s="6"/>
      <c r="C643" s="6"/>
      <c r="D643" s="6"/>
      <c r="E643" s="233"/>
      <c r="F643" s="6"/>
      <c r="G643" s="6"/>
      <c r="H643" s="6"/>
    </row>
    <row r="644" spans="2:8" x14ac:dyDescent="0.3">
      <c r="B644" s="6"/>
      <c r="C644" s="6"/>
      <c r="D644" s="6"/>
      <c r="E644" s="233"/>
      <c r="F644" s="6"/>
      <c r="G644" s="6"/>
      <c r="H644" s="6"/>
    </row>
    <row r="645" spans="2:8" x14ac:dyDescent="0.3">
      <c r="B645" s="6"/>
      <c r="C645" s="6"/>
      <c r="D645" s="6"/>
      <c r="E645" s="233"/>
      <c r="F645" s="6"/>
      <c r="G645" s="6"/>
      <c r="H645" s="6"/>
    </row>
    <row r="646" spans="2:8" x14ac:dyDescent="0.3">
      <c r="B646" s="6"/>
      <c r="C646" s="6"/>
      <c r="D646" s="6"/>
      <c r="E646" s="233"/>
      <c r="F646" s="6"/>
      <c r="G646" s="6"/>
      <c r="H646" s="6"/>
    </row>
    <row r="647" spans="2:8" x14ac:dyDescent="0.3">
      <c r="B647" s="6"/>
      <c r="C647" s="6"/>
      <c r="D647" s="6"/>
      <c r="E647" s="233"/>
      <c r="F647" s="6"/>
      <c r="G647" s="6"/>
      <c r="H647" s="6"/>
    </row>
    <row r="648" spans="2:8" x14ac:dyDescent="0.3">
      <c r="B648" s="6"/>
      <c r="C648" s="6"/>
      <c r="D648" s="6"/>
      <c r="E648" s="233"/>
      <c r="F648" s="6"/>
      <c r="G648" s="6"/>
      <c r="H648" s="6"/>
    </row>
    <row r="649" spans="2:8" x14ac:dyDescent="0.3">
      <c r="B649" s="6"/>
      <c r="C649" s="6"/>
      <c r="D649" s="6"/>
      <c r="E649" s="233"/>
      <c r="F649" s="6"/>
      <c r="G649" s="6"/>
      <c r="H649" s="6"/>
    </row>
    <row r="650" spans="2:8" x14ac:dyDescent="0.3">
      <c r="B650" s="6"/>
      <c r="C650" s="6"/>
      <c r="D650" s="6"/>
      <c r="E650" s="233"/>
      <c r="F650" s="6"/>
      <c r="G650" s="6"/>
      <c r="H650" s="6"/>
    </row>
    <row r="651" spans="2:8" x14ac:dyDescent="0.3">
      <c r="B651" s="6"/>
      <c r="C651" s="6"/>
      <c r="D651" s="6"/>
      <c r="E651" s="233"/>
      <c r="F651" s="6"/>
      <c r="G651" s="6"/>
      <c r="H651" s="6"/>
    </row>
    <row r="652" spans="2:8" x14ac:dyDescent="0.3">
      <c r="B652" s="6"/>
      <c r="C652" s="6"/>
      <c r="D652" s="6"/>
      <c r="E652" s="233"/>
      <c r="F652" s="6"/>
      <c r="G652" s="6"/>
      <c r="H652" s="6"/>
    </row>
    <row r="653" spans="2:8" x14ac:dyDescent="0.3">
      <c r="B653" s="6"/>
      <c r="C653" s="6"/>
      <c r="D653" s="6"/>
      <c r="E653" s="233"/>
      <c r="F653" s="6"/>
      <c r="G653" s="6"/>
      <c r="H653" s="6"/>
    </row>
    <row r="654" spans="2:8" x14ac:dyDescent="0.3">
      <c r="B654" s="6"/>
      <c r="C654" s="6"/>
      <c r="D654" s="6"/>
      <c r="E654" s="233"/>
      <c r="F654" s="6"/>
      <c r="G654" s="6"/>
      <c r="H654" s="6"/>
    </row>
    <row r="655" spans="2:8" x14ac:dyDescent="0.3">
      <c r="B655" s="6"/>
      <c r="C655" s="6"/>
      <c r="D655" s="6"/>
      <c r="E655" s="233"/>
      <c r="F655" s="6"/>
      <c r="G655" s="6"/>
      <c r="H655" s="6"/>
    </row>
    <row r="656" spans="2:8" x14ac:dyDescent="0.3">
      <c r="B656" s="6"/>
      <c r="C656" s="6"/>
      <c r="D656" s="6"/>
      <c r="E656" s="233"/>
      <c r="F656" s="6"/>
      <c r="G656" s="6"/>
      <c r="H656" s="6"/>
    </row>
    <row r="657" spans="2:8" x14ac:dyDescent="0.3">
      <c r="B657" s="6"/>
      <c r="C657" s="6"/>
      <c r="D657" s="6"/>
      <c r="E657" s="233"/>
      <c r="F657" s="6"/>
      <c r="G657" s="6"/>
      <c r="H657" s="6"/>
    </row>
    <row r="658" spans="2:8" x14ac:dyDescent="0.3">
      <c r="B658" s="6"/>
      <c r="C658" s="6"/>
      <c r="D658" s="6"/>
      <c r="E658" s="233"/>
      <c r="F658" s="6"/>
      <c r="G658" s="6"/>
      <c r="H658" s="6"/>
    </row>
    <row r="659" spans="2:8" x14ac:dyDescent="0.3">
      <c r="B659" s="6"/>
      <c r="C659" s="6"/>
      <c r="D659" s="6"/>
      <c r="E659" s="233"/>
      <c r="F659" s="6"/>
      <c r="G659" s="6"/>
      <c r="H659" s="6"/>
    </row>
    <row r="660" spans="2:8" x14ac:dyDescent="0.3">
      <c r="B660" s="6"/>
      <c r="C660" s="6"/>
      <c r="D660" s="6"/>
      <c r="E660" s="233"/>
      <c r="F660" s="6"/>
      <c r="G660" s="6"/>
      <c r="H660" s="6"/>
    </row>
    <row r="661" spans="2:8" x14ac:dyDescent="0.3">
      <c r="B661" s="6"/>
      <c r="C661" s="6"/>
      <c r="D661" s="6"/>
      <c r="E661" s="233"/>
      <c r="F661" s="6"/>
      <c r="G661" s="6"/>
      <c r="H661" s="6"/>
    </row>
    <row r="662" spans="2:8" x14ac:dyDescent="0.3">
      <c r="B662" s="6"/>
      <c r="C662" s="6"/>
      <c r="D662" s="6"/>
      <c r="E662" s="233"/>
      <c r="F662" s="6"/>
      <c r="G662" s="6"/>
      <c r="H662" s="6"/>
    </row>
    <row r="663" spans="2:8" x14ac:dyDescent="0.3">
      <c r="B663" s="6"/>
      <c r="C663" s="6"/>
      <c r="D663" s="6"/>
      <c r="E663" s="233"/>
      <c r="F663" s="6"/>
      <c r="G663" s="6"/>
      <c r="H663" s="6"/>
    </row>
    <row r="664" spans="2:8" x14ac:dyDescent="0.3">
      <c r="B664" s="6"/>
      <c r="C664" s="6"/>
      <c r="D664" s="6"/>
      <c r="E664" s="233"/>
      <c r="F664" s="6"/>
      <c r="G664" s="6"/>
      <c r="H664" s="6"/>
    </row>
    <row r="665" spans="2:8" x14ac:dyDescent="0.3">
      <c r="B665" s="6"/>
      <c r="C665" s="6"/>
      <c r="D665" s="6"/>
      <c r="E665" s="233"/>
      <c r="F665" s="6"/>
      <c r="G665" s="6"/>
      <c r="H665" s="6"/>
    </row>
    <row r="666" spans="2:8" x14ac:dyDescent="0.3">
      <c r="B666" s="6"/>
      <c r="C666" s="6"/>
      <c r="D666" s="6"/>
      <c r="E666" s="233"/>
      <c r="F666" s="6"/>
      <c r="G666" s="6"/>
      <c r="H666" s="6"/>
    </row>
    <row r="667" spans="2:8" x14ac:dyDescent="0.3">
      <c r="B667" s="6"/>
      <c r="C667" s="6"/>
      <c r="D667" s="6"/>
      <c r="E667" s="233"/>
      <c r="F667" s="6"/>
      <c r="G667" s="6"/>
      <c r="H667" s="6"/>
    </row>
    <row r="668" spans="2:8" x14ac:dyDescent="0.3">
      <c r="B668" s="6"/>
      <c r="C668" s="6"/>
      <c r="D668" s="6"/>
      <c r="E668" s="233"/>
      <c r="F668" s="6"/>
      <c r="G668" s="6"/>
      <c r="H668" s="6"/>
    </row>
    <row r="669" spans="2:8" x14ac:dyDescent="0.3">
      <c r="B669" s="6"/>
      <c r="C669" s="6"/>
      <c r="D669" s="6"/>
      <c r="E669" s="233"/>
      <c r="F669" s="6"/>
      <c r="G669" s="6"/>
      <c r="H669" s="6"/>
    </row>
    <row r="670" spans="2:8" x14ac:dyDescent="0.3">
      <c r="B670" s="6"/>
      <c r="C670" s="6"/>
      <c r="D670" s="6"/>
      <c r="E670" s="233"/>
      <c r="F670" s="6"/>
      <c r="G670" s="6"/>
      <c r="H670" s="6"/>
    </row>
    <row r="671" spans="2:8" x14ac:dyDescent="0.3">
      <c r="B671" s="6"/>
      <c r="C671" s="6"/>
      <c r="D671" s="6"/>
      <c r="E671" s="233"/>
      <c r="F671" s="6"/>
      <c r="G671" s="6"/>
      <c r="H671" s="6"/>
    </row>
    <row r="672" spans="2:8" x14ac:dyDescent="0.3">
      <c r="B672" s="6"/>
      <c r="C672" s="6"/>
      <c r="D672" s="6"/>
      <c r="E672" s="233"/>
      <c r="F672" s="6"/>
      <c r="G672" s="6"/>
      <c r="H672" s="6"/>
    </row>
    <row r="673" spans="2:8" x14ac:dyDescent="0.3">
      <c r="B673" s="6"/>
      <c r="C673" s="6"/>
      <c r="D673" s="6"/>
      <c r="E673" s="233"/>
      <c r="F673" s="6"/>
      <c r="G673" s="6"/>
      <c r="H673" s="6"/>
    </row>
    <row r="674" spans="2:8" x14ac:dyDescent="0.3">
      <c r="B674" s="6"/>
      <c r="C674" s="6"/>
      <c r="D674" s="6"/>
      <c r="E674" s="233"/>
      <c r="F674" s="6"/>
      <c r="G674" s="6"/>
      <c r="H674" s="6"/>
    </row>
    <row r="675" spans="2:8" x14ac:dyDescent="0.3">
      <c r="B675" s="6"/>
      <c r="C675" s="6"/>
      <c r="D675" s="6"/>
      <c r="E675" s="233"/>
      <c r="F675" s="6"/>
      <c r="G675" s="6"/>
      <c r="H675" s="6"/>
    </row>
    <row r="676" spans="2:8" x14ac:dyDescent="0.3">
      <c r="B676" s="6"/>
      <c r="C676" s="6"/>
      <c r="D676" s="6"/>
      <c r="E676" s="233"/>
      <c r="F676" s="6"/>
      <c r="G676" s="6"/>
      <c r="H676" s="6"/>
    </row>
    <row r="677" spans="2:8" x14ac:dyDescent="0.3">
      <c r="B677" s="6"/>
      <c r="C677" s="6"/>
      <c r="D677" s="6"/>
      <c r="E677" s="233"/>
      <c r="F677" s="6"/>
      <c r="G677" s="6"/>
      <c r="H677" s="6"/>
    </row>
    <row r="678" spans="2:8" x14ac:dyDescent="0.3">
      <c r="B678" s="6"/>
      <c r="C678" s="6"/>
      <c r="D678" s="6"/>
      <c r="E678" s="233"/>
      <c r="F678" s="6"/>
      <c r="G678" s="6"/>
      <c r="H678" s="6"/>
    </row>
    <row r="679" spans="2:8" x14ac:dyDescent="0.3">
      <c r="B679" s="6"/>
      <c r="C679" s="6"/>
      <c r="D679" s="6"/>
      <c r="E679" s="233"/>
      <c r="F679" s="6"/>
      <c r="G679" s="6"/>
      <c r="H679" s="6"/>
    </row>
    <row r="680" spans="2:8" x14ac:dyDescent="0.3">
      <c r="B680" s="6"/>
      <c r="C680" s="6"/>
      <c r="D680" s="6"/>
      <c r="E680" s="233"/>
      <c r="F680" s="6"/>
      <c r="G680" s="6"/>
      <c r="H680" s="6"/>
    </row>
    <row r="681" spans="2:8" x14ac:dyDescent="0.3">
      <c r="B681" s="6"/>
      <c r="C681" s="6"/>
      <c r="D681" s="6"/>
      <c r="E681" s="233"/>
      <c r="F681" s="6"/>
      <c r="G681" s="6"/>
      <c r="H681" s="6"/>
    </row>
    <row r="682" spans="2:8" x14ac:dyDescent="0.3">
      <c r="B682" s="6"/>
      <c r="C682" s="6"/>
      <c r="D682" s="6"/>
      <c r="E682" s="233"/>
      <c r="F682" s="6"/>
      <c r="G682" s="6"/>
      <c r="H682" s="6"/>
    </row>
    <row r="683" spans="2:8" x14ac:dyDescent="0.3">
      <c r="B683" s="6"/>
      <c r="C683" s="6"/>
      <c r="D683" s="6"/>
      <c r="E683" s="233"/>
      <c r="F683" s="6"/>
      <c r="G683" s="6"/>
      <c r="H683" s="6"/>
    </row>
    <row r="684" spans="2:8" x14ac:dyDescent="0.3">
      <c r="B684" s="6"/>
      <c r="C684" s="6"/>
      <c r="D684" s="6"/>
      <c r="E684" s="233"/>
      <c r="F684" s="6"/>
      <c r="G684" s="6"/>
      <c r="H684" s="6"/>
    </row>
    <row r="685" spans="2:8" x14ac:dyDescent="0.3">
      <c r="B685" s="6"/>
      <c r="C685" s="6"/>
      <c r="D685" s="6"/>
      <c r="E685" s="233"/>
      <c r="F685" s="6"/>
      <c r="G685" s="6"/>
      <c r="H685" s="6"/>
    </row>
    <row r="686" spans="2:8" x14ac:dyDescent="0.3">
      <c r="B686" s="6"/>
      <c r="C686" s="6"/>
      <c r="D686" s="6"/>
      <c r="E686" s="233"/>
      <c r="F686" s="6"/>
      <c r="G686" s="6"/>
      <c r="H686" s="6"/>
    </row>
    <row r="687" spans="2:8" x14ac:dyDescent="0.3">
      <c r="B687" s="6"/>
      <c r="C687" s="6"/>
      <c r="D687" s="6"/>
      <c r="E687" s="233"/>
      <c r="F687" s="6"/>
      <c r="G687" s="6"/>
      <c r="H687" s="6"/>
    </row>
    <row r="688" spans="2:8" x14ac:dyDescent="0.3">
      <c r="B688" s="6"/>
      <c r="C688" s="6"/>
      <c r="D688" s="6"/>
      <c r="E688" s="233"/>
      <c r="F688" s="6"/>
      <c r="G688" s="6"/>
      <c r="H688" s="6"/>
    </row>
    <row r="689" spans="2:8" x14ac:dyDescent="0.3">
      <c r="B689" s="6"/>
      <c r="C689" s="6"/>
      <c r="D689" s="6"/>
      <c r="E689" s="233"/>
      <c r="F689" s="6"/>
      <c r="G689" s="6"/>
      <c r="H689" s="6"/>
    </row>
    <row r="690" spans="2:8" x14ac:dyDescent="0.3">
      <c r="B690" s="6"/>
      <c r="C690" s="6"/>
      <c r="D690" s="6"/>
      <c r="E690" s="233"/>
      <c r="F690" s="6"/>
      <c r="G690" s="6"/>
      <c r="H690" s="6"/>
    </row>
    <row r="691" spans="2:8" x14ac:dyDescent="0.3">
      <c r="B691" s="6"/>
      <c r="C691" s="6"/>
      <c r="D691" s="6"/>
      <c r="E691" s="233"/>
      <c r="F691" s="6"/>
      <c r="G691" s="6"/>
      <c r="H691" s="6"/>
    </row>
    <row r="692" spans="2:8" x14ac:dyDescent="0.3">
      <c r="B692" s="6"/>
      <c r="C692" s="6"/>
      <c r="D692" s="6"/>
      <c r="E692" s="233"/>
      <c r="F692" s="6"/>
      <c r="G692" s="6"/>
      <c r="H692" s="6"/>
    </row>
    <row r="693" spans="2:8" x14ac:dyDescent="0.3">
      <c r="B693" s="6"/>
      <c r="C693" s="6"/>
      <c r="D693" s="6"/>
      <c r="E693" s="233"/>
      <c r="F693" s="6"/>
      <c r="G693" s="6"/>
      <c r="H693" s="6"/>
    </row>
    <row r="694" spans="2:8" x14ac:dyDescent="0.3">
      <c r="B694" s="6"/>
      <c r="C694" s="6"/>
      <c r="D694" s="6"/>
      <c r="E694" s="233"/>
      <c r="F694" s="6"/>
      <c r="G694" s="6"/>
      <c r="H694" s="6"/>
    </row>
    <row r="695" spans="2:8" x14ac:dyDescent="0.3">
      <c r="B695" s="6"/>
      <c r="C695" s="6"/>
      <c r="D695" s="6"/>
      <c r="E695" s="233"/>
      <c r="F695" s="6"/>
      <c r="G695" s="6"/>
      <c r="H695" s="6"/>
    </row>
    <row r="696" spans="2:8" x14ac:dyDescent="0.3">
      <c r="B696" s="6"/>
      <c r="C696" s="6"/>
      <c r="D696" s="6"/>
      <c r="E696" s="233"/>
      <c r="F696" s="6"/>
      <c r="G696" s="6"/>
      <c r="H696" s="6"/>
    </row>
    <row r="697" spans="2:8" x14ac:dyDescent="0.3">
      <c r="B697" s="6"/>
      <c r="C697" s="6"/>
      <c r="D697" s="6"/>
      <c r="E697" s="233"/>
      <c r="F697" s="6"/>
      <c r="G697" s="6"/>
      <c r="H697" s="6"/>
    </row>
    <row r="698" spans="2:8" x14ac:dyDescent="0.3">
      <c r="B698" s="6"/>
      <c r="C698" s="6"/>
      <c r="D698" s="6"/>
      <c r="E698" s="233"/>
      <c r="F698" s="6"/>
      <c r="G698" s="6"/>
      <c r="H698" s="6"/>
    </row>
    <row r="699" spans="2:8" x14ac:dyDescent="0.3">
      <c r="B699" s="6"/>
      <c r="C699" s="6"/>
      <c r="D699" s="6"/>
      <c r="E699" s="233"/>
      <c r="F699" s="6"/>
      <c r="G699" s="6"/>
      <c r="H699" s="6"/>
    </row>
    <row r="700" spans="2:8" x14ac:dyDescent="0.3">
      <c r="B700" s="6"/>
      <c r="C700" s="6"/>
      <c r="D700" s="6"/>
      <c r="E700" s="233"/>
      <c r="F700" s="6"/>
      <c r="G700" s="6"/>
      <c r="H700" s="6"/>
    </row>
    <row r="701" spans="2:8" x14ac:dyDescent="0.3">
      <c r="B701" s="6"/>
      <c r="C701" s="6"/>
      <c r="D701" s="6"/>
      <c r="E701" s="233"/>
      <c r="F701" s="6"/>
      <c r="G701" s="6"/>
      <c r="H701" s="6"/>
    </row>
    <row r="702" spans="2:8" x14ac:dyDescent="0.3">
      <c r="B702" s="6"/>
      <c r="C702" s="6"/>
      <c r="D702" s="6"/>
      <c r="E702" s="233"/>
      <c r="F702" s="6"/>
      <c r="G702" s="6"/>
      <c r="H702" s="6"/>
    </row>
    <row r="703" spans="2:8" x14ac:dyDescent="0.3">
      <c r="B703" s="6"/>
      <c r="C703" s="6"/>
      <c r="D703" s="6"/>
      <c r="E703" s="233"/>
      <c r="F703" s="6"/>
      <c r="G703" s="6"/>
      <c r="H703" s="6"/>
    </row>
    <row r="704" spans="2:8" x14ac:dyDescent="0.3">
      <c r="B704" s="6"/>
      <c r="C704" s="6"/>
      <c r="D704" s="6"/>
      <c r="E704" s="233"/>
      <c r="F704" s="6"/>
      <c r="G704" s="6"/>
      <c r="H704" s="6"/>
    </row>
    <row r="705" spans="2:8" x14ac:dyDescent="0.3">
      <c r="B705" s="6"/>
      <c r="C705" s="6"/>
      <c r="D705" s="6"/>
      <c r="E705" s="233"/>
      <c r="F705" s="6"/>
      <c r="G705" s="6"/>
      <c r="H705" s="6"/>
    </row>
    <row r="706" spans="2:8" x14ac:dyDescent="0.3">
      <c r="B706" s="6"/>
      <c r="C706" s="6"/>
      <c r="D706" s="6"/>
      <c r="E706" s="233"/>
      <c r="F706" s="6"/>
      <c r="G706" s="6"/>
      <c r="H706" s="6"/>
    </row>
    <row r="707" spans="2:8" x14ac:dyDescent="0.3">
      <c r="B707" s="6"/>
      <c r="C707" s="6"/>
      <c r="D707" s="6"/>
      <c r="E707" s="233"/>
      <c r="F707" s="6"/>
      <c r="G707" s="6"/>
      <c r="H707" s="6"/>
    </row>
    <row r="708" spans="2:8" x14ac:dyDescent="0.3">
      <c r="B708" s="6"/>
      <c r="C708" s="6"/>
      <c r="D708" s="6"/>
      <c r="E708" s="233"/>
      <c r="F708" s="6"/>
      <c r="G708" s="6"/>
      <c r="H708" s="6"/>
    </row>
    <row r="709" spans="2:8" x14ac:dyDescent="0.3">
      <c r="B709" s="6"/>
      <c r="C709" s="6"/>
      <c r="D709" s="6"/>
      <c r="E709" s="233"/>
      <c r="F709" s="6"/>
      <c r="G709" s="6"/>
      <c r="H709" s="6"/>
    </row>
    <row r="710" spans="2:8" x14ac:dyDescent="0.3">
      <c r="B710" s="6"/>
      <c r="C710" s="6"/>
      <c r="D710" s="6"/>
      <c r="E710" s="233"/>
      <c r="F710" s="6"/>
      <c r="G710" s="6"/>
      <c r="H710" s="6"/>
    </row>
    <row r="711" spans="2:8" x14ac:dyDescent="0.3">
      <c r="B711" s="6"/>
      <c r="C711" s="6"/>
      <c r="D711" s="6"/>
      <c r="E711" s="233"/>
      <c r="F711" s="6"/>
      <c r="G711" s="6"/>
      <c r="H711" s="6"/>
    </row>
    <row r="712" spans="2:8" x14ac:dyDescent="0.3">
      <c r="B712" s="6"/>
      <c r="C712" s="6"/>
      <c r="D712" s="6"/>
      <c r="E712" s="233"/>
      <c r="F712" s="6"/>
      <c r="G712" s="6"/>
      <c r="H712" s="6"/>
    </row>
    <row r="713" spans="2:8" x14ac:dyDescent="0.3">
      <c r="B713" s="6"/>
      <c r="C713" s="6"/>
      <c r="D713" s="6"/>
      <c r="E713" s="233"/>
      <c r="F713" s="6"/>
      <c r="G713" s="6"/>
      <c r="H713" s="6"/>
    </row>
    <row r="714" spans="2:8" x14ac:dyDescent="0.3">
      <c r="B714" s="6"/>
      <c r="C714" s="6"/>
      <c r="D714" s="6"/>
      <c r="E714" s="233"/>
      <c r="F714" s="6"/>
      <c r="G714" s="6"/>
      <c r="H714" s="6"/>
    </row>
    <row r="715" spans="2:8" x14ac:dyDescent="0.3">
      <c r="B715" s="6"/>
      <c r="C715" s="6"/>
      <c r="D715" s="6"/>
      <c r="E715" s="233"/>
      <c r="F715" s="6"/>
      <c r="G715" s="6"/>
      <c r="H715" s="6"/>
    </row>
    <row r="716" spans="2:8" x14ac:dyDescent="0.3">
      <c r="B716" s="6"/>
      <c r="C716" s="6"/>
      <c r="D716" s="6"/>
      <c r="E716" s="233"/>
      <c r="F716" s="6"/>
      <c r="G716" s="6"/>
      <c r="H716" s="6"/>
    </row>
    <row r="717" spans="2:8" x14ac:dyDescent="0.3">
      <c r="B717" s="6"/>
      <c r="C717" s="6"/>
      <c r="D717" s="6"/>
      <c r="E717" s="233"/>
      <c r="F717" s="6"/>
      <c r="G717" s="6"/>
      <c r="H717" s="6"/>
    </row>
    <row r="718" spans="2:8" x14ac:dyDescent="0.3">
      <c r="B718" s="6"/>
      <c r="C718" s="6"/>
      <c r="D718" s="6"/>
      <c r="E718" s="233"/>
      <c r="F718" s="6"/>
      <c r="G718" s="6"/>
      <c r="H718" s="6"/>
    </row>
    <row r="719" spans="2:8" x14ac:dyDescent="0.3">
      <c r="B719" s="6"/>
      <c r="C719" s="6"/>
      <c r="D719" s="6"/>
      <c r="E719" s="233"/>
      <c r="F719" s="6"/>
      <c r="G719" s="6"/>
      <c r="H719" s="6"/>
    </row>
    <row r="720" spans="2:8" x14ac:dyDescent="0.3">
      <c r="B720" s="6"/>
      <c r="C720" s="6"/>
      <c r="D720" s="6"/>
      <c r="E720" s="233"/>
      <c r="F720" s="6"/>
      <c r="G720" s="6"/>
      <c r="H720" s="6"/>
    </row>
    <row r="721" spans="2:8" x14ac:dyDescent="0.3">
      <c r="B721" s="6"/>
      <c r="C721" s="6"/>
      <c r="D721" s="6"/>
      <c r="E721" s="233"/>
      <c r="F721" s="6"/>
      <c r="G721" s="6"/>
      <c r="H721" s="6"/>
    </row>
    <row r="722" spans="2:8" x14ac:dyDescent="0.3">
      <c r="B722" s="6"/>
      <c r="C722" s="6"/>
      <c r="D722" s="6"/>
      <c r="E722" s="233"/>
      <c r="F722" s="6"/>
      <c r="G722" s="6"/>
      <c r="H722" s="6"/>
    </row>
    <row r="723" spans="2:8" x14ac:dyDescent="0.3">
      <c r="B723" s="6"/>
      <c r="C723" s="6"/>
      <c r="D723" s="6"/>
      <c r="E723" s="233"/>
      <c r="F723" s="6"/>
      <c r="G723" s="6"/>
      <c r="H723" s="6"/>
    </row>
    <row r="724" spans="2:8" x14ac:dyDescent="0.3">
      <c r="B724" s="6"/>
      <c r="C724" s="6"/>
      <c r="D724" s="6"/>
      <c r="E724" s="233"/>
      <c r="F724" s="6"/>
      <c r="G724" s="6"/>
      <c r="H724" s="6"/>
    </row>
    <row r="725" spans="2:8" x14ac:dyDescent="0.3">
      <c r="B725" s="6"/>
      <c r="C725" s="6"/>
      <c r="D725" s="6"/>
      <c r="E725" s="233"/>
      <c r="F725" s="6"/>
      <c r="G725" s="6"/>
      <c r="H725" s="6"/>
    </row>
    <row r="726" spans="2:8" x14ac:dyDescent="0.3">
      <c r="B726" s="6"/>
      <c r="C726" s="6"/>
      <c r="D726" s="6"/>
      <c r="E726" s="233"/>
      <c r="F726" s="6"/>
      <c r="G726" s="6"/>
      <c r="H726" s="6"/>
    </row>
    <row r="727" spans="2:8" x14ac:dyDescent="0.3">
      <c r="B727" s="6"/>
      <c r="C727" s="6"/>
      <c r="D727" s="6"/>
      <c r="E727" s="233"/>
      <c r="F727" s="6"/>
      <c r="G727" s="6"/>
      <c r="H727" s="6"/>
    </row>
    <row r="728" spans="2:8" x14ac:dyDescent="0.3">
      <c r="B728" s="6"/>
      <c r="C728" s="6"/>
      <c r="D728" s="6"/>
      <c r="E728" s="233"/>
      <c r="F728" s="6"/>
      <c r="G728" s="6"/>
      <c r="H728" s="6"/>
    </row>
    <row r="729" spans="2:8" x14ac:dyDescent="0.3">
      <c r="B729" s="6"/>
      <c r="C729" s="6"/>
      <c r="D729" s="6"/>
      <c r="E729" s="233"/>
      <c r="F729" s="6"/>
      <c r="G729" s="6"/>
      <c r="H729" s="6"/>
    </row>
    <row r="730" spans="2:8" x14ac:dyDescent="0.3">
      <c r="B730" s="6"/>
      <c r="C730" s="6"/>
      <c r="D730" s="6"/>
      <c r="E730" s="233"/>
      <c r="F730" s="6"/>
      <c r="G730" s="6"/>
      <c r="H730" s="6"/>
    </row>
    <row r="731" spans="2:8" x14ac:dyDescent="0.3">
      <c r="B731" s="6"/>
      <c r="C731" s="6"/>
      <c r="D731" s="6"/>
      <c r="E731" s="233"/>
      <c r="F731" s="6"/>
      <c r="G731" s="6"/>
      <c r="H731" s="6"/>
    </row>
    <row r="732" spans="2:8" x14ac:dyDescent="0.3">
      <c r="B732" s="6"/>
      <c r="C732" s="6"/>
      <c r="D732" s="6"/>
      <c r="E732" s="233"/>
      <c r="F732" s="6"/>
      <c r="G732" s="6"/>
      <c r="H732" s="6"/>
    </row>
    <row r="733" spans="2:8" x14ac:dyDescent="0.3">
      <c r="B733" s="6"/>
      <c r="C733" s="6"/>
      <c r="D733" s="6"/>
      <c r="E733" s="233"/>
      <c r="F733" s="6"/>
      <c r="G733" s="6"/>
      <c r="H733" s="6"/>
    </row>
    <row r="734" spans="2:8" x14ac:dyDescent="0.3">
      <c r="B734" s="6"/>
      <c r="C734" s="6"/>
      <c r="D734" s="6"/>
      <c r="E734" s="233"/>
      <c r="F734" s="6"/>
      <c r="G734" s="6"/>
      <c r="H734" s="6"/>
    </row>
    <row r="735" spans="2:8" x14ac:dyDescent="0.3">
      <c r="B735" s="6"/>
      <c r="C735" s="6"/>
      <c r="D735" s="6"/>
      <c r="E735" s="233"/>
      <c r="F735" s="6"/>
      <c r="G735" s="6"/>
      <c r="H735" s="6"/>
    </row>
    <row r="736" spans="2:8" x14ac:dyDescent="0.3">
      <c r="B736" s="6"/>
      <c r="C736" s="6"/>
      <c r="D736" s="6"/>
      <c r="E736" s="233"/>
      <c r="F736" s="6"/>
      <c r="G736" s="6"/>
      <c r="H736" s="6"/>
    </row>
    <row r="737" spans="2:8" x14ac:dyDescent="0.3">
      <c r="B737" s="6"/>
      <c r="C737" s="6"/>
      <c r="D737" s="6"/>
      <c r="E737" s="233"/>
      <c r="F737" s="6"/>
      <c r="G737" s="6"/>
      <c r="H737" s="6"/>
    </row>
    <row r="738" spans="2:8" x14ac:dyDescent="0.3">
      <c r="B738" s="6"/>
      <c r="C738" s="6"/>
      <c r="D738" s="6"/>
      <c r="E738" s="233"/>
      <c r="F738" s="6"/>
      <c r="G738" s="6"/>
      <c r="H738" s="6"/>
    </row>
    <row r="739" spans="2:8" x14ac:dyDescent="0.3">
      <c r="B739" s="6"/>
      <c r="C739" s="6"/>
      <c r="D739" s="6"/>
      <c r="E739" s="233"/>
      <c r="F739" s="6"/>
      <c r="G739" s="6"/>
      <c r="H739" s="6"/>
    </row>
    <row r="740" spans="2:8" x14ac:dyDescent="0.3">
      <c r="B740" s="6"/>
      <c r="C740" s="6"/>
      <c r="D740" s="6"/>
      <c r="E740" s="233"/>
      <c r="F740" s="6"/>
      <c r="G740" s="6"/>
      <c r="H740" s="6"/>
    </row>
    <row r="741" spans="2:8" x14ac:dyDescent="0.3">
      <c r="B741" s="6"/>
      <c r="C741" s="6"/>
      <c r="D741" s="6"/>
      <c r="E741" s="233"/>
      <c r="F741" s="6"/>
      <c r="G741" s="6"/>
      <c r="H741" s="6"/>
    </row>
    <row r="742" spans="2:8" x14ac:dyDescent="0.3">
      <c r="B742" s="6"/>
      <c r="C742" s="6"/>
      <c r="D742" s="6"/>
      <c r="E742" s="233"/>
      <c r="F742" s="6"/>
      <c r="G742" s="6"/>
      <c r="H742" s="6"/>
    </row>
    <row r="743" spans="2:8" x14ac:dyDescent="0.3">
      <c r="B743" s="6"/>
      <c r="C743" s="6"/>
      <c r="D743" s="6"/>
      <c r="E743" s="233"/>
      <c r="F743" s="6"/>
      <c r="G743" s="6"/>
      <c r="H743" s="6"/>
    </row>
    <row r="744" spans="2:8" x14ac:dyDescent="0.3">
      <c r="B744" s="6"/>
      <c r="C744" s="6"/>
      <c r="D744" s="6"/>
      <c r="E744" s="233"/>
      <c r="F744" s="6"/>
      <c r="G744" s="6"/>
      <c r="H744" s="6"/>
    </row>
    <row r="745" spans="2:8" x14ac:dyDescent="0.3">
      <c r="B745" s="6"/>
      <c r="C745" s="6"/>
      <c r="D745" s="6"/>
      <c r="E745" s="233"/>
      <c r="F745" s="6"/>
      <c r="G745" s="6"/>
      <c r="H745" s="6"/>
    </row>
    <row r="746" spans="2:8" x14ac:dyDescent="0.3">
      <c r="B746" s="6"/>
      <c r="C746" s="6"/>
      <c r="D746" s="6"/>
      <c r="E746" s="233"/>
      <c r="F746" s="6"/>
      <c r="G746" s="6"/>
      <c r="H746" s="6"/>
    </row>
    <row r="747" spans="2:8" x14ac:dyDescent="0.3">
      <c r="B747" s="6"/>
      <c r="C747" s="6"/>
      <c r="D747" s="6"/>
      <c r="E747" s="233"/>
      <c r="F747" s="6"/>
      <c r="G747" s="6"/>
      <c r="H747" s="6"/>
    </row>
    <row r="748" spans="2:8" x14ac:dyDescent="0.3">
      <c r="B748" s="6"/>
      <c r="C748" s="6"/>
      <c r="D748" s="6"/>
      <c r="E748" s="233"/>
      <c r="F748" s="6"/>
      <c r="G748" s="6"/>
      <c r="H748" s="6"/>
    </row>
    <row r="749" spans="2:8" x14ac:dyDescent="0.3">
      <c r="B749" s="6"/>
      <c r="C749" s="6"/>
      <c r="D749" s="6"/>
      <c r="E749" s="233"/>
      <c r="F749" s="6"/>
      <c r="G749" s="6"/>
      <c r="H749" s="6"/>
    </row>
    <row r="750" spans="2:8" x14ac:dyDescent="0.3">
      <c r="B750" s="6"/>
      <c r="C750" s="6"/>
      <c r="D750" s="6"/>
      <c r="E750" s="233"/>
      <c r="F750" s="6"/>
      <c r="G750" s="6"/>
      <c r="H750" s="6"/>
    </row>
    <row r="751" spans="2:8" x14ac:dyDescent="0.3">
      <c r="B751" s="6"/>
      <c r="C751" s="6"/>
      <c r="D751" s="6"/>
      <c r="E751" s="233"/>
      <c r="F751" s="6"/>
      <c r="G751" s="6"/>
      <c r="H751" s="6"/>
    </row>
    <row r="752" spans="2:8" x14ac:dyDescent="0.3">
      <c r="B752" s="6"/>
      <c r="C752" s="6"/>
      <c r="D752" s="6"/>
      <c r="E752" s="233"/>
      <c r="F752" s="6"/>
      <c r="G752" s="6"/>
      <c r="H752" s="6"/>
    </row>
    <row r="753" spans="2:8" x14ac:dyDescent="0.3">
      <c r="B753" s="6"/>
      <c r="C753" s="6"/>
      <c r="D753" s="6"/>
      <c r="E753" s="233"/>
      <c r="F753" s="6"/>
      <c r="G753" s="6"/>
      <c r="H753" s="6"/>
    </row>
    <row r="754" spans="2:8" x14ac:dyDescent="0.3">
      <c r="B754" s="6"/>
      <c r="C754" s="6"/>
      <c r="D754" s="6"/>
      <c r="E754" s="233"/>
      <c r="F754" s="6"/>
      <c r="G754" s="6"/>
      <c r="H754" s="6"/>
    </row>
    <row r="755" spans="2:8" x14ac:dyDescent="0.3">
      <c r="B755" s="6"/>
      <c r="C755" s="6"/>
      <c r="D755" s="6"/>
      <c r="E755" s="233"/>
      <c r="F755" s="6"/>
      <c r="G755" s="6"/>
      <c r="H755" s="6"/>
    </row>
    <row r="756" spans="2:8" x14ac:dyDescent="0.3">
      <c r="B756" s="6"/>
      <c r="C756" s="6"/>
      <c r="D756" s="6"/>
      <c r="E756" s="233"/>
      <c r="F756" s="6"/>
      <c r="G756" s="6"/>
      <c r="H756" s="6"/>
    </row>
    <row r="757" spans="2:8" x14ac:dyDescent="0.3">
      <c r="B757" s="6"/>
      <c r="C757" s="6"/>
      <c r="D757" s="6"/>
      <c r="E757" s="233"/>
      <c r="F757" s="6"/>
      <c r="G757" s="6"/>
      <c r="H757" s="6"/>
    </row>
    <row r="758" spans="2:8" x14ac:dyDescent="0.3">
      <c r="B758" s="6"/>
      <c r="C758" s="6"/>
      <c r="D758" s="6"/>
      <c r="E758" s="233"/>
      <c r="F758" s="6"/>
      <c r="G758" s="6"/>
      <c r="H758" s="6"/>
    </row>
    <row r="759" spans="2:8" x14ac:dyDescent="0.3">
      <c r="B759" s="6"/>
      <c r="C759" s="6"/>
      <c r="D759" s="6"/>
      <c r="E759" s="233"/>
      <c r="F759" s="6"/>
      <c r="G759" s="6"/>
      <c r="H759" s="6"/>
    </row>
    <row r="760" spans="2:8" x14ac:dyDescent="0.3">
      <c r="B760" s="6"/>
      <c r="C760" s="6"/>
      <c r="D760" s="6"/>
      <c r="E760" s="233"/>
      <c r="F760" s="6"/>
      <c r="G760" s="6"/>
      <c r="H760" s="6"/>
    </row>
    <row r="761" spans="2:8" x14ac:dyDescent="0.3">
      <c r="B761" s="6"/>
      <c r="C761" s="6"/>
      <c r="D761" s="6"/>
      <c r="E761" s="233"/>
      <c r="F761" s="6"/>
      <c r="G761" s="6"/>
      <c r="H761" s="6"/>
    </row>
    <row r="762" spans="2:8" x14ac:dyDescent="0.3">
      <c r="B762" s="6"/>
      <c r="C762" s="6"/>
      <c r="D762" s="6"/>
      <c r="E762" s="233"/>
      <c r="F762" s="6"/>
      <c r="G762" s="6"/>
      <c r="H762" s="6"/>
    </row>
    <row r="763" spans="2:8" x14ac:dyDescent="0.3">
      <c r="B763" s="6"/>
      <c r="C763" s="6"/>
      <c r="D763" s="6"/>
      <c r="E763" s="233"/>
      <c r="F763" s="6"/>
      <c r="G763" s="6"/>
      <c r="H763" s="6"/>
    </row>
    <row r="764" spans="2:8" x14ac:dyDescent="0.3">
      <c r="B764" s="6"/>
      <c r="C764" s="6"/>
      <c r="D764" s="6"/>
      <c r="E764" s="233"/>
      <c r="F764" s="6"/>
      <c r="G764" s="6"/>
      <c r="H764" s="6"/>
    </row>
    <row r="765" spans="2:8" x14ac:dyDescent="0.3">
      <c r="B765" s="6"/>
      <c r="C765" s="6"/>
      <c r="D765" s="6"/>
      <c r="E765" s="233"/>
      <c r="F765" s="6"/>
      <c r="G765" s="6"/>
      <c r="H765" s="6"/>
    </row>
    <row r="766" spans="2:8" x14ac:dyDescent="0.3">
      <c r="B766" s="6"/>
      <c r="C766" s="6"/>
      <c r="D766" s="6"/>
      <c r="E766" s="233"/>
      <c r="F766" s="6"/>
      <c r="G766" s="6"/>
      <c r="H766" s="6"/>
    </row>
    <row r="767" spans="2:8" x14ac:dyDescent="0.3">
      <c r="B767" s="6"/>
      <c r="C767" s="6"/>
      <c r="D767" s="6"/>
      <c r="E767" s="233"/>
      <c r="F767" s="6"/>
      <c r="G767" s="6"/>
      <c r="H767" s="6"/>
    </row>
    <row r="768" spans="2:8" x14ac:dyDescent="0.3">
      <c r="B768" s="6"/>
      <c r="C768" s="6"/>
      <c r="D768" s="6"/>
      <c r="E768" s="233"/>
      <c r="F768" s="6"/>
      <c r="G768" s="6"/>
      <c r="H768" s="6"/>
    </row>
    <row r="769" spans="2:8" x14ac:dyDescent="0.3">
      <c r="B769" s="6"/>
      <c r="C769" s="6"/>
      <c r="D769" s="6"/>
      <c r="E769" s="233"/>
      <c r="F769" s="6"/>
      <c r="G769" s="6"/>
      <c r="H769" s="6"/>
    </row>
    <row r="770" spans="2:8" x14ac:dyDescent="0.3">
      <c r="B770" s="6"/>
      <c r="C770" s="6"/>
      <c r="D770" s="6"/>
      <c r="E770" s="233"/>
      <c r="F770" s="6"/>
      <c r="G770" s="6"/>
      <c r="H770" s="6"/>
    </row>
    <row r="771" spans="2:8" x14ac:dyDescent="0.3">
      <c r="B771" s="6"/>
      <c r="C771" s="6"/>
      <c r="D771" s="6"/>
      <c r="E771" s="233"/>
      <c r="F771" s="6"/>
      <c r="G771" s="6"/>
      <c r="H771" s="6"/>
    </row>
    <row r="772" spans="2:8" x14ac:dyDescent="0.3">
      <c r="B772" s="6"/>
      <c r="C772" s="6"/>
      <c r="D772" s="6"/>
      <c r="E772" s="233"/>
      <c r="F772" s="6"/>
      <c r="G772" s="6"/>
      <c r="H772" s="6"/>
    </row>
    <row r="773" spans="2:8" x14ac:dyDescent="0.3">
      <c r="B773" s="6"/>
      <c r="C773" s="6"/>
      <c r="D773" s="6"/>
      <c r="E773" s="233"/>
      <c r="F773" s="6"/>
      <c r="G773" s="6"/>
      <c r="H773" s="6"/>
    </row>
    <row r="774" spans="2:8" x14ac:dyDescent="0.3">
      <c r="B774" s="6"/>
      <c r="C774" s="6"/>
      <c r="D774" s="6"/>
      <c r="E774" s="233"/>
      <c r="F774" s="6"/>
      <c r="G774" s="6"/>
      <c r="H774" s="6"/>
    </row>
    <row r="775" spans="2:8" x14ac:dyDescent="0.3">
      <c r="B775" s="6"/>
      <c r="C775" s="6"/>
      <c r="D775" s="6"/>
      <c r="E775" s="233"/>
      <c r="F775" s="6"/>
      <c r="G775" s="6"/>
      <c r="H775" s="6"/>
    </row>
    <row r="776" spans="2:8" x14ac:dyDescent="0.3">
      <c r="B776" s="6"/>
      <c r="C776" s="6"/>
      <c r="D776" s="6"/>
      <c r="E776" s="233"/>
      <c r="F776" s="6"/>
      <c r="G776" s="6"/>
      <c r="H776" s="6"/>
    </row>
    <row r="777" spans="2:8" x14ac:dyDescent="0.3">
      <c r="B777" s="6"/>
      <c r="C777" s="6"/>
      <c r="D777" s="6"/>
      <c r="E777" s="233"/>
      <c r="F777" s="6"/>
      <c r="G777" s="6"/>
      <c r="H777" s="6"/>
    </row>
    <row r="778" spans="2:8" x14ac:dyDescent="0.3">
      <c r="B778" s="6"/>
      <c r="C778" s="6"/>
      <c r="D778" s="6"/>
      <c r="E778" s="233"/>
      <c r="F778" s="6"/>
      <c r="G778" s="6"/>
      <c r="H778" s="6"/>
    </row>
    <row r="779" spans="2:8" x14ac:dyDescent="0.3">
      <c r="B779" s="6"/>
      <c r="C779" s="6"/>
      <c r="D779" s="6"/>
      <c r="E779" s="233"/>
      <c r="F779" s="6"/>
      <c r="G779" s="6"/>
      <c r="H779" s="6"/>
    </row>
    <row r="780" spans="2:8" x14ac:dyDescent="0.3">
      <c r="B780" s="6"/>
      <c r="C780" s="6"/>
      <c r="D780" s="6"/>
      <c r="E780" s="233"/>
      <c r="F780" s="6"/>
      <c r="G780" s="6"/>
      <c r="H780" s="6"/>
    </row>
    <row r="781" spans="2:8" x14ac:dyDescent="0.3">
      <c r="B781" s="6"/>
      <c r="C781" s="6"/>
      <c r="D781" s="6"/>
      <c r="E781" s="233"/>
      <c r="F781" s="6"/>
      <c r="G781" s="6"/>
      <c r="H781" s="6"/>
    </row>
    <row r="782" spans="2:8" x14ac:dyDescent="0.3">
      <c r="B782" s="6"/>
      <c r="C782" s="6"/>
      <c r="D782" s="6"/>
      <c r="E782" s="233"/>
      <c r="F782" s="6"/>
      <c r="G782" s="6"/>
      <c r="H782" s="6"/>
    </row>
    <row r="783" spans="2:8" x14ac:dyDescent="0.3">
      <c r="B783" s="6"/>
      <c r="C783" s="6"/>
      <c r="D783" s="6"/>
      <c r="E783" s="233"/>
      <c r="F783" s="6"/>
      <c r="G783" s="6"/>
      <c r="H783" s="6"/>
    </row>
    <row r="784" spans="2:8" x14ac:dyDescent="0.3">
      <c r="B784" s="6"/>
      <c r="C784" s="6"/>
      <c r="D784" s="6"/>
      <c r="E784" s="233"/>
      <c r="F784" s="6"/>
      <c r="G784" s="6"/>
      <c r="H784" s="6"/>
    </row>
    <row r="785" spans="2:8" x14ac:dyDescent="0.3">
      <c r="B785" s="6"/>
      <c r="C785" s="6"/>
      <c r="D785" s="6"/>
      <c r="E785" s="233"/>
      <c r="F785" s="6"/>
      <c r="G785" s="6"/>
      <c r="H785" s="6"/>
    </row>
    <row r="786" spans="2:8" x14ac:dyDescent="0.3">
      <c r="B786" s="6"/>
      <c r="C786" s="6"/>
      <c r="D786" s="6"/>
      <c r="E786" s="233"/>
      <c r="F786" s="6"/>
      <c r="G786" s="6"/>
      <c r="H786" s="6"/>
    </row>
    <row r="787" spans="2:8" x14ac:dyDescent="0.3">
      <c r="B787" s="6"/>
      <c r="C787" s="6"/>
      <c r="D787" s="6"/>
      <c r="E787" s="233"/>
      <c r="F787" s="6"/>
      <c r="G787" s="6"/>
      <c r="H787" s="6"/>
    </row>
    <row r="788" spans="2:8" x14ac:dyDescent="0.3">
      <c r="B788" s="6"/>
      <c r="C788" s="6"/>
      <c r="D788" s="6"/>
      <c r="E788" s="233"/>
      <c r="F788" s="6"/>
      <c r="G788" s="6"/>
      <c r="H788" s="6"/>
    </row>
    <row r="789" spans="2:8" x14ac:dyDescent="0.3">
      <c r="B789" s="6"/>
      <c r="C789" s="6"/>
      <c r="D789" s="6"/>
      <c r="E789" s="233"/>
      <c r="F789" s="6"/>
      <c r="G789" s="6"/>
      <c r="H789" s="6"/>
    </row>
    <row r="790" spans="2:8" x14ac:dyDescent="0.3">
      <c r="B790" s="6"/>
      <c r="C790" s="6"/>
      <c r="D790" s="6"/>
      <c r="E790" s="233"/>
      <c r="F790" s="6"/>
      <c r="G790" s="6"/>
      <c r="H790" s="6"/>
    </row>
    <row r="791" spans="2:8" x14ac:dyDescent="0.3">
      <c r="B791" s="6"/>
      <c r="C791" s="6"/>
      <c r="D791" s="6"/>
      <c r="E791" s="233"/>
      <c r="F791" s="6"/>
      <c r="G791" s="6"/>
      <c r="H791" s="6"/>
    </row>
    <row r="792" spans="2:8" x14ac:dyDescent="0.3">
      <c r="B792" s="6"/>
      <c r="C792" s="6"/>
      <c r="D792" s="6"/>
      <c r="E792" s="233"/>
      <c r="F792" s="6"/>
      <c r="G792" s="6"/>
      <c r="H792" s="6"/>
    </row>
    <row r="793" spans="2:8" x14ac:dyDescent="0.3">
      <c r="B793" s="6"/>
      <c r="C793" s="6"/>
      <c r="D793" s="6"/>
      <c r="E793" s="233"/>
      <c r="F793" s="6"/>
      <c r="G793" s="6"/>
      <c r="H793" s="6"/>
    </row>
    <row r="794" spans="2:8" x14ac:dyDescent="0.3">
      <c r="B794" s="6"/>
      <c r="C794" s="6"/>
      <c r="D794" s="6"/>
      <c r="E794" s="233"/>
      <c r="F794" s="6"/>
      <c r="G794" s="6"/>
      <c r="H794" s="6"/>
    </row>
    <row r="795" spans="2:8" x14ac:dyDescent="0.3">
      <c r="B795" s="6"/>
      <c r="C795" s="6"/>
      <c r="D795" s="6"/>
      <c r="E795" s="233"/>
      <c r="F795" s="6"/>
      <c r="G795" s="6"/>
      <c r="H795" s="6"/>
    </row>
    <row r="796" spans="2:8" x14ac:dyDescent="0.3">
      <c r="B796" s="6"/>
      <c r="C796" s="6"/>
      <c r="D796" s="6"/>
      <c r="E796" s="233"/>
      <c r="F796" s="6"/>
      <c r="G796" s="6"/>
      <c r="H796" s="6"/>
    </row>
    <row r="797" spans="2:8" x14ac:dyDescent="0.3">
      <c r="B797" s="6"/>
      <c r="C797" s="6"/>
      <c r="D797" s="6"/>
      <c r="E797" s="233"/>
      <c r="F797" s="6"/>
      <c r="G797" s="6"/>
      <c r="H797" s="6"/>
    </row>
    <row r="798" spans="2:8" x14ac:dyDescent="0.3">
      <c r="B798" s="6"/>
      <c r="C798" s="6"/>
      <c r="D798" s="6"/>
      <c r="E798" s="233"/>
      <c r="F798" s="6"/>
      <c r="G798" s="6"/>
      <c r="H798" s="6"/>
    </row>
    <row r="799" spans="2:8" x14ac:dyDescent="0.3">
      <c r="B799" s="6"/>
      <c r="C799" s="6"/>
      <c r="D799" s="6"/>
      <c r="E799" s="233"/>
      <c r="F799" s="6"/>
      <c r="G799" s="6"/>
      <c r="H799" s="6"/>
    </row>
    <row r="800" spans="2:8" x14ac:dyDescent="0.3">
      <c r="B800" s="6"/>
      <c r="C800" s="6"/>
      <c r="D800" s="6"/>
      <c r="E800" s="233"/>
      <c r="F800" s="6"/>
      <c r="G800" s="6"/>
      <c r="H800" s="6"/>
    </row>
    <row r="801" spans="2:8" x14ac:dyDescent="0.3">
      <c r="B801" s="6"/>
      <c r="C801" s="6"/>
      <c r="D801" s="6"/>
      <c r="E801" s="233"/>
      <c r="F801" s="6"/>
      <c r="G801" s="6"/>
      <c r="H801" s="6"/>
    </row>
    <row r="802" spans="2:8" x14ac:dyDescent="0.3">
      <c r="B802" s="6"/>
      <c r="C802" s="6"/>
      <c r="D802" s="6"/>
      <c r="E802" s="233"/>
      <c r="F802" s="6"/>
      <c r="G802" s="6"/>
      <c r="H802" s="6"/>
    </row>
    <row r="803" spans="2:8" x14ac:dyDescent="0.3">
      <c r="B803" s="6"/>
      <c r="C803" s="6"/>
      <c r="D803" s="6"/>
      <c r="E803" s="233"/>
      <c r="F803" s="6"/>
      <c r="G803" s="6"/>
      <c r="H803" s="6"/>
    </row>
    <row r="804" spans="2:8" x14ac:dyDescent="0.3">
      <c r="B804" s="6"/>
      <c r="C804" s="6"/>
      <c r="D804" s="6"/>
      <c r="E804" s="233"/>
      <c r="F804" s="6"/>
      <c r="G804" s="6"/>
      <c r="H804" s="6"/>
    </row>
    <row r="805" spans="2:8" x14ac:dyDescent="0.3">
      <c r="B805" s="6"/>
      <c r="C805" s="6"/>
      <c r="D805" s="6"/>
      <c r="E805" s="233"/>
      <c r="F805" s="6"/>
      <c r="G805" s="6"/>
      <c r="H805" s="6"/>
    </row>
    <row r="806" spans="2:8" x14ac:dyDescent="0.3">
      <c r="B806" s="6"/>
      <c r="C806" s="6"/>
      <c r="D806" s="6"/>
      <c r="E806" s="233"/>
      <c r="F806" s="6"/>
      <c r="G806" s="6"/>
      <c r="H806" s="6"/>
    </row>
    <row r="807" spans="2:8" x14ac:dyDescent="0.3">
      <c r="B807" s="6"/>
      <c r="C807" s="6"/>
      <c r="D807" s="6"/>
      <c r="E807" s="233"/>
      <c r="F807" s="6"/>
      <c r="G807" s="6"/>
      <c r="H807" s="6"/>
    </row>
    <row r="808" spans="2:8" x14ac:dyDescent="0.3">
      <c r="B808" s="6"/>
      <c r="C808" s="6"/>
      <c r="D808" s="6"/>
      <c r="E808" s="233"/>
      <c r="F808" s="6"/>
      <c r="G808" s="6"/>
      <c r="H808" s="6"/>
    </row>
    <row r="809" spans="2:8" x14ac:dyDescent="0.3">
      <c r="B809" s="6"/>
      <c r="C809" s="6"/>
      <c r="D809" s="6"/>
      <c r="E809" s="233"/>
      <c r="F809" s="6"/>
      <c r="G809" s="6"/>
      <c r="H809" s="6"/>
    </row>
    <row r="810" spans="2:8" x14ac:dyDescent="0.3">
      <c r="B810" s="6"/>
      <c r="C810" s="6"/>
      <c r="D810" s="6"/>
      <c r="E810" s="233"/>
      <c r="F810" s="6"/>
      <c r="G810" s="6"/>
      <c r="H810" s="6"/>
    </row>
    <row r="811" spans="2:8" x14ac:dyDescent="0.3">
      <c r="B811" s="6"/>
      <c r="C811" s="6"/>
      <c r="D811" s="6"/>
      <c r="E811" s="233"/>
      <c r="F811" s="6"/>
      <c r="G811" s="6"/>
      <c r="H811" s="6"/>
    </row>
    <row r="812" spans="2:8" x14ac:dyDescent="0.3">
      <c r="B812" s="6"/>
      <c r="C812" s="6"/>
      <c r="D812" s="6"/>
      <c r="E812" s="233"/>
      <c r="F812" s="6"/>
      <c r="G812" s="6"/>
      <c r="H812" s="6"/>
    </row>
    <row r="813" spans="2:8" x14ac:dyDescent="0.3">
      <c r="B813" s="6"/>
      <c r="C813" s="6"/>
      <c r="D813" s="6"/>
      <c r="E813" s="233"/>
      <c r="F813" s="6"/>
      <c r="G813" s="6"/>
      <c r="H813" s="6"/>
    </row>
    <row r="814" spans="2:8" x14ac:dyDescent="0.3">
      <c r="B814" s="6"/>
      <c r="C814" s="6"/>
      <c r="D814" s="6"/>
      <c r="E814" s="233"/>
      <c r="F814" s="6"/>
      <c r="G814" s="6"/>
      <c r="H814" s="6"/>
    </row>
    <row r="815" spans="2:8" x14ac:dyDescent="0.3">
      <c r="B815" s="6"/>
      <c r="C815" s="6"/>
      <c r="D815" s="6"/>
      <c r="E815" s="233"/>
      <c r="F815" s="6"/>
      <c r="G815" s="6"/>
      <c r="H815" s="6"/>
    </row>
    <row r="816" spans="2:8" x14ac:dyDescent="0.3">
      <c r="B816" s="6"/>
      <c r="C816" s="6"/>
      <c r="D816" s="6"/>
      <c r="E816" s="233"/>
      <c r="F816" s="6"/>
      <c r="G816" s="6"/>
      <c r="H816" s="6"/>
    </row>
    <row r="817" spans="2:8" x14ac:dyDescent="0.3">
      <c r="B817" s="6"/>
      <c r="C817" s="6"/>
      <c r="D817" s="6"/>
      <c r="E817" s="233"/>
      <c r="F817" s="6"/>
      <c r="G817" s="6"/>
      <c r="H817" s="6"/>
    </row>
    <row r="818" spans="2:8" x14ac:dyDescent="0.3">
      <c r="B818" s="6"/>
      <c r="C818" s="6"/>
      <c r="D818" s="6"/>
      <c r="E818" s="233"/>
      <c r="F818" s="6"/>
      <c r="G818" s="6"/>
      <c r="H818" s="6"/>
    </row>
    <row r="819" spans="2:8" x14ac:dyDescent="0.3">
      <c r="B819" s="6"/>
      <c r="C819" s="6"/>
      <c r="D819" s="6"/>
      <c r="E819" s="233"/>
      <c r="F819" s="6"/>
      <c r="G819" s="6"/>
      <c r="H819" s="6"/>
    </row>
    <row r="820" spans="2:8" x14ac:dyDescent="0.3">
      <c r="B820" s="6"/>
      <c r="C820" s="6"/>
      <c r="D820" s="6"/>
      <c r="E820" s="233"/>
      <c r="F820" s="6"/>
      <c r="G820" s="6"/>
      <c r="H820" s="6"/>
    </row>
    <row r="821" spans="2:8" x14ac:dyDescent="0.3">
      <c r="B821" s="6"/>
      <c r="C821" s="6"/>
      <c r="D821" s="6"/>
      <c r="E821" s="233"/>
      <c r="F821" s="6"/>
      <c r="G821" s="6"/>
      <c r="H821" s="6"/>
    </row>
    <row r="822" spans="2:8" x14ac:dyDescent="0.3">
      <c r="B822" s="6"/>
      <c r="C822" s="6"/>
      <c r="D822" s="6"/>
      <c r="E822" s="233"/>
      <c r="F822" s="6"/>
      <c r="G822" s="6"/>
      <c r="H822" s="6"/>
    </row>
    <row r="823" spans="2:8" x14ac:dyDescent="0.3">
      <c r="B823" s="6"/>
      <c r="C823" s="6"/>
      <c r="D823" s="6"/>
      <c r="E823" s="233"/>
      <c r="F823" s="6"/>
      <c r="G823" s="6"/>
      <c r="H823" s="6"/>
    </row>
    <row r="824" spans="2:8" x14ac:dyDescent="0.3">
      <c r="B824" s="6"/>
      <c r="C824" s="6"/>
      <c r="D824" s="6"/>
      <c r="E824" s="233"/>
      <c r="F824" s="6"/>
      <c r="G824" s="6"/>
      <c r="H824" s="6"/>
    </row>
    <row r="825" spans="2:8" x14ac:dyDescent="0.3">
      <c r="B825" s="6"/>
      <c r="C825" s="6"/>
      <c r="D825" s="6"/>
      <c r="E825" s="233"/>
      <c r="F825" s="6"/>
      <c r="G825" s="6"/>
      <c r="H825" s="6"/>
    </row>
    <row r="826" spans="2:8" x14ac:dyDescent="0.3">
      <c r="B826" s="6"/>
      <c r="C826" s="6"/>
      <c r="D826" s="6"/>
      <c r="E826" s="233"/>
      <c r="F826" s="6"/>
      <c r="G826" s="6"/>
      <c r="H826" s="6"/>
    </row>
    <row r="827" spans="2:8" x14ac:dyDescent="0.3">
      <c r="B827" s="6"/>
      <c r="C827" s="6"/>
      <c r="D827" s="6"/>
      <c r="E827" s="233"/>
      <c r="F827" s="6"/>
      <c r="G827" s="6"/>
      <c r="H827" s="6"/>
    </row>
    <row r="828" spans="2:8" x14ac:dyDescent="0.3">
      <c r="B828" s="6"/>
      <c r="C828" s="6"/>
      <c r="D828" s="6"/>
      <c r="E828" s="233"/>
      <c r="F828" s="6"/>
      <c r="G828" s="6"/>
      <c r="H828" s="6"/>
    </row>
    <row r="829" spans="2:8" x14ac:dyDescent="0.3">
      <c r="B829" s="6"/>
      <c r="C829" s="6"/>
      <c r="D829" s="6"/>
      <c r="E829" s="233"/>
      <c r="F829" s="6"/>
      <c r="G829" s="6"/>
      <c r="H829" s="6"/>
    </row>
    <row r="830" spans="2:8" x14ac:dyDescent="0.3">
      <c r="B830" s="6"/>
      <c r="C830" s="6"/>
      <c r="D830" s="6"/>
      <c r="E830" s="233"/>
      <c r="F830" s="6"/>
      <c r="G830" s="6"/>
      <c r="H830" s="6"/>
    </row>
    <row r="831" spans="2:8" x14ac:dyDescent="0.3">
      <c r="B831" s="6"/>
      <c r="C831" s="6"/>
      <c r="D831" s="6"/>
      <c r="E831" s="233"/>
      <c r="F831" s="6"/>
      <c r="G831" s="6"/>
      <c r="H831" s="6"/>
    </row>
    <row r="832" spans="2:8" x14ac:dyDescent="0.3">
      <c r="B832" s="6"/>
      <c r="C832" s="6"/>
      <c r="D832" s="6"/>
      <c r="E832" s="233"/>
      <c r="F832" s="6"/>
      <c r="G832" s="6"/>
      <c r="H832" s="6"/>
    </row>
    <row r="833" spans="2:8" x14ac:dyDescent="0.3">
      <c r="B833" s="6"/>
      <c r="C833" s="6"/>
      <c r="D833" s="6"/>
      <c r="E833" s="233"/>
      <c r="F833" s="6"/>
      <c r="G833" s="6"/>
      <c r="H833" s="6"/>
    </row>
    <row r="834" spans="2:8" x14ac:dyDescent="0.3">
      <c r="B834" s="6"/>
      <c r="C834" s="6"/>
      <c r="D834" s="6"/>
      <c r="E834" s="233"/>
      <c r="F834" s="6"/>
      <c r="G834" s="6"/>
      <c r="H834" s="6"/>
    </row>
    <row r="835" spans="2:8" x14ac:dyDescent="0.3">
      <c r="B835" s="6"/>
      <c r="C835" s="6"/>
      <c r="D835" s="6"/>
      <c r="E835" s="233"/>
      <c r="F835" s="6"/>
      <c r="G835" s="6"/>
      <c r="H835" s="6"/>
    </row>
    <row r="836" spans="2:8" x14ac:dyDescent="0.3">
      <c r="B836" s="6"/>
      <c r="C836" s="6"/>
      <c r="D836" s="6"/>
      <c r="E836" s="233"/>
      <c r="F836" s="6"/>
      <c r="G836" s="6"/>
      <c r="H836" s="6"/>
    </row>
    <row r="837" spans="2:8" x14ac:dyDescent="0.3">
      <c r="B837" s="6"/>
      <c r="C837" s="6"/>
      <c r="D837" s="6"/>
      <c r="E837" s="233"/>
      <c r="F837" s="6"/>
      <c r="G837" s="6"/>
      <c r="H837" s="6"/>
    </row>
    <row r="838" spans="2:8" x14ac:dyDescent="0.3">
      <c r="B838" s="6"/>
      <c r="C838" s="6"/>
      <c r="D838" s="6"/>
      <c r="E838" s="233"/>
      <c r="F838" s="6"/>
      <c r="G838" s="6"/>
      <c r="H838" s="6"/>
    </row>
    <row r="839" spans="2:8" x14ac:dyDescent="0.3">
      <c r="B839" s="6"/>
      <c r="C839" s="6"/>
      <c r="D839" s="6"/>
      <c r="E839" s="233"/>
      <c r="F839" s="6"/>
      <c r="G839" s="6"/>
      <c r="H839" s="6"/>
    </row>
    <row r="840" spans="2:8" x14ac:dyDescent="0.3">
      <c r="B840" s="6"/>
      <c r="C840" s="6"/>
      <c r="D840" s="6"/>
      <c r="E840" s="233"/>
      <c r="F840" s="6"/>
      <c r="G840" s="6"/>
      <c r="H840" s="6"/>
    </row>
    <row r="841" spans="2:8" x14ac:dyDescent="0.3">
      <c r="B841" s="6"/>
      <c r="C841" s="6"/>
      <c r="D841" s="6"/>
      <c r="E841" s="233"/>
      <c r="F841" s="6"/>
      <c r="G841" s="6"/>
      <c r="H841" s="6"/>
    </row>
    <row r="842" spans="2:8" x14ac:dyDescent="0.3">
      <c r="B842" s="6"/>
      <c r="C842" s="6"/>
      <c r="D842" s="6"/>
      <c r="E842" s="233"/>
      <c r="F842" s="6"/>
      <c r="G842" s="6"/>
      <c r="H842" s="6"/>
    </row>
    <row r="843" spans="2:8" x14ac:dyDescent="0.3">
      <c r="B843" s="6"/>
      <c r="C843" s="6"/>
      <c r="D843" s="6"/>
      <c r="E843" s="233"/>
      <c r="F843" s="6"/>
      <c r="G843" s="6"/>
      <c r="H843" s="6"/>
    </row>
    <row r="844" spans="2:8" x14ac:dyDescent="0.3">
      <c r="B844" s="6"/>
      <c r="C844" s="6"/>
      <c r="D844" s="6"/>
      <c r="E844" s="233"/>
      <c r="F844" s="6"/>
      <c r="G844" s="6"/>
      <c r="H844" s="6"/>
    </row>
    <row r="845" spans="2:8" x14ac:dyDescent="0.3">
      <c r="B845" s="6"/>
      <c r="C845" s="6"/>
      <c r="D845" s="6"/>
      <c r="E845" s="233"/>
      <c r="F845" s="6"/>
      <c r="G845" s="6"/>
      <c r="H845" s="6"/>
    </row>
    <row r="846" spans="2:8" x14ac:dyDescent="0.3">
      <c r="B846" s="6"/>
      <c r="C846" s="6"/>
      <c r="D846" s="6"/>
      <c r="E846" s="233"/>
      <c r="F846" s="6"/>
      <c r="G846" s="6"/>
      <c r="H846" s="6"/>
    </row>
    <row r="847" spans="2:8" x14ac:dyDescent="0.3">
      <c r="B847" s="6"/>
      <c r="C847" s="6"/>
      <c r="D847" s="6"/>
      <c r="E847" s="233"/>
      <c r="F847" s="6"/>
      <c r="G847" s="6"/>
      <c r="H847" s="6"/>
    </row>
    <row r="848" spans="2:8" x14ac:dyDescent="0.3">
      <c r="B848" s="6"/>
      <c r="C848" s="6"/>
      <c r="D848" s="6"/>
      <c r="E848" s="233"/>
      <c r="F848" s="6"/>
      <c r="G848" s="6"/>
      <c r="H848" s="6"/>
    </row>
    <row r="849" spans="2:8" x14ac:dyDescent="0.3">
      <c r="B849" s="6"/>
      <c r="C849" s="6"/>
      <c r="D849" s="6"/>
      <c r="E849" s="233"/>
      <c r="F849" s="6"/>
      <c r="G849" s="6"/>
      <c r="H849" s="6"/>
    </row>
    <row r="850" spans="2:8" x14ac:dyDescent="0.3">
      <c r="B850" s="6"/>
      <c r="C850" s="6"/>
      <c r="D850" s="6"/>
      <c r="E850" s="233"/>
      <c r="F850" s="6"/>
      <c r="G850" s="6"/>
      <c r="H850" s="6"/>
    </row>
    <row r="851" spans="2:8" x14ac:dyDescent="0.3">
      <c r="B851" s="6"/>
      <c r="C851" s="6"/>
      <c r="D851" s="6"/>
      <c r="E851" s="233"/>
      <c r="F851" s="6"/>
      <c r="G851" s="6"/>
      <c r="H851" s="6"/>
    </row>
    <row r="852" spans="2:8" x14ac:dyDescent="0.3">
      <c r="B852" s="6"/>
      <c r="C852" s="6"/>
      <c r="D852" s="6"/>
      <c r="E852" s="233"/>
      <c r="F852" s="6"/>
      <c r="G852" s="6"/>
      <c r="H852" s="6"/>
    </row>
    <row r="853" spans="2:8" x14ac:dyDescent="0.3">
      <c r="B853" s="6"/>
      <c r="C853" s="6"/>
      <c r="D853" s="6"/>
      <c r="E853" s="233"/>
      <c r="F853" s="6"/>
      <c r="G853" s="6"/>
      <c r="H853" s="6"/>
    </row>
    <row r="854" spans="2:8" x14ac:dyDescent="0.3">
      <c r="B854" s="6"/>
      <c r="C854" s="6"/>
      <c r="D854" s="6"/>
      <c r="E854" s="233"/>
      <c r="F854" s="6"/>
      <c r="G854" s="6"/>
      <c r="H854" s="6"/>
    </row>
    <row r="855" spans="2:8" x14ac:dyDescent="0.3">
      <c r="B855" s="6"/>
      <c r="C855" s="6"/>
      <c r="D855" s="6"/>
      <c r="E855" s="233"/>
      <c r="F855" s="6"/>
      <c r="G855" s="6"/>
      <c r="H855" s="6"/>
    </row>
    <row r="856" spans="2:8" x14ac:dyDescent="0.3">
      <c r="B856" s="6"/>
      <c r="C856" s="6"/>
      <c r="D856" s="6"/>
      <c r="E856" s="233"/>
      <c r="F856" s="6"/>
      <c r="G856" s="6"/>
      <c r="H856" s="6"/>
    </row>
    <row r="857" spans="2:8" x14ac:dyDescent="0.3">
      <c r="B857" s="6"/>
      <c r="C857" s="6"/>
      <c r="D857" s="6"/>
      <c r="E857" s="233"/>
      <c r="F857" s="6"/>
      <c r="G857" s="6"/>
      <c r="H857" s="6"/>
    </row>
    <row r="858" spans="2:8" x14ac:dyDescent="0.3">
      <c r="B858" s="6"/>
      <c r="C858" s="6"/>
      <c r="D858" s="6"/>
      <c r="E858" s="233"/>
      <c r="F858" s="6"/>
      <c r="G858" s="6"/>
      <c r="H858" s="6"/>
    </row>
    <row r="859" spans="2:8" x14ac:dyDescent="0.3">
      <c r="B859" s="6"/>
      <c r="C859" s="6"/>
      <c r="D859" s="6"/>
      <c r="E859" s="233"/>
      <c r="F859" s="6"/>
      <c r="G859" s="6"/>
      <c r="H859" s="6"/>
    </row>
    <row r="860" spans="2:8" x14ac:dyDescent="0.3">
      <c r="B860" s="6"/>
      <c r="C860" s="6"/>
      <c r="D860" s="6"/>
      <c r="E860" s="233"/>
      <c r="F860" s="6"/>
      <c r="G860" s="6"/>
      <c r="H860" s="6"/>
    </row>
    <row r="861" spans="2:8" x14ac:dyDescent="0.3">
      <c r="B861" s="6"/>
      <c r="C861" s="6"/>
      <c r="D861" s="6"/>
      <c r="E861" s="233"/>
      <c r="F861" s="6"/>
      <c r="G861" s="6"/>
      <c r="H861" s="6"/>
    </row>
    <row r="862" spans="2:8" x14ac:dyDescent="0.3">
      <c r="B862" s="6"/>
      <c r="C862" s="6"/>
      <c r="D862" s="6"/>
      <c r="E862" s="233"/>
      <c r="F862" s="6"/>
      <c r="G862" s="6"/>
      <c r="H862" s="6"/>
    </row>
    <row r="863" spans="2:8" x14ac:dyDescent="0.3">
      <c r="B863" s="6"/>
      <c r="C863" s="6"/>
      <c r="D863" s="6"/>
      <c r="E863" s="233"/>
      <c r="F863" s="6"/>
      <c r="G863" s="6"/>
      <c r="H863" s="6"/>
    </row>
    <row r="864" spans="2:8" x14ac:dyDescent="0.3">
      <c r="B864" s="6"/>
      <c r="C864" s="6"/>
      <c r="D864" s="6"/>
      <c r="E864" s="233"/>
      <c r="F864" s="6"/>
      <c r="G864" s="6"/>
      <c r="H864" s="6"/>
    </row>
    <row r="865" spans="2:8" x14ac:dyDescent="0.3">
      <c r="B865" s="6"/>
      <c r="C865" s="6"/>
      <c r="D865" s="6"/>
      <c r="E865" s="233"/>
      <c r="F865" s="6"/>
      <c r="G865" s="6"/>
      <c r="H865" s="6"/>
    </row>
    <row r="866" spans="2:8" x14ac:dyDescent="0.3">
      <c r="B866" s="6"/>
      <c r="C866" s="6"/>
      <c r="D866" s="6"/>
      <c r="E866" s="233"/>
      <c r="F866" s="6"/>
      <c r="G866" s="6"/>
      <c r="H866" s="6"/>
    </row>
    <row r="867" spans="2:8" x14ac:dyDescent="0.3">
      <c r="B867" s="6"/>
      <c r="C867" s="6"/>
      <c r="D867" s="6"/>
      <c r="E867" s="233"/>
      <c r="F867" s="6"/>
      <c r="G867" s="6"/>
      <c r="H867" s="6"/>
    </row>
    <row r="868" spans="2:8" x14ac:dyDescent="0.3">
      <c r="B868" s="6"/>
      <c r="C868" s="6"/>
      <c r="D868" s="6"/>
      <c r="E868" s="233"/>
      <c r="F868" s="6"/>
      <c r="G868" s="6"/>
      <c r="H868" s="6"/>
    </row>
    <row r="869" spans="2:8" x14ac:dyDescent="0.3">
      <c r="B869" s="6"/>
      <c r="C869" s="6"/>
      <c r="D869" s="6"/>
      <c r="E869" s="233"/>
      <c r="F869" s="6"/>
      <c r="G869" s="6"/>
      <c r="H869" s="6"/>
    </row>
    <row r="870" spans="2:8" x14ac:dyDescent="0.3">
      <c r="B870" s="6"/>
      <c r="C870" s="6"/>
      <c r="D870" s="6"/>
      <c r="E870" s="233"/>
      <c r="F870" s="6"/>
      <c r="G870" s="6"/>
      <c r="H870" s="6"/>
    </row>
    <row r="871" spans="2:8" x14ac:dyDescent="0.3">
      <c r="B871" s="6"/>
      <c r="C871" s="6"/>
      <c r="D871" s="6"/>
      <c r="E871" s="233"/>
      <c r="F871" s="6"/>
      <c r="G871" s="6"/>
      <c r="H871" s="6"/>
    </row>
    <row r="872" spans="2:8" x14ac:dyDescent="0.3">
      <c r="B872" s="6"/>
      <c r="C872" s="6"/>
      <c r="D872" s="6"/>
      <c r="E872" s="233"/>
      <c r="F872" s="6"/>
      <c r="G872" s="6"/>
      <c r="H872" s="6"/>
    </row>
    <row r="873" spans="2:8" x14ac:dyDescent="0.3">
      <c r="B873" s="6"/>
      <c r="C873" s="6"/>
      <c r="D873" s="6"/>
      <c r="E873" s="233"/>
      <c r="F873" s="6"/>
      <c r="G873" s="6"/>
      <c r="H873" s="6"/>
    </row>
    <row r="874" spans="2:8" x14ac:dyDescent="0.3">
      <c r="B874" s="6"/>
      <c r="C874" s="6"/>
      <c r="D874" s="6"/>
      <c r="E874" s="233"/>
      <c r="F874" s="6"/>
      <c r="G874" s="6"/>
      <c r="H874" s="6"/>
    </row>
    <row r="875" spans="2:8" x14ac:dyDescent="0.3">
      <c r="B875" s="6"/>
      <c r="C875" s="6"/>
      <c r="D875" s="6"/>
      <c r="E875" s="233"/>
      <c r="F875" s="6"/>
      <c r="G875" s="6"/>
      <c r="H875" s="6"/>
    </row>
    <row r="876" spans="2:8" x14ac:dyDescent="0.3">
      <c r="B876" s="6"/>
      <c r="C876" s="6"/>
      <c r="D876" s="6"/>
      <c r="E876" s="233"/>
      <c r="F876" s="6"/>
      <c r="G876" s="6"/>
      <c r="H876" s="6"/>
    </row>
    <row r="877" spans="2:8" x14ac:dyDescent="0.3">
      <c r="B877" s="6"/>
      <c r="C877" s="6"/>
      <c r="D877" s="6"/>
      <c r="E877" s="233"/>
      <c r="F877" s="6"/>
      <c r="G877" s="6"/>
      <c r="H877" s="6"/>
    </row>
    <row r="878" spans="2:8" x14ac:dyDescent="0.3">
      <c r="B878" s="6"/>
      <c r="C878" s="6"/>
      <c r="D878" s="6"/>
      <c r="E878" s="233"/>
      <c r="F878" s="6"/>
      <c r="G878" s="6"/>
      <c r="H878" s="6"/>
    </row>
    <row r="879" spans="2:8" x14ac:dyDescent="0.3">
      <c r="B879" s="6"/>
      <c r="C879" s="6"/>
      <c r="D879" s="6"/>
      <c r="E879" s="233"/>
      <c r="F879" s="6"/>
      <c r="G879" s="6"/>
      <c r="H879" s="6"/>
    </row>
    <row r="880" spans="2:8" x14ac:dyDescent="0.3">
      <c r="B880" s="6"/>
      <c r="C880" s="6"/>
      <c r="D880" s="6"/>
      <c r="E880" s="233"/>
      <c r="F880" s="6"/>
      <c r="G880" s="6"/>
      <c r="H880" s="6"/>
    </row>
    <row r="881" spans="2:8" x14ac:dyDescent="0.3">
      <c r="B881" s="6"/>
      <c r="C881" s="6"/>
      <c r="D881" s="6"/>
      <c r="E881" s="233"/>
      <c r="F881" s="6"/>
      <c r="G881" s="6"/>
      <c r="H881" s="6"/>
    </row>
    <row r="882" spans="2:8" x14ac:dyDescent="0.3">
      <c r="B882" s="6"/>
      <c r="C882" s="6"/>
      <c r="D882" s="6"/>
      <c r="E882" s="233"/>
      <c r="F882" s="6"/>
      <c r="G882" s="6"/>
      <c r="H882" s="6"/>
    </row>
    <row r="883" spans="2:8" x14ac:dyDescent="0.3">
      <c r="B883" s="6"/>
      <c r="C883" s="6"/>
      <c r="D883" s="6"/>
      <c r="E883" s="233"/>
      <c r="F883" s="6"/>
      <c r="G883" s="6"/>
      <c r="H883" s="6"/>
    </row>
    <row r="884" spans="2:8" x14ac:dyDescent="0.3">
      <c r="B884" s="6"/>
      <c r="C884" s="6"/>
      <c r="D884" s="6"/>
      <c r="E884" s="233"/>
      <c r="F884" s="6"/>
      <c r="G884" s="6"/>
      <c r="H884" s="6"/>
    </row>
    <row r="885" spans="2:8" x14ac:dyDescent="0.3">
      <c r="B885" s="6"/>
      <c r="C885" s="6"/>
      <c r="D885" s="6"/>
      <c r="E885" s="233"/>
      <c r="F885" s="6"/>
      <c r="G885" s="6"/>
      <c r="H885" s="6"/>
    </row>
    <row r="886" spans="2:8" x14ac:dyDescent="0.3">
      <c r="B886" s="6"/>
      <c r="C886" s="6"/>
      <c r="D886" s="6"/>
      <c r="E886" s="233"/>
      <c r="F886" s="6"/>
      <c r="G886" s="6"/>
      <c r="H886" s="6"/>
    </row>
    <row r="887" spans="2:8" x14ac:dyDescent="0.3">
      <c r="B887" s="6"/>
      <c r="C887" s="6"/>
      <c r="D887" s="6"/>
      <c r="E887" s="233"/>
      <c r="F887" s="6"/>
      <c r="G887" s="6"/>
      <c r="H887" s="6"/>
    </row>
    <row r="888" spans="2:8" x14ac:dyDescent="0.3">
      <c r="B888" s="6"/>
      <c r="C888" s="6"/>
      <c r="D888" s="6"/>
      <c r="E888" s="233"/>
      <c r="F888" s="6"/>
      <c r="G888" s="6"/>
      <c r="H888" s="6"/>
    </row>
    <row r="889" spans="2:8" x14ac:dyDescent="0.3">
      <c r="B889" s="6"/>
      <c r="C889" s="6"/>
      <c r="D889" s="6"/>
      <c r="E889" s="233"/>
      <c r="F889" s="6"/>
      <c r="G889" s="6"/>
      <c r="H889" s="6"/>
    </row>
    <row r="890" spans="2:8" x14ac:dyDescent="0.3">
      <c r="B890" s="6"/>
      <c r="C890" s="6"/>
      <c r="D890" s="6"/>
      <c r="E890" s="233"/>
      <c r="F890" s="6"/>
      <c r="G890" s="6"/>
      <c r="H890" s="6"/>
    </row>
    <row r="891" spans="2:8" x14ac:dyDescent="0.3">
      <c r="B891" s="6"/>
      <c r="C891" s="6"/>
      <c r="D891" s="6"/>
      <c r="E891" s="233"/>
      <c r="F891" s="6"/>
      <c r="G891" s="6"/>
      <c r="H891" s="6"/>
    </row>
    <row r="892" spans="2:8" x14ac:dyDescent="0.3">
      <c r="B892" s="6"/>
      <c r="C892" s="6"/>
      <c r="D892" s="6"/>
      <c r="E892" s="233"/>
      <c r="F892" s="6"/>
      <c r="G892" s="6"/>
      <c r="H892" s="6"/>
    </row>
    <row r="893" spans="2:8" x14ac:dyDescent="0.3">
      <c r="B893" s="6"/>
      <c r="C893" s="6"/>
      <c r="D893" s="6"/>
      <c r="E893" s="233"/>
      <c r="F893" s="6"/>
      <c r="G893" s="6"/>
      <c r="H893" s="6"/>
    </row>
    <row r="894" spans="2:8" x14ac:dyDescent="0.3">
      <c r="B894" s="6"/>
      <c r="C894" s="6"/>
      <c r="D894" s="6"/>
      <c r="E894" s="233"/>
      <c r="F894" s="6"/>
      <c r="G894" s="6"/>
      <c r="H894" s="6"/>
    </row>
    <row r="895" spans="2:8" x14ac:dyDescent="0.3">
      <c r="B895" s="6"/>
      <c r="C895" s="6"/>
      <c r="D895" s="6"/>
      <c r="E895" s="233"/>
      <c r="F895" s="6"/>
      <c r="G895" s="6"/>
      <c r="H895" s="6"/>
    </row>
    <row r="896" spans="2:8" x14ac:dyDescent="0.3">
      <c r="B896" s="6"/>
      <c r="C896" s="6"/>
      <c r="D896" s="6"/>
      <c r="E896" s="233"/>
      <c r="F896" s="6"/>
      <c r="G896" s="6"/>
      <c r="H896" s="6"/>
    </row>
    <row r="897" spans="2:8" x14ac:dyDescent="0.3">
      <c r="B897" s="6"/>
      <c r="C897" s="6"/>
      <c r="D897" s="6"/>
      <c r="E897" s="233"/>
      <c r="F897" s="6"/>
      <c r="G897" s="6"/>
      <c r="H897" s="6"/>
    </row>
    <row r="898" spans="2:8" x14ac:dyDescent="0.3">
      <c r="B898" s="6"/>
      <c r="C898" s="6"/>
      <c r="D898" s="6"/>
      <c r="E898" s="233"/>
      <c r="F898" s="6"/>
      <c r="G898" s="6"/>
      <c r="H898" s="6"/>
    </row>
    <row r="899" spans="2:8" x14ac:dyDescent="0.3">
      <c r="B899" s="6"/>
      <c r="C899" s="6"/>
      <c r="D899" s="6"/>
      <c r="E899" s="233"/>
      <c r="F899" s="6"/>
      <c r="G899" s="6"/>
      <c r="H899" s="6"/>
    </row>
    <row r="900" spans="2:8" x14ac:dyDescent="0.3">
      <c r="B900" s="6"/>
      <c r="C900" s="6"/>
      <c r="D900" s="6"/>
      <c r="E900" s="233"/>
      <c r="F900" s="6"/>
      <c r="G900" s="6"/>
      <c r="H900" s="6"/>
    </row>
    <row r="901" spans="2:8" x14ac:dyDescent="0.3">
      <c r="B901" s="6"/>
      <c r="C901" s="6"/>
      <c r="D901" s="6"/>
      <c r="E901" s="233"/>
      <c r="F901" s="6"/>
      <c r="G901" s="6"/>
      <c r="H901" s="6"/>
    </row>
    <row r="902" spans="2:8" x14ac:dyDescent="0.3">
      <c r="B902" s="6"/>
      <c r="C902" s="6"/>
      <c r="D902" s="6"/>
      <c r="E902" s="233"/>
      <c r="F902" s="6"/>
      <c r="G902" s="6"/>
      <c r="H902" s="6"/>
    </row>
    <row r="903" spans="2:8" x14ac:dyDescent="0.3">
      <c r="B903" s="6"/>
      <c r="C903" s="6"/>
      <c r="D903" s="6"/>
      <c r="E903" s="233"/>
      <c r="F903" s="6"/>
      <c r="G903" s="6"/>
      <c r="H903" s="6"/>
    </row>
    <row r="904" spans="2:8" x14ac:dyDescent="0.3">
      <c r="B904" s="6"/>
      <c r="C904" s="6"/>
      <c r="D904" s="6"/>
      <c r="E904" s="233"/>
      <c r="F904" s="6"/>
      <c r="G904" s="6"/>
      <c r="H904" s="6"/>
    </row>
    <row r="905" spans="2:8" x14ac:dyDescent="0.3">
      <c r="B905" s="6"/>
      <c r="C905" s="6"/>
      <c r="D905" s="6"/>
      <c r="E905" s="233"/>
      <c r="F905" s="6"/>
      <c r="G905" s="6"/>
      <c r="H905" s="6"/>
    </row>
    <row r="906" spans="2:8" x14ac:dyDescent="0.3">
      <c r="B906" s="6"/>
      <c r="C906" s="6"/>
      <c r="D906" s="6"/>
      <c r="E906" s="233"/>
      <c r="F906" s="6"/>
      <c r="G906" s="6"/>
      <c r="H906" s="6"/>
    </row>
    <row r="907" spans="2:8" x14ac:dyDescent="0.3">
      <c r="B907" s="6"/>
      <c r="C907" s="6"/>
      <c r="D907" s="6"/>
      <c r="E907" s="233"/>
      <c r="F907" s="6"/>
      <c r="G907" s="6"/>
      <c r="H907" s="6"/>
    </row>
    <row r="908" spans="2:8" x14ac:dyDescent="0.3">
      <c r="B908" s="6"/>
      <c r="C908" s="6"/>
      <c r="D908" s="6"/>
      <c r="E908" s="233"/>
      <c r="F908" s="6"/>
      <c r="G908" s="6"/>
      <c r="H908" s="6"/>
    </row>
    <row r="909" spans="2:8" x14ac:dyDescent="0.3">
      <c r="B909" s="6"/>
      <c r="C909" s="6"/>
      <c r="D909" s="6"/>
      <c r="E909" s="233"/>
      <c r="F909" s="6"/>
      <c r="G909" s="6"/>
      <c r="H909" s="6"/>
    </row>
    <row r="910" spans="2:8" x14ac:dyDescent="0.3">
      <c r="B910" s="6"/>
      <c r="C910" s="6"/>
      <c r="D910" s="6"/>
      <c r="E910" s="233"/>
      <c r="F910" s="6"/>
      <c r="G910" s="6"/>
      <c r="H910" s="6"/>
    </row>
    <row r="911" spans="2:8" x14ac:dyDescent="0.3">
      <c r="B911" s="6"/>
      <c r="C911" s="6"/>
      <c r="D911" s="6"/>
      <c r="E911" s="233"/>
      <c r="F911" s="6"/>
      <c r="G911" s="6"/>
      <c r="H911" s="6"/>
    </row>
    <row r="912" spans="2:8" x14ac:dyDescent="0.3">
      <c r="B912" s="6"/>
      <c r="C912" s="6"/>
      <c r="D912" s="6"/>
      <c r="E912" s="233"/>
      <c r="F912" s="6"/>
      <c r="G912" s="6"/>
      <c r="H912" s="6"/>
    </row>
    <row r="913" spans="2:8" x14ac:dyDescent="0.3">
      <c r="B913" s="6"/>
      <c r="C913" s="6"/>
      <c r="D913" s="6"/>
      <c r="E913" s="233"/>
      <c r="F913" s="6"/>
      <c r="G913" s="6"/>
      <c r="H913" s="6"/>
    </row>
    <row r="914" spans="2:8" x14ac:dyDescent="0.3">
      <c r="B914" s="6"/>
      <c r="C914" s="6"/>
      <c r="D914" s="6"/>
      <c r="E914" s="233"/>
      <c r="F914" s="6"/>
      <c r="G914" s="6"/>
      <c r="H914" s="6"/>
    </row>
    <row r="915" spans="2:8" x14ac:dyDescent="0.3">
      <c r="B915" s="6"/>
      <c r="C915" s="6"/>
      <c r="D915" s="6"/>
      <c r="E915" s="233"/>
      <c r="F915" s="6"/>
      <c r="G915" s="6"/>
      <c r="H915" s="6"/>
    </row>
    <row r="916" spans="2:8" x14ac:dyDescent="0.3">
      <c r="B916" s="6"/>
      <c r="C916" s="6"/>
      <c r="D916" s="6"/>
      <c r="E916" s="233"/>
      <c r="F916" s="6"/>
      <c r="G916" s="6"/>
      <c r="H916" s="6"/>
    </row>
    <row r="917" spans="2:8" x14ac:dyDescent="0.3">
      <c r="B917" s="6"/>
      <c r="C917" s="6"/>
      <c r="D917" s="6"/>
      <c r="E917" s="233"/>
      <c r="F917" s="6"/>
      <c r="G917" s="6"/>
      <c r="H917" s="6"/>
    </row>
    <row r="918" spans="2:8" x14ac:dyDescent="0.3">
      <c r="B918" s="6"/>
      <c r="C918" s="6"/>
      <c r="D918" s="6"/>
      <c r="E918" s="233"/>
      <c r="F918" s="6"/>
      <c r="G918" s="6"/>
      <c r="H918" s="6"/>
    </row>
    <row r="919" spans="2:8" x14ac:dyDescent="0.3">
      <c r="B919" s="6"/>
      <c r="C919" s="6"/>
      <c r="D919" s="6"/>
      <c r="E919" s="233"/>
      <c r="F919" s="6"/>
      <c r="G919" s="6"/>
      <c r="H919" s="6"/>
    </row>
    <row r="920" spans="2:8" x14ac:dyDescent="0.3">
      <c r="B920" s="6"/>
      <c r="C920" s="6"/>
      <c r="D920" s="6"/>
      <c r="E920" s="233"/>
      <c r="F920" s="6"/>
      <c r="G920" s="6"/>
      <c r="H920" s="6"/>
    </row>
    <row r="921" spans="2:8" x14ac:dyDescent="0.3">
      <c r="B921" s="6"/>
      <c r="C921" s="6"/>
      <c r="D921" s="6"/>
      <c r="E921" s="233"/>
      <c r="F921" s="6"/>
      <c r="G921" s="6"/>
      <c r="H921" s="6"/>
    </row>
    <row r="922" spans="2:8" x14ac:dyDescent="0.3">
      <c r="B922" s="6"/>
      <c r="C922" s="6"/>
      <c r="D922" s="6"/>
      <c r="E922" s="233"/>
      <c r="F922" s="6"/>
      <c r="G922" s="6"/>
      <c r="H922" s="6"/>
    </row>
    <row r="923" spans="2:8" x14ac:dyDescent="0.3">
      <c r="B923" s="6"/>
      <c r="C923" s="6"/>
      <c r="D923" s="6"/>
      <c r="E923" s="233"/>
      <c r="F923" s="6"/>
      <c r="G923" s="6"/>
      <c r="H923" s="6"/>
    </row>
    <row r="924" spans="2:8" x14ac:dyDescent="0.3">
      <c r="B924" s="6"/>
      <c r="C924" s="6"/>
      <c r="D924" s="6"/>
      <c r="E924" s="233"/>
      <c r="F924" s="6"/>
      <c r="G924" s="6"/>
      <c r="H924" s="6"/>
    </row>
    <row r="925" spans="2:8" x14ac:dyDescent="0.3">
      <c r="B925" s="6"/>
      <c r="C925" s="6"/>
      <c r="D925" s="6"/>
      <c r="E925" s="233"/>
      <c r="F925" s="6"/>
      <c r="G925" s="6"/>
      <c r="H925" s="6"/>
    </row>
    <row r="926" spans="2:8" x14ac:dyDescent="0.3">
      <c r="B926" s="6"/>
      <c r="C926" s="6"/>
      <c r="D926" s="6"/>
      <c r="E926" s="233"/>
      <c r="F926" s="6"/>
      <c r="G926" s="6"/>
      <c r="H926" s="6"/>
    </row>
    <row r="927" spans="2:8" x14ac:dyDescent="0.3">
      <c r="B927" s="6"/>
      <c r="C927" s="6"/>
      <c r="D927" s="6"/>
      <c r="E927" s="233"/>
      <c r="F927" s="6"/>
      <c r="G927" s="6"/>
      <c r="H927" s="6"/>
    </row>
    <row r="928" spans="2:8" x14ac:dyDescent="0.3">
      <c r="B928" s="6"/>
      <c r="C928" s="6"/>
      <c r="D928" s="6"/>
      <c r="E928" s="233"/>
      <c r="F928" s="6"/>
      <c r="G928" s="6"/>
      <c r="H928" s="6"/>
    </row>
    <row r="929" spans="2:8" x14ac:dyDescent="0.3">
      <c r="B929" s="6"/>
      <c r="C929" s="6"/>
      <c r="D929" s="6"/>
      <c r="E929" s="233"/>
      <c r="F929" s="6"/>
      <c r="G929" s="6"/>
      <c r="H929" s="6"/>
    </row>
    <row r="930" spans="2:8" x14ac:dyDescent="0.3">
      <c r="B930" s="6"/>
      <c r="C930" s="6"/>
      <c r="D930" s="6"/>
      <c r="E930" s="233"/>
      <c r="F930" s="6"/>
      <c r="G930" s="6"/>
      <c r="H930" s="6"/>
    </row>
    <row r="931" spans="2:8" x14ac:dyDescent="0.3">
      <c r="B931" s="6"/>
      <c r="C931" s="6"/>
      <c r="D931" s="6"/>
      <c r="E931" s="233"/>
      <c r="F931" s="6"/>
      <c r="G931" s="6"/>
      <c r="H931" s="6"/>
    </row>
    <row r="932" spans="2:8" x14ac:dyDescent="0.3">
      <c r="B932" s="6"/>
      <c r="C932" s="6"/>
      <c r="D932" s="6"/>
      <c r="E932" s="233"/>
      <c r="F932" s="6"/>
      <c r="G932" s="6"/>
      <c r="H932" s="6"/>
    </row>
    <row r="933" spans="2:8" x14ac:dyDescent="0.3">
      <c r="B933" s="6"/>
      <c r="C933" s="6"/>
      <c r="D933" s="6"/>
      <c r="E933" s="233"/>
      <c r="F933" s="6"/>
      <c r="G933" s="6"/>
      <c r="H933" s="6"/>
    </row>
    <row r="934" spans="2:8" x14ac:dyDescent="0.3">
      <c r="B934" s="6"/>
      <c r="C934" s="6"/>
      <c r="D934" s="6"/>
      <c r="E934" s="233"/>
      <c r="F934" s="6"/>
      <c r="G934" s="6"/>
      <c r="H934" s="6"/>
    </row>
    <row r="935" spans="2:8" x14ac:dyDescent="0.3">
      <c r="B935" s="6"/>
      <c r="C935" s="6"/>
      <c r="D935" s="6"/>
      <c r="E935" s="233"/>
      <c r="F935" s="6"/>
      <c r="G935" s="6"/>
      <c r="H935" s="6"/>
    </row>
    <row r="936" spans="2:8" x14ac:dyDescent="0.3">
      <c r="B936" s="6"/>
      <c r="C936" s="6"/>
      <c r="D936" s="6"/>
      <c r="E936" s="233"/>
      <c r="F936" s="6"/>
      <c r="G936" s="6"/>
      <c r="H936" s="6"/>
    </row>
    <row r="937" spans="2:8" x14ac:dyDescent="0.3">
      <c r="B937" s="6"/>
      <c r="C937" s="6"/>
      <c r="D937" s="6"/>
      <c r="E937" s="233"/>
      <c r="F937" s="6"/>
      <c r="G937" s="6"/>
      <c r="H937" s="6"/>
    </row>
    <row r="938" spans="2:8" x14ac:dyDescent="0.3">
      <c r="B938" s="6"/>
      <c r="C938" s="6"/>
      <c r="D938" s="6"/>
      <c r="E938" s="233"/>
      <c r="F938" s="6"/>
      <c r="G938" s="6"/>
      <c r="H938" s="6"/>
    </row>
    <row r="939" spans="2:8" x14ac:dyDescent="0.3">
      <c r="B939" s="6"/>
      <c r="C939" s="6"/>
      <c r="D939" s="6"/>
      <c r="E939" s="233"/>
      <c r="F939" s="6"/>
      <c r="G939" s="6"/>
      <c r="H939" s="6"/>
    </row>
    <row r="940" spans="2:8" x14ac:dyDescent="0.3">
      <c r="B940" s="6"/>
      <c r="C940" s="6"/>
      <c r="D940" s="6"/>
      <c r="E940" s="233"/>
      <c r="F940" s="6"/>
      <c r="G940" s="6"/>
      <c r="H940" s="6"/>
    </row>
    <row r="941" spans="2:8" x14ac:dyDescent="0.3">
      <c r="B941" s="6"/>
      <c r="C941" s="6"/>
      <c r="D941" s="6"/>
      <c r="E941" s="233"/>
      <c r="F941" s="6"/>
      <c r="G941" s="6"/>
      <c r="H941" s="6"/>
    </row>
    <row r="942" spans="2:8" x14ac:dyDescent="0.3">
      <c r="B942" s="6"/>
      <c r="C942" s="6"/>
      <c r="D942" s="6"/>
      <c r="E942" s="233"/>
      <c r="F942" s="6"/>
      <c r="G942" s="6"/>
      <c r="H942" s="6"/>
    </row>
    <row r="943" spans="2:8" x14ac:dyDescent="0.3">
      <c r="B943" s="6"/>
      <c r="C943" s="6"/>
      <c r="D943" s="6"/>
      <c r="E943" s="233"/>
      <c r="F943" s="6"/>
      <c r="G943" s="6"/>
      <c r="H943" s="6"/>
    </row>
    <row r="944" spans="2:8" x14ac:dyDescent="0.3">
      <c r="B944" s="6"/>
      <c r="C944" s="6"/>
      <c r="D944" s="6"/>
      <c r="E944" s="233"/>
      <c r="F944" s="6"/>
      <c r="G944" s="6"/>
      <c r="H944" s="6"/>
    </row>
    <row r="945" spans="2:8" x14ac:dyDescent="0.3">
      <c r="B945" s="6"/>
      <c r="C945" s="6"/>
      <c r="D945" s="6"/>
      <c r="E945" s="233"/>
      <c r="F945" s="6"/>
      <c r="G945" s="6"/>
      <c r="H945" s="6"/>
    </row>
    <row r="946" spans="2:8" x14ac:dyDescent="0.3">
      <c r="B946" s="6"/>
      <c r="C946" s="6"/>
      <c r="D946" s="6"/>
      <c r="E946" s="233"/>
      <c r="F946" s="6"/>
      <c r="G946" s="6"/>
      <c r="H946" s="6"/>
    </row>
    <row r="947" spans="2:8" x14ac:dyDescent="0.3">
      <c r="B947" s="6"/>
      <c r="C947" s="6"/>
      <c r="D947" s="6"/>
      <c r="E947" s="233"/>
      <c r="F947" s="6"/>
      <c r="G947" s="6"/>
      <c r="H947" s="6"/>
    </row>
    <row r="948" spans="2:8" x14ac:dyDescent="0.3">
      <c r="B948" s="6"/>
      <c r="C948" s="6"/>
      <c r="D948" s="6"/>
      <c r="E948" s="233"/>
      <c r="F948" s="6"/>
      <c r="G948" s="6"/>
      <c r="H948" s="6"/>
    </row>
    <row r="949" spans="2:8" x14ac:dyDescent="0.3">
      <c r="B949" s="6"/>
      <c r="C949" s="6"/>
      <c r="D949" s="6"/>
      <c r="E949" s="233"/>
      <c r="F949" s="6"/>
      <c r="G949" s="6"/>
      <c r="H949" s="6"/>
    </row>
    <row r="950" spans="2:8" x14ac:dyDescent="0.3">
      <c r="B950" s="6"/>
      <c r="C950" s="6"/>
      <c r="D950" s="6"/>
      <c r="E950" s="233"/>
      <c r="F950" s="6"/>
      <c r="G950" s="6"/>
      <c r="H950" s="6"/>
    </row>
    <row r="951" spans="2:8" x14ac:dyDescent="0.3">
      <c r="B951" s="6"/>
      <c r="C951" s="6"/>
      <c r="D951" s="6"/>
      <c r="E951" s="233"/>
      <c r="F951" s="6"/>
      <c r="G951" s="6"/>
      <c r="H951" s="6"/>
    </row>
    <row r="952" spans="2:8" x14ac:dyDescent="0.3">
      <c r="B952" s="6"/>
      <c r="C952" s="6"/>
      <c r="D952" s="6"/>
      <c r="E952" s="233"/>
      <c r="F952" s="6"/>
      <c r="G952" s="6"/>
      <c r="H952" s="6"/>
    </row>
    <row r="953" spans="2:8" x14ac:dyDescent="0.3">
      <c r="B953" s="6"/>
      <c r="C953" s="6"/>
      <c r="D953" s="6"/>
      <c r="E953" s="233"/>
      <c r="F953" s="6"/>
      <c r="G953" s="6"/>
      <c r="H953" s="6"/>
    </row>
    <row r="954" spans="2:8" x14ac:dyDescent="0.3">
      <c r="B954" s="6"/>
      <c r="C954" s="6"/>
      <c r="D954" s="6"/>
      <c r="E954" s="233"/>
      <c r="F954" s="6"/>
      <c r="G954" s="6"/>
      <c r="H954" s="6"/>
    </row>
    <row r="955" spans="2:8" x14ac:dyDescent="0.3">
      <c r="B955" s="6"/>
      <c r="C955" s="6"/>
      <c r="D955" s="6"/>
      <c r="E955" s="233"/>
      <c r="F955" s="6"/>
      <c r="G955" s="6"/>
      <c r="H955" s="6"/>
    </row>
    <row r="956" spans="2:8" x14ac:dyDescent="0.3">
      <c r="B956" s="6"/>
      <c r="C956" s="6"/>
      <c r="D956" s="6"/>
      <c r="E956" s="233"/>
      <c r="F956" s="6"/>
      <c r="G956" s="6"/>
      <c r="H956" s="6"/>
    </row>
    <row r="957" spans="2:8" x14ac:dyDescent="0.3">
      <c r="B957" s="6"/>
      <c r="C957" s="6"/>
      <c r="D957" s="6"/>
      <c r="E957" s="233"/>
      <c r="F957" s="6"/>
      <c r="G957" s="6"/>
      <c r="H957" s="6"/>
    </row>
    <row r="958" spans="2:8" x14ac:dyDescent="0.3">
      <c r="B958" s="6"/>
      <c r="C958" s="6"/>
      <c r="D958" s="6"/>
      <c r="E958" s="233"/>
      <c r="F958" s="6"/>
      <c r="G958" s="6"/>
      <c r="H958" s="6"/>
    </row>
    <row r="959" spans="2:8" x14ac:dyDescent="0.3">
      <c r="B959" s="6"/>
      <c r="C959" s="6"/>
      <c r="D959" s="6"/>
      <c r="E959" s="233"/>
      <c r="F959" s="6"/>
      <c r="G959" s="6"/>
      <c r="H959" s="6"/>
    </row>
    <row r="960" spans="2:8" x14ac:dyDescent="0.3">
      <c r="B960" s="6"/>
      <c r="C960" s="6"/>
      <c r="D960" s="6"/>
      <c r="E960" s="233"/>
      <c r="F960" s="6"/>
      <c r="G960" s="6"/>
      <c r="H960" s="6"/>
    </row>
    <row r="961" spans="2:8" x14ac:dyDescent="0.3">
      <c r="B961" s="6"/>
      <c r="C961" s="6"/>
      <c r="D961" s="6"/>
      <c r="E961" s="233"/>
      <c r="F961" s="6"/>
      <c r="G961" s="6"/>
      <c r="H961" s="6"/>
    </row>
    <row r="962" spans="2:8" x14ac:dyDescent="0.3">
      <c r="B962" s="6"/>
      <c r="C962" s="6"/>
      <c r="D962" s="6"/>
      <c r="E962" s="233"/>
      <c r="F962" s="6"/>
      <c r="G962" s="6"/>
      <c r="H962" s="6"/>
    </row>
    <row r="963" spans="2:8" x14ac:dyDescent="0.3">
      <c r="B963" s="6"/>
      <c r="C963" s="6"/>
      <c r="D963" s="6"/>
      <c r="E963" s="233"/>
      <c r="F963" s="6"/>
      <c r="G963" s="6"/>
      <c r="H963" s="6"/>
    </row>
    <row r="964" spans="2:8" x14ac:dyDescent="0.3">
      <c r="B964" s="6"/>
      <c r="C964" s="6"/>
      <c r="D964" s="6"/>
      <c r="E964" s="233"/>
      <c r="F964" s="6"/>
      <c r="G964" s="6"/>
      <c r="H964" s="6"/>
    </row>
    <row r="965" spans="2:8" x14ac:dyDescent="0.3">
      <c r="B965" s="6"/>
      <c r="C965" s="6"/>
      <c r="D965" s="6"/>
      <c r="E965" s="233"/>
      <c r="F965" s="6"/>
      <c r="G965" s="6"/>
      <c r="H965" s="6"/>
    </row>
    <row r="966" spans="2:8" x14ac:dyDescent="0.3">
      <c r="B966" s="6"/>
      <c r="C966" s="6"/>
      <c r="D966" s="6"/>
      <c r="E966" s="233"/>
      <c r="F966" s="6"/>
      <c r="G966" s="6"/>
      <c r="H966" s="6"/>
    </row>
    <row r="967" spans="2:8" x14ac:dyDescent="0.3">
      <c r="B967" s="6"/>
      <c r="C967" s="6"/>
      <c r="D967" s="6"/>
      <c r="E967" s="233"/>
      <c r="F967" s="6"/>
      <c r="G967" s="6"/>
      <c r="H967" s="6"/>
    </row>
    <row r="968" spans="2:8" x14ac:dyDescent="0.3">
      <c r="B968" s="6"/>
      <c r="C968" s="6"/>
      <c r="D968" s="6"/>
      <c r="E968" s="233"/>
      <c r="F968" s="6"/>
      <c r="G968" s="6"/>
      <c r="H968" s="6"/>
    </row>
    <row r="969" spans="2:8" x14ac:dyDescent="0.3">
      <c r="B969" s="6"/>
      <c r="C969" s="6"/>
      <c r="D969" s="6"/>
      <c r="E969" s="233"/>
      <c r="F969" s="6"/>
      <c r="G969" s="6"/>
      <c r="H969" s="6"/>
    </row>
    <row r="970" spans="2:8" x14ac:dyDescent="0.3">
      <c r="B970" s="6"/>
      <c r="C970" s="6"/>
      <c r="D970" s="6"/>
      <c r="E970" s="233"/>
      <c r="F970" s="6"/>
      <c r="G970" s="6"/>
      <c r="H970" s="6"/>
    </row>
    <row r="971" spans="2:8" x14ac:dyDescent="0.3">
      <c r="B971" s="6"/>
      <c r="C971" s="6"/>
      <c r="D971" s="6"/>
      <c r="E971" s="233"/>
      <c r="F971" s="6"/>
      <c r="G971" s="6"/>
      <c r="H971" s="6"/>
    </row>
    <row r="972" spans="2:8" x14ac:dyDescent="0.3">
      <c r="B972" s="6"/>
      <c r="C972" s="6"/>
      <c r="D972" s="6"/>
      <c r="E972" s="233"/>
      <c r="F972" s="6"/>
      <c r="G972" s="6"/>
      <c r="H972" s="6"/>
    </row>
    <row r="973" spans="2:8" x14ac:dyDescent="0.3">
      <c r="B973" s="6"/>
      <c r="C973" s="6"/>
      <c r="D973" s="6"/>
      <c r="E973" s="233"/>
      <c r="F973" s="6"/>
      <c r="G973" s="6"/>
      <c r="H973" s="6"/>
    </row>
    <row r="974" spans="2:8" x14ac:dyDescent="0.3">
      <c r="B974" s="6"/>
      <c r="C974" s="6"/>
      <c r="D974" s="6"/>
      <c r="E974" s="233"/>
      <c r="F974" s="6"/>
      <c r="G974" s="6"/>
      <c r="H974" s="6"/>
    </row>
    <row r="975" spans="2:8" x14ac:dyDescent="0.3">
      <c r="B975" s="6"/>
      <c r="C975" s="6"/>
      <c r="D975" s="6"/>
      <c r="E975" s="233"/>
      <c r="F975" s="6"/>
      <c r="G975" s="6"/>
      <c r="H975" s="6"/>
    </row>
    <row r="976" spans="2:8" x14ac:dyDescent="0.3">
      <c r="B976" s="6"/>
      <c r="C976" s="6"/>
      <c r="D976" s="6"/>
      <c r="E976" s="233"/>
      <c r="F976" s="6"/>
      <c r="G976" s="6"/>
      <c r="H976" s="6"/>
    </row>
    <row r="977" spans="2:8" x14ac:dyDescent="0.3">
      <c r="B977" s="6"/>
      <c r="C977" s="6"/>
      <c r="D977" s="6"/>
      <c r="E977" s="233"/>
      <c r="F977" s="6"/>
      <c r="G977" s="6"/>
      <c r="H977" s="6"/>
    </row>
    <row r="978" spans="2:8" x14ac:dyDescent="0.3">
      <c r="B978" s="6"/>
      <c r="C978" s="6"/>
      <c r="D978" s="6"/>
      <c r="E978" s="233"/>
      <c r="F978" s="6"/>
      <c r="G978" s="6"/>
      <c r="H978" s="6"/>
    </row>
    <row r="979" spans="2:8" x14ac:dyDescent="0.3">
      <c r="B979" s="6"/>
      <c r="C979" s="6"/>
      <c r="D979" s="6"/>
      <c r="E979" s="233"/>
      <c r="F979" s="6"/>
      <c r="G979" s="6"/>
      <c r="H979" s="6"/>
    </row>
    <row r="980" spans="2:8" x14ac:dyDescent="0.3">
      <c r="B980" s="6"/>
      <c r="C980" s="6"/>
      <c r="D980" s="6"/>
      <c r="E980" s="233"/>
      <c r="F980" s="6"/>
      <c r="G980" s="6"/>
      <c r="H980" s="6"/>
    </row>
    <row r="981" spans="2:8" x14ac:dyDescent="0.3">
      <c r="B981" s="6"/>
      <c r="C981" s="6"/>
      <c r="D981" s="6"/>
      <c r="E981" s="233"/>
      <c r="F981" s="6"/>
      <c r="G981" s="6"/>
      <c r="H981" s="6"/>
    </row>
    <row r="982" spans="2:8" x14ac:dyDescent="0.3">
      <c r="B982" s="6"/>
      <c r="C982" s="6"/>
      <c r="D982" s="6"/>
      <c r="E982" s="233"/>
      <c r="F982" s="6"/>
      <c r="G982" s="6"/>
      <c r="H982" s="6"/>
    </row>
    <row r="983" spans="2:8" x14ac:dyDescent="0.3">
      <c r="B983" s="6"/>
      <c r="C983" s="6"/>
      <c r="D983" s="6"/>
      <c r="E983" s="233"/>
      <c r="F983" s="6"/>
      <c r="G983" s="6"/>
      <c r="H983" s="6"/>
    </row>
    <row r="984" spans="2:8" x14ac:dyDescent="0.3">
      <c r="B984" s="6"/>
      <c r="C984" s="6"/>
      <c r="D984" s="6"/>
      <c r="E984" s="233"/>
      <c r="F984" s="6"/>
      <c r="G984" s="6"/>
      <c r="H984" s="6"/>
    </row>
    <row r="985" spans="2:8" x14ac:dyDescent="0.3">
      <c r="B985" s="6"/>
      <c r="C985" s="6"/>
      <c r="D985" s="6"/>
      <c r="E985" s="233"/>
      <c r="F985" s="6"/>
      <c r="G985" s="6"/>
      <c r="H985" s="6"/>
    </row>
    <row r="986" spans="2:8" x14ac:dyDescent="0.3">
      <c r="B986" s="6"/>
      <c r="C986" s="6"/>
      <c r="D986" s="6"/>
      <c r="E986" s="233"/>
      <c r="F986" s="6"/>
      <c r="G986" s="6"/>
      <c r="H986" s="6"/>
    </row>
    <row r="987" spans="2:8" x14ac:dyDescent="0.3">
      <c r="B987" s="6"/>
      <c r="C987" s="6"/>
      <c r="D987" s="6"/>
      <c r="E987" s="233"/>
      <c r="F987" s="6"/>
      <c r="G987" s="6"/>
      <c r="H987" s="6"/>
    </row>
    <row r="988" spans="2:8" x14ac:dyDescent="0.3">
      <c r="B988" s="6"/>
      <c r="C988" s="6"/>
      <c r="D988" s="6"/>
      <c r="E988" s="233"/>
      <c r="F988" s="6"/>
      <c r="G988" s="6"/>
      <c r="H988" s="6"/>
    </row>
    <row r="989" spans="2:8" x14ac:dyDescent="0.3">
      <c r="B989" s="6"/>
      <c r="C989" s="6"/>
      <c r="D989" s="6"/>
      <c r="E989" s="233"/>
      <c r="F989" s="6"/>
      <c r="G989" s="6"/>
      <c r="H989" s="6"/>
    </row>
    <row r="990" spans="2:8" x14ac:dyDescent="0.3">
      <c r="B990" s="6"/>
      <c r="C990" s="6"/>
      <c r="D990" s="6"/>
      <c r="E990" s="233"/>
      <c r="F990" s="6"/>
      <c r="G990" s="6"/>
      <c r="H990" s="6"/>
    </row>
    <row r="991" spans="2:8" x14ac:dyDescent="0.3">
      <c r="B991" s="6"/>
      <c r="C991" s="6"/>
      <c r="D991" s="6"/>
      <c r="E991" s="233"/>
      <c r="F991" s="6"/>
      <c r="G991" s="6"/>
      <c r="H991" s="6"/>
    </row>
    <row r="992" spans="2:8" x14ac:dyDescent="0.3">
      <c r="B992" s="6"/>
      <c r="C992" s="6"/>
      <c r="D992" s="6"/>
      <c r="E992" s="233"/>
      <c r="F992" s="6"/>
      <c r="G992" s="6"/>
      <c r="H992" s="6"/>
    </row>
    <row r="993" spans="2:8" x14ac:dyDescent="0.3">
      <c r="B993" s="6"/>
      <c r="C993" s="6"/>
      <c r="D993" s="6"/>
      <c r="E993" s="233"/>
      <c r="F993" s="6"/>
      <c r="G993" s="6"/>
      <c r="H993" s="6"/>
    </row>
    <row r="994" spans="2:8" x14ac:dyDescent="0.3">
      <c r="B994" s="6"/>
      <c r="C994" s="6"/>
      <c r="D994" s="6"/>
      <c r="E994" s="233"/>
      <c r="F994" s="6"/>
      <c r="G994" s="6"/>
      <c r="H994" s="6"/>
    </row>
    <row r="995" spans="2:8" x14ac:dyDescent="0.3">
      <c r="B995" s="6"/>
      <c r="C995" s="6"/>
      <c r="D995" s="6"/>
      <c r="E995" s="233"/>
      <c r="F995" s="6"/>
      <c r="G995" s="6"/>
      <c r="H995" s="6"/>
    </row>
    <row r="996" spans="2:8" x14ac:dyDescent="0.3">
      <c r="B996" s="6"/>
      <c r="C996" s="6"/>
      <c r="D996" s="6"/>
      <c r="E996" s="233"/>
      <c r="F996" s="6"/>
      <c r="G996" s="6"/>
      <c r="H996" s="6"/>
    </row>
    <row r="997" spans="2:8" x14ac:dyDescent="0.3">
      <c r="B997" s="6"/>
      <c r="C997" s="6"/>
      <c r="D997" s="6"/>
      <c r="E997" s="233"/>
      <c r="F997" s="6"/>
      <c r="G997" s="6"/>
      <c r="H997" s="6"/>
    </row>
    <row r="998" spans="2:8" x14ac:dyDescent="0.3">
      <c r="B998" s="6"/>
      <c r="C998" s="6"/>
      <c r="D998" s="6"/>
      <c r="E998" s="233"/>
      <c r="F998" s="6"/>
      <c r="G998" s="6"/>
      <c r="H998" s="6"/>
    </row>
    <row r="999" spans="2:8" x14ac:dyDescent="0.3">
      <c r="B999" s="6"/>
      <c r="C999" s="6"/>
      <c r="D999" s="6"/>
      <c r="E999" s="233"/>
      <c r="F999" s="6"/>
      <c r="G999" s="6"/>
      <c r="H999" s="6"/>
    </row>
    <row r="1000" spans="2:8" x14ac:dyDescent="0.3">
      <c r="B1000" s="6"/>
      <c r="C1000" s="6"/>
      <c r="D1000" s="6"/>
      <c r="E1000" s="233"/>
      <c r="F1000" s="6"/>
      <c r="G1000" s="6"/>
      <c r="H1000" s="6"/>
    </row>
    <row r="1001" spans="2:8" x14ac:dyDescent="0.3">
      <c r="B1001" s="6"/>
      <c r="C1001" s="6"/>
      <c r="D1001" s="6"/>
      <c r="E1001" s="233"/>
      <c r="F1001" s="6"/>
      <c r="G1001" s="6"/>
      <c r="H1001" s="6"/>
    </row>
    <row r="1002" spans="2:8" x14ac:dyDescent="0.3">
      <c r="B1002" s="6"/>
      <c r="C1002" s="6"/>
      <c r="D1002" s="6"/>
      <c r="E1002" s="233"/>
      <c r="F1002" s="6"/>
      <c r="G1002" s="6"/>
      <c r="H1002" s="6"/>
    </row>
    <row r="1003" spans="2:8" x14ac:dyDescent="0.3">
      <c r="B1003" s="6"/>
      <c r="C1003" s="6"/>
      <c r="D1003" s="6"/>
      <c r="E1003" s="233"/>
      <c r="F1003" s="6"/>
      <c r="G1003" s="6"/>
      <c r="H1003" s="6"/>
    </row>
    <row r="1004" spans="2:8" x14ac:dyDescent="0.3">
      <c r="B1004" s="6"/>
      <c r="C1004" s="6"/>
      <c r="D1004" s="6"/>
      <c r="E1004" s="233"/>
      <c r="F1004" s="6"/>
      <c r="G1004" s="6"/>
      <c r="H1004" s="6"/>
    </row>
    <row r="1005" spans="2:8" x14ac:dyDescent="0.3">
      <c r="B1005" s="6"/>
      <c r="C1005" s="6"/>
      <c r="D1005" s="6"/>
      <c r="E1005" s="233"/>
      <c r="F1005" s="6"/>
      <c r="G1005" s="6"/>
      <c r="H1005" s="6"/>
    </row>
    <row r="1006" spans="2:8" x14ac:dyDescent="0.3">
      <c r="B1006" s="6"/>
      <c r="C1006" s="6"/>
      <c r="D1006" s="6"/>
      <c r="E1006" s="233"/>
      <c r="F1006" s="6"/>
      <c r="G1006" s="6"/>
      <c r="H1006" s="6"/>
    </row>
    <row r="1007" spans="2:8" x14ac:dyDescent="0.3">
      <c r="B1007" s="6"/>
      <c r="C1007" s="6"/>
      <c r="D1007" s="6"/>
      <c r="E1007" s="233"/>
      <c r="F1007" s="6"/>
      <c r="G1007" s="6"/>
      <c r="H1007" s="6"/>
    </row>
    <row r="1008" spans="2:8" x14ac:dyDescent="0.3">
      <c r="B1008" s="6"/>
      <c r="C1008" s="6"/>
      <c r="D1008" s="6"/>
      <c r="E1008" s="233"/>
      <c r="F1008" s="6"/>
      <c r="G1008" s="6"/>
      <c r="H1008" s="6"/>
    </row>
    <row r="1009" spans="2:8" x14ac:dyDescent="0.3">
      <c r="B1009" s="6"/>
      <c r="C1009" s="6"/>
      <c r="D1009" s="6"/>
      <c r="E1009" s="233"/>
      <c r="F1009" s="6"/>
      <c r="G1009" s="6"/>
      <c r="H1009" s="6"/>
    </row>
    <row r="1010" spans="2:8" x14ac:dyDescent="0.3">
      <c r="B1010" s="6"/>
      <c r="C1010" s="6"/>
      <c r="D1010" s="6"/>
      <c r="E1010" s="233"/>
      <c r="F1010" s="6"/>
      <c r="G1010" s="6"/>
      <c r="H1010" s="6"/>
    </row>
    <row r="1011" spans="2:8" x14ac:dyDescent="0.3">
      <c r="B1011" s="6"/>
      <c r="C1011" s="6"/>
      <c r="D1011" s="6"/>
      <c r="E1011" s="233"/>
      <c r="F1011" s="6"/>
      <c r="G1011" s="6"/>
      <c r="H1011" s="6"/>
    </row>
    <row r="1012" spans="2:8" x14ac:dyDescent="0.3">
      <c r="B1012" s="6"/>
      <c r="C1012" s="6"/>
      <c r="D1012" s="6"/>
      <c r="E1012" s="233"/>
      <c r="F1012" s="6"/>
      <c r="G1012" s="6"/>
      <c r="H1012" s="6"/>
    </row>
    <row r="1013" spans="2:8" x14ac:dyDescent="0.3">
      <c r="B1013" s="6"/>
      <c r="C1013" s="6"/>
      <c r="D1013" s="6"/>
      <c r="E1013" s="233"/>
      <c r="F1013" s="6"/>
      <c r="G1013" s="6"/>
      <c r="H1013" s="6"/>
    </row>
    <row r="1014" spans="2:8" x14ac:dyDescent="0.3">
      <c r="B1014" s="6"/>
      <c r="C1014" s="6"/>
      <c r="D1014" s="6"/>
      <c r="E1014" s="233"/>
      <c r="F1014" s="6"/>
      <c r="G1014" s="6"/>
      <c r="H1014" s="6"/>
    </row>
    <row r="1015" spans="2:8" x14ac:dyDescent="0.3">
      <c r="B1015" s="6"/>
      <c r="C1015" s="6"/>
      <c r="D1015" s="6"/>
      <c r="E1015" s="233"/>
      <c r="F1015" s="6"/>
      <c r="G1015" s="6"/>
      <c r="H1015" s="6"/>
    </row>
    <row r="1016" spans="2:8" x14ac:dyDescent="0.3">
      <c r="B1016" s="6"/>
      <c r="C1016" s="6"/>
      <c r="D1016" s="6"/>
      <c r="E1016" s="233"/>
      <c r="F1016" s="6"/>
      <c r="G1016" s="6"/>
      <c r="H1016" s="6"/>
    </row>
    <row r="1017" spans="2:8" x14ac:dyDescent="0.3">
      <c r="B1017" s="6"/>
      <c r="C1017" s="6"/>
      <c r="D1017" s="6"/>
      <c r="E1017" s="233"/>
      <c r="F1017" s="6"/>
      <c r="G1017" s="6"/>
      <c r="H1017" s="6"/>
    </row>
    <row r="1018" spans="2:8" x14ac:dyDescent="0.3">
      <c r="B1018" s="6"/>
      <c r="C1018" s="6"/>
      <c r="D1018" s="6"/>
      <c r="E1018" s="233"/>
      <c r="F1018" s="6"/>
      <c r="G1018" s="6"/>
      <c r="H1018" s="6"/>
    </row>
    <row r="1019" spans="2:8" x14ac:dyDescent="0.3">
      <c r="B1019" s="6"/>
      <c r="C1019" s="6"/>
      <c r="D1019" s="6"/>
      <c r="E1019" s="233"/>
      <c r="F1019" s="6"/>
      <c r="G1019" s="6"/>
      <c r="H1019" s="6"/>
    </row>
    <row r="1020" spans="2:8" x14ac:dyDescent="0.3">
      <c r="B1020" s="6"/>
      <c r="C1020" s="6"/>
      <c r="D1020" s="6"/>
      <c r="E1020" s="233"/>
      <c r="F1020" s="6"/>
      <c r="G1020" s="6"/>
      <c r="H1020" s="6"/>
    </row>
    <row r="1021" spans="2:8" x14ac:dyDescent="0.3">
      <c r="B1021" s="6"/>
      <c r="C1021" s="6"/>
      <c r="D1021" s="6"/>
      <c r="E1021" s="233"/>
      <c r="F1021" s="6"/>
      <c r="G1021" s="6"/>
      <c r="H1021" s="6"/>
    </row>
    <row r="1022" spans="2:8" x14ac:dyDescent="0.3">
      <c r="B1022" s="6"/>
      <c r="C1022" s="6"/>
      <c r="D1022" s="6"/>
      <c r="E1022" s="233"/>
      <c r="F1022" s="6"/>
      <c r="G1022" s="6"/>
      <c r="H1022" s="6"/>
    </row>
    <row r="1023" spans="2:8" x14ac:dyDescent="0.3">
      <c r="B1023" s="6"/>
      <c r="C1023" s="6"/>
      <c r="D1023" s="6"/>
      <c r="E1023" s="233"/>
      <c r="F1023" s="6"/>
      <c r="G1023" s="6"/>
      <c r="H1023" s="6"/>
    </row>
    <row r="1024" spans="2:8" x14ac:dyDescent="0.3">
      <c r="B1024" s="6"/>
      <c r="C1024" s="6"/>
      <c r="D1024" s="6"/>
      <c r="E1024" s="233"/>
      <c r="F1024" s="6"/>
      <c r="G1024" s="6"/>
      <c r="H1024" s="6"/>
    </row>
    <row r="1025" spans="2:8" x14ac:dyDescent="0.3">
      <c r="B1025" s="6"/>
      <c r="C1025" s="6"/>
      <c r="D1025" s="6"/>
      <c r="E1025" s="233"/>
      <c r="F1025" s="6"/>
      <c r="G1025" s="6"/>
      <c r="H1025" s="6"/>
    </row>
    <row r="1026" spans="2:8" x14ac:dyDescent="0.3">
      <c r="B1026" s="6"/>
      <c r="C1026" s="6"/>
      <c r="D1026" s="6"/>
      <c r="E1026" s="233"/>
      <c r="F1026" s="6"/>
      <c r="G1026" s="6"/>
      <c r="H1026" s="6"/>
    </row>
    <row r="1027" spans="2:8" x14ac:dyDescent="0.3">
      <c r="B1027" s="6"/>
      <c r="C1027" s="6"/>
      <c r="D1027" s="6"/>
      <c r="E1027" s="233"/>
      <c r="F1027" s="6"/>
      <c r="G1027" s="6"/>
      <c r="H1027" s="6"/>
    </row>
    <row r="1028" spans="2:8" x14ac:dyDescent="0.3">
      <c r="B1028" s="6"/>
      <c r="C1028" s="6"/>
      <c r="D1028" s="6"/>
      <c r="E1028" s="233"/>
      <c r="F1028" s="6"/>
      <c r="G1028" s="6"/>
      <c r="H1028" s="6"/>
    </row>
    <row r="1029" spans="2:8" x14ac:dyDescent="0.3">
      <c r="B1029" s="6"/>
      <c r="C1029" s="6"/>
      <c r="D1029" s="6"/>
      <c r="E1029" s="233"/>
      <c r="F1029" s="6"/>
      <c r="G1029" s="6"/>
      <c r="H1029" s="6"/>
    </row>
    <row r="1030" spans="2:8" x14ac:dyDescent="0.3">
      <c r="B1030" s="6"/>
      <c r="C1030" s="6"/>
      <c r="D1030" s="6"/>
      <c r="E1030" s="233"/>
      <c r="F1030" s="6"/>
      <c r="G1030" s="6"/>
      <c r="H1030" s="6"/>
    </row>
    <row r="1031" spans="2:8" x14ac:dyDescent="0.3">
      <c r="B1031" s="6"/>
      <c r="C1031" s="6"/>
      <c r="D1031" s="6"/>
      <c r="E1031" s="233"/>
      <c r="F1031" s="6"/>
      <c r="G1031" s="6"/>
      <c r="H1031" s="6"/>
    </row>
    <row r="1032" spans="2:8" x14ac:dyDescent="0.3">
      <c r="B1032" s="6"/>
      <c r="C1032" s="6"/>
      <c r="D1032" s="6"/>
      <c r="E1032" s="233"/>
      <c r="F1032" s="6"/>
      <c r="G1032" s="6"/>
      <c r="H1032" s="6"/>
    </row>
    <row r="1033" spans="2:8" x14ac:dyDescent="0.3">
      <c r="B1033" s="6"/>
      <c r="C1033" s="6"/>
      <c r="D1033" s="6"/>
      <c r="E1033" s="233"/>
      <c r="F1033" s="6"/>
      <c r="G1033" s="6"/>
      <c r="H1033" s="6"/>
    </row>
    <row r="1034" spans="2:8" x14ac:dyDescent="0.3">
      <c r="B1034" s="6"/>
      <c r="C1034" s="6"/>
      <c r="D1034" s="6"/>
      <c r="E1034" s="233"/>
      <c r="F1034" s="6"/>
      <c r="G1034" s="6"/>
      <c r="H1034" s="6"/>
    </row>
    <row r="1035" spans="2:8" x14ac:dyDescent="0.3">
      <c r="B1035" s="6"/>
      <c r="C1035" s="6"/>
      <c r="D1035" s="6"/>
      <c r="E1035" s="233"/>
      <c r="F1035" s="6"/>
      <c r="G1035" s="6"/>
      <c r="H1035" s="6"/>
    </row>
    <row r="1036" spans="2:8" x14ac:dyDescent="0.3">
      <c r="B1036" s="6"/>
      <c r="C1036" s="6"/>
      <c r="D1036" s="6"/>
      <c r="E1036" s="233"/>
      <c r="F1036" s="6"/>
      <c r="G1036" s="6"/>
      <c r="H1036" s="6"/>
    </row>
    <row r="1037" spans="2:8" x14ac:dyDescent="0.3">
      <c r="B1037" s="6"/>
      <c r="C1037" s="6"/>
      <c r="D1037" s="6"/>
      <c r="E1037" s="233"/>
      <c r="F1037" s="6"/>
      <c r="G1037" s="6"/>
      <c r="H1037" s="6"/>
    </row>
    <row r="1038" spans="2:8" x14ac:dyDescent="0.3">
      <c r="B1038" s="6"/>
      <c r="C1038" s="6"/>
      <c r="D1038" s="6"/>
      <c r="E1038" s="233"/>
      <c r="F1038" s="6"/>
      <c r="G1038" s="6"/>
      <c r="H1038" s="6"/>
    </row>
    <row r="1039" spans="2:8" x14ac:dyDescent="0.3">
      <c r="B1039" s="6"/>
      <c r="C1039" s="6"/>
      <c r="D1039" s="6"/>
      <c r="E1039" s="233"/>
      <c r="F1039" s="6"/>
      <c r="G1039" s="6"/>
      <c r="H1039" s="6"/>
    </row>
    <row r="1040" spans="2:8" x14ac:dyDescent="0.3">
      <c r="B1040" s="6"/>
      <c r="C1040" s="6"/>
      <c r="D1040" s="6"/>
      <c r="E1040" s="233"/>
      <c r="F1040" s="6"/>
      <c r="G1040" s="6"/>
      <c r="H1040" s="6"/>
    </row>
    <row r="1041" spans="2:8" x14ac:dyDescent="0.3">
      <c r="B1041" s="6"/>
      <c r="C1041" s="6"/>
      <c r="D1041" s="6"/>
      <c r="E1041" s="233"/>
      <c r="F1041" s="6"/>
      <c r="G1041" s="6"/>
      <c r="H1041" s="6"/>
    </row>
    <row r="1042" spans="2:8" x14ac:dyDescent="0.3">
      <c r="B1042" s="6"/>
      <c r="C1042" s="6"/>
      <c r="D1042" s="6"/>
      <c r="E1042" s="233"/>
      <c r="F1042" s="6"/>
      <c r="G1042" s="6"/>
      <c r="H1042" s="6"/>
    </row>
    <row r="1043" spans="2:8" x14ac:dyDescent="0.3">
      <c r="B1043" s="6"/>
      <c r="C1043" s="6"/>
      <c r="D1043" s="6"/>
      <c r="E1043" s="233"/>
      <c r="F1043" s="6"/>
      <c r="G1043" s="6"/>
      <c r="H1043" s="6"/>
    </row>
    <row r="1044" spans="2:8" x14ac:dyDescent="0.3">
      <c r="B1044" s="6"/>
      <c r="C1044" s="6"/>
      <c r="D1044" s="6"/>
      <c r="E1044" s="233"/>
      <c r="F1044" s="6"/>
      <c r="G1044" s="6"/>
      <c r="H1044" s="6"/>
    </row>
    <row r="1045" spans="2:8" x14ac:dyDescent="0.3">
      <c r="B1045" s="6"/>
      <c r="C1045" s="6"/>
      <c r="D1045" s="6"/>
      <c r="E1045" s="233"/>
      <c r="F1045" s="6"/>
      <c r="G1045" s="6"/>
      <c r="H1045" s="6"/>
    </row>
    <row r="1046" spans="2:8" x14ac:dyDescent="0.3">
      <c r="B1046" s="6"/>
      <c r="C1046" s="6"/>
      <c r="D1046" s="6"/>
      <c r="E1046" s="233"/>
      <c r="F1046" s="6"/>
      <c r="G1046" s="6"/>
      <c r="H1046" s="6"/>
    </row>
    <row r="1047" spans="2:8" x14ac:dyDescent="0.3">
      <c r="B1047" s="6"/>
      <c r="C1047" s="6"/>
      <c r="D1047" s="6"/>
      <c r="E1047" s="233"/>
      <c r="F1047" s="6"/>
      <c r="G1047" s="6"/>
      <c r="H1047" s="6"/>
    </row>
    <row r="1048" spans="2:8" x14ac:dyDescent="0.3">
      <c r="B1048" s="6"/>
      <c r="C1048" s="6"/>
      <c r="D1048" s="6"/>
      <c r="E1048" s="233"/>
      <c r="F1048" s="6"/>
      <c r="G1048" s="6"/>
      <c r="H1048" s="6"/>
    </row>
    <row r="1049" spans="2:8" x14ac:dyDescent="0.3">
      <c r="B1049" s="6"/>
      <c r="C1049" s="6"/>
      <c r="D1049" s="6"/>
      <c r="E1049" s="233"/>
      <c r="F1049" s="6"/>
      <c r="G1049" s="6"/>
      <c r="H1049" s="6"/>
    </row>
    <row r="1050" spans="2:8" x14ac:dyDescent="0.3">
      <c r="B1050" s="6"/>
      <c r="C1050" s="6"/>
      <c r="D1050" s="6"/>
      <c r="E1050" s="233"/>
      <c r="F1050" s="6"/>
      <c r="G1050" s="6"/>
      <c r="H1050" s="6"/>
    </row>
    <row r="1051" spans="2:8" x14ac:dyDescent="0.3">
      <c r="B1051" s="6"/>
      <c r="C1051" s="6"/>
      <c r="D1051" s="6"/>
      <c r="E1051" s="233"/>
      <c r="F1051" s="6"/>
      <c r="G1051" s="6"/>
      <c r="H1051" s="6"/>
    </row>
    <row r="1052" spans="2:8" x14ac:dyDescent="0.3">
      <c r="B1052" s="6"/>
      <c r="C1052" s="6"/>
      <c r="D1052" s="6"/>
      <c r="E1052" s="233"/>
      <c r="F1052" s="6"/>
      <c r="G1052" s="6"/>
      <c r="H1052" s="6"/>
    </row>
    <row r="1053" spans="2:8" x14ac:dyDescent="0.3">
      <c r="B1053" s="6"/>
      <c r="C1053" s="6"/>
      <c r="D1053" s="6"/>
      <c r="E1053" s="233"/>
      <c r="F1053" s="6"/>
      <c r="G1053" s="6"/>
      <c r="H1053" s="6"/>
    </row>
    <row r="1054" spans="2:8" x14ac:dyDescent="0.3">
      <c r="B1054" s="6"/>
      <c r="C1054" s="6"/>
      <c r="D1054" s="6"/>
      <c r="E1054" s="233"/>
      <c r="F1054" s="6"/>
      <c r="G1054" s="6"/>
      <c r="H1054" s="6"/>
    </row>
    <row r="1055" spans="2:8" x14ac:dyDescent="0.3">
      <c r="B1055" s="6"/>
      <c r="C1055" s="6"/>
      <c r="D1055" s="6"/>
      <c r="E1055" s="233"/>
      <c r="F1055" s="6"/>
      <c r="G1055" s="6"/>
      <c r="H1055" s="6"/>
    </row>
    <row r="1056" spans="2:8" x14ac:dyDescent="0.3">
      <c r="B1056" s="6"/>
      <c r="C1056" s="6"/>
      <c r="D1056" s="6"/>
      <c r="E1056" s="233"/>
      <c r="F1056" s="6"/>
      <c r="G1056" s="6"/>
      <c r="H1056" s="6"/>
    </row>
    <row r="1057" spans="2:8" x14ac:dyDescent="0.3">
      <c r="B1057" s="6"/>
      <c r="C1057" s="6"/>
      <c r="D1057" s="6"/>
      <c r="E1057" s="233"/>
      <c r="F1057" s="6"/>
      <c r="G1057" s="6"/>
      <c r="H1057" s="6"/>
    </row>
    <row r="1058" spans="2:8" x14ac:dyDescent="0.3">
      <c r="B1058" s="6"/>
      <c r="C1058" s="6"/>
      <c r="D1058" s="6"/>
      <c r="E1058" s="233"/>
      <c r="F1058" s="6"/>
      <c r="G1058" s="6"/>
      <c r="H1058" s="6"/>
    </row>
    <row r="1059" spans="2:8" x14ac:dyDescent="0.3">
      <c r="B1059" s="6"/>
      <c r="C1059" s="6"/>
      <c r="D1059" s="6"/>
      <c r="E1059" s="233"/>
      <c r="F1059" s="6"/>
      <c r="G1059" s="6"/>
      <c r="H1059" s="6"/>
    </row>
    <row r="1060" spans="2:8" x14ac:dyDescent="0.3">
      <c r="B1060" s="6"/>
      <c r="C1060" s="6"/>
      <c r="D1060" s="6"/>
      <c r="E1060" s="233"/>
      <c r="F1060" s="6"/>
      <c r="G1060" s="6"/>
      <c r="H1060" s="6"/>
    </row>
    <row r="1061" spans="2:8" x14ac:dyDescent="0.3">
      <c r="B1061" s="6"/>
      <c r="C1061" s="6"/>
      <c r="D1061" s="6"/>
      <c r="E1061" s="233"/>
      <c r="F1061" s="6"/>
      <c r="G1061" s="6"/>
      <c r="H1061" s="6"/>
    </row>
    <row r="1062" spans="2:8" x14ac:dyDescent="0.3">
      <c r="B1062" s="6"/>
      <c r="C1062" s="6"/>
      <c r="D1062" s="6"/>
      <c r="E1062" s="233"/>
      <c r="F1062" s="6"/>
      <c r="G1062" s="6"/>
      <c r="H1062" s="6"/>
    </row>
    <row r="1063" spans="2:8" x14ac:dyDescent="0.3">
      <c r="B1063" s="6"/>
      <c r="C1063" s="6"/>
      <c r="D1063" s="6"/>
      <c r="E1063" s="233"/>
      <c r="F1063" s="6"/>
      <c r="G1063" s="6"/>
      <c r="H1063" s="6"/>
    </row>
    <row r="1064" spans="2:8" x14ac:dyDescent="0.3">
      <c r="B1064" s="6"/>
      <c r="C1064" s="6"/>
      <c r="D1064" s="6"/>
      <c r="E1064" s="233"/>
      <c r="F1064" s="6"/>
      <c r="G1064" s="6"/>
      <c r="H1064" s="6"/>
    </row>
    <row r="1065" spans="2:8" x14ac:dyDescent="0.3">
      <c r="B1065" s="6"/>
      <c r="C1065" s="6"/>
      <c r="D1065" s="6"/>
      <c r="E1065" s="233"/>
      <c r="F1065" s="6"/>
      <c r="G1065" s="6"/>
      <c r="H1065" s="6"/>
    </row>
    <row r="1066" spans="2:8" x14ac:dyDescent="0.3">
      <c r="B1066" s="6"/>
      <c r="C1066" s="6"/>
      <c r="D1066" s="6"/>
      <c r="E1066" s="233"/>
      <c r="F1066" s="6"/>
      <c r="G1066" s="6"/>
      <c r="H1066" s="6"/>
    </row>
    <row r="1067" spans="2:8" x14ac:dyDescent="0.3">
      <c r="B1067" s="6"/>
      <c r="C1067" s="6"/>
      <c r="D1067" s="6"/>
      <c r="E1067" s="233"/>
      <c r="F1067" s="6"/>
      <c r="G1067" s="6"/>
      <c r="H1067" s="6"/>
    </row>
    <row r="1068" spans="2:8" x14ac:dyDescent="0.3">
      <c r="B1068" s="6"/>
      <c r="C1068" s="6"/>
      <c r="D1068" s="6"/>
      <c r="E1068" s="233"/>
      <c r="F1068" s="6"/>
      <c r="G1068" s="6"/>
      <c r="H1068" s="6"/>
    </row>
    <row r="1069" spans="2:8" x14ac:dyDescent="0.3">
      <c r="B1069" s="6"/>
      <c r="C1069" s="6"/>
      <c r="D1069" s="6"/>
      <c r="E1069" s="233"/>
      <c r="F1069" s="6"/>
      <c r="G1069" s="6"/>
      <c r="H1069" s="6"/>
    </row>
    <row r="1070" spans="2:8" x14ac:dyDescent="0.3">
      <c r="B1070" s="6"/>
      <c r="C1070" s="6"/>
      <c r="D1070" s="6"/>
      <c r="E1070" s="233"/>
      <c r="F1070" s="6"/>
      <c r="G1070" s="6"/>
      <c r="H1070" s="6"/>
    </row>
    <row r="1071" spans="2:8" x14ac:dyDescent="0.3">
      <c r="B1071" s="6"/>
      <c r="C1071" s="6"/>
      <c r="D1071" s="6"/>
      <c r="E1071" s="233"/>
      <c r="F1071" s="6"/>
      <c r="G1071" s="6"/>
      <c r="H1071" s="6"/>
    </row>
    <row r="1072" spans="2:8" x14ac:dyDescent="0.3">
      <c r="B1072" s="6"/>
      <c r="C1072" s="6"/>
      <c r="D1072" s="6"/>
      <c r="E1072" s="233"/>
      <c r="F1072" s="6"/>
      <c r="G1072" s="6"/>
      <c r="H1072" s="6"/>
    </row>
    <row r="1073" spans="2:8" x14ac:dyDescent="0.3">
      <c r="B1073" s="6"/>
      <c r="C1073" s="6"/>
      <c r="D1073" s="6"/>
      <c r="E1073" s="233"/>
      <c r="F1073" s="6"/>
      <c r="G1073" s="6"/>
      <c r="H1073" s="6"/>
    </row>
    <row r="1074" spans="2:8" x14ac:dyDescent="0.3">
      <c r="B1074" s="6"/>
      <c r="C1074" s="6"/>
      <c r="D1074" s="6"/>
      <c r="E1074" s="233"/>
      <c r="F1074" s="6"/>
      <c r="G1074" s="6"/>
      <c r="H1074" s="6"/>
    </row>
    <row r="1075" spans="2:8" x14ac:dyDescent="0.3">
      <c r="B1075" s="6"/>
      <c r="C1075" s="6"/>
      <c r="D1075" s="6"/>
      <c r="E1075" s="233"/>
      <c r="F1075" s="6"/>
      <c r="G1075" s="6"/>
      <c r="H1075" s="6"/>
    </row>
    <row r="1076" spans="2:8" x14ac:dyDescent="0.3">
      <c r="B1076" s="6"/>
      <c r="C1076" s="6"/>
      <c r="D1076" s="6"/>
      <c r="E1076" s="233"/>
      <c r="F1076" s="6"/>
      <c r="G1076" s="6"/>
      <c r="H1076" s="6"/>
    </row>
    <row r="1077" spans="2:8" x14ac:dyDescent="0.3">
      <c r="B1077" s="6"/>
      <c r="C1077" s="6"/>
      <c r="D1077" s="6"/>
      <c r="E1077" s="233"/>
      <c r="F1077" s="6"/>
      <c r="G1077" s="6"/>
      <c r="H1077" s="6"/>
    </row>
    <row r="1078" spans="2:8" x14ac:dyDescent="0.3">
      <c r="B1078" s="6"/>
      <c r="C1078" s="6"/>
      <c r="D1078" s="6"/>
      <c r="E1078" s="233"/>
      <c r="F1078" s="6"/>
      <c r="G1078" s="6"/>
      <c r="H1078" s="6"/>
    </row>
    <row r="1079" spans="2:8" x14ac:dyDescent="0.3">
      <c r="B1079" s="6"/>
      <c r="C1079" s="6"/>
      <c r="D1079" s="6"/>
      <c r="E1079" s="233"/>
      <c r="F1079" s="6"/>
      <c r="G1079" s="6"/>
      <c r="H1079" s="6"/>
    </row>
    <row r="1080" spans="2:8" x14ac:dyDescent="0.3">
      <c r="B1080" s="6"/>
      <c r="C1080" s="6"/>
      <c r="D1080" s="6"/>
      <c r="E1080" s="233"/>
      <c r="F1080" s="6"/>
      <c r="G1080" s="6"/>
      <c r="H1080" s="6"/>
    </row>
    <row r="1081" spans="2:8" x14ac:dyDescent="0.3">
      <c r="B1081" s="6"/>
      <c r="C1081" s="6"/>
      <c r="D1081" s="6"/>
      <c r="E1081" s="233"/>
      <c r="F1081" s="6"/>
      <c r="G1081" s="6"/>
      <c r="H1081" s="6"/>
    </row>
    <row r="1082" spans="2:8" x14ac:dyDescent="0.3">
      <c r="B1082" s="6"/>
      <c r="C1082" s="6"/>
      <c r="D1082" s="6"/>
      <c r="E1082" s="233"/>
      <c r="F1082" s="6"/>
      <c r="G1082" s="6"/>
      <c r="H1082" s="6"/>
    </row>
    <row r="1083" spans="2:8" x14ac:dyDescent="0.3">
      <c r="B1083" s="6"/>
      <c r="C1083" s="6"/>
      <c r="D1083" s="6"/>
      <c r="E1083" s="233"/>
      <c r="F1083" s="6"/>
      <c r="G1083" s="6"/>
      <c r="H1083" s="6"/>
    </row>
    <row r="1084" spans="2:8" x14ac:dyDescent="0.3">
      <c r="B1084" s="6"/>
      <c r="C1084" s="6"/>
      <c r="D1084" s="6"/>
      <c r="E1084" s="233"/>
      <c r="F1084" s="6"/>
      <c r="G1084" s="6"/>
      <c r="H1084" s="6"/>
    </row>
    <row r="1085" spans="2:8" x14ac:dyDescent="0.3">
      <c r="B1085" s="6"/>
      <c r="C1085" s="6"/>
      <c r="D1085" s="6"/>
      <c r="E1085" s="233"/>
      <c r="F1085" s="6"/>
      <c r="G1085" s="6"/>
      <c r="H1085" s="6"/>
    </row>
    <row r="1086" spans="2:8" x14ac:dyDescent="0.3">
      <c r="B1086" s="6"/>
      <c r="C1086" s="6"/>
      <c r="D1086" s="6"/>
      <c r="E1086" s="233"/>
      <c r="F1086" s="6"/>
      <c r="G1086" s="6"/>
      <c r="H1086" s="6"/>
    </row>
    <row r="1087" spans="2:8" x14ac:dyDescent="0.3">
      <c r="B1087" s="6"/>
      <c r="C1087" s="6"/>
      <c r="D1087" s="6"/>
      <c r="E1087" s="233"/>
      <c r="F1087" s="6"/>
      <c r="G1087" s="6"/>
      <c r="H1087" s="6"/>
    </row>
    <row r="1088" spans="2:8" x14ac:dyDescent="0.3">
      <c r="B1088" s="6"/>
      <c r="C1088" s="6"/>
      <c r="D1088" s="6"/>
      <c r="E1088" s="233"/>
      <c r="F1088" s="6"/>
      <c r="G1088" s="6"/>
      <c r="H1088" s="6"/>
    </row>
    <row r="1089" spans="2:8" x14ac:dyDescent="0.3">
      <c r="B1089" s="6"/>
      <c r="C1089" s="6"/>
      <c r="D1089" s="6"/>
      <c r="E1089" s="233"/>
      <c r="F1089" s="6"/>
      <c r="G1089" s="6"/>
      <c r="H1089" s="6"/>
    </row>
    <row r="1090" spans="2:8" x14ac:dyDescent="0.3">
      <c r="B1090" s="6"/>
      <c r="C1090" s="6"/>
      <c r="D1090" s="6"/>
      <c r="E1090" s="233"/>
      <c r="F1090" s="6"/>
      <c r="G1090" s="6"/>
      <c r="H1090" s="6"/>
    </row>
    <row r="1091" spans="2:8" x14ac:dyDescent="0.3">
      <c r="B1091" s="6"/>
      <c r="C1091" s="6"/>
      <c r="D1091" s="6"/>
      <c r="E1091" s="233"/>
      <c r="F1091" s="6"/>
      <c r="G1091" s="6"/>
      <c r="H1091" s="6"/>
    </row>
    <row r="1092" spans="2:8" x14ac:dyDescent="0.3">
      <c r="B1092" s="6"/>
      <c r="C1092" s="6"/>
      <c r="D1092" s="6"/>
      <c r="E1092" s="233"/>
      <c r="F1092" s="6"/>
      <c r="G1092" s="6"/>
      <c r="H1092" s="6"/>
    </row>
    <row r="1093" spans="2:8" x14ac:dyDescent="0.3">
      <c r="B1093" s="6"/>
      <c r="C1093" s="6"/>
      <c r="D1093" s="6"/>
      <c r="E1093" s="233"/>
      <c r="F1093" s="6"/>
      <c r="G1093" s="6"/>
      <c r="H1093" s="6"/>
    </row>
    <row r="1094" spans="2:8" x14ac:dyDescent="0.3">
      <c r="B1094" s="6"/>
      <c r="C1094" s="6"/>
      <c r="D1094" s="6"/>
      <c r="E1094" s="233"/>
      <c r="F1094" s="6"/>
      <c r="G1094" s="6"/>
      <c r="H1094" s="6"/>
    </row>
    <row r="1095" spans="2:8" x14ac:dyDescent="0.3">
      <c r="B1095" s="6"/>
      <c r="C1095" s="6"/>
      <c r="D1095" s="6"/>
      <c r="E1095" s="233"/>
      <c r="F1095" s="6"/>
      <c r="G1095" s="6"/>
      <c r="H1095" s="6"/>
    </row>
    <row r="1096" spans="2:8" x14ac:dyDescent="0.3">
      <c r="B1096" s="6"/>
      <c r="C1096" s="6"/>
      <c r="D1096" s="6"/>
      <c r="E1096" s="233"/>
      <c r="F1096" s="6"/>
      <c r="G1096" s="6"/>
      <c r="H1096" s="6"/>
    </row>
    <row r="1097" spans="2:8" x14ac:dyDescent="0.3">
      <c r="B1097" s="6"/>
      <c r="C1097" s="6"/>
      <c r="D1097" s="6"/>
      <c r="E1097" s="233"/>
      <c r="F1097" s="6"/>
      <c r="G1097" s="6"/>
      <c r="H1097" s="6"/>
    </row>
    <row r="1098" spans="2:8" x14ac:dyDescent="0.3">
      <c r="B1098" s="6"/>
      <c r="C1098" s="6"/>
      <c r="D1098" s="6"/>
      <c r="E1098" s="233"/>
      <c r="F1098" s="6"/>
      <c r="G1098" s="6"/>
      <c r="H1098" s="6"/>
    </row>
    <row r="1099" spans="2:8" x14ac:dyDescent="0.3">
      <c r="B1099" s="6"/>
      <c r="C1099" s="6"/>
      <c r="D1099" s="6"/>
      <c r="E1099" s="233"/>
      <c r="F1099" s="6"/>
      <c r="G1099" s="6"/>
      <c r="H1099" s="6"/>
    </row>
    <row r="1100" spans="2:8" x14ac:dyDescent="0.3">
      <c r="B1100" s="6"/>
      <c r="C1100" s="6"/>
      <c r="D1100" s="6"/>
      <c r="E1100" s="233"/>
      <c r="F1100" s="6"/>
      <c r="G1100" s="6"/>
      <c r="H1100" s="6"/>
    </row>
    <row r="1101" spans="2:8" x14ac:dyDescent="0.3">
      <c r="B1101" s="6"/>
      <c r="C1101" s="6"/>
      <c r="D1101" s="6"/>
      <c r="E1101" s="233"/>
      <c r="F1101" s="6"/>
      <c r="G1101" s="6"/>
      <c r="H1101" s="6"/>
    </row>
    <row r="1102" spans="2:8" x14ac:dyDescent="0.3">
      <c r="B1102" s="6"/>
      <c r="C1102" s="6"/>
      <c r="D1102" s="6"/>
      <c r="E1102" s="233"/>
      <c r="F1102" s="6"/>
      <c r="G1102" s="6"/>
      <c r="H1102" s="6"/>
    </row>
    <row r="1103" spans="2:8" x14ac:dyDescent="0.3">
      <c r="B1103" s="6"/>
      <c r="C1103" s="6"/>
      <c r="D1103" s="6"/>
      <c r="E1103" s="233"/>
      <c r="F1103" s="6"/>
      <c r="G1103" s="6"/>
      <c r="H1103" s="6"/>
    </row>
    <row r="1104" spans="2:8" x14ac:dyDescent="0.3">
      <c r="B1104" s="6"/>
      <c r="C1104" s="6"/>
      <c r="D1104" s="6"/>
      <c r="E1104" s="233"/>
      <c r="F1104" s="6"/>
      <c r="G1104" s="6"/>
      <c r="H1104" s="6"/>
    </row>
    <row r="1105" spans="2:8" x14ac:dyDescent="0.3">
      <c r="B1105" s="6"/>
      <c r="C1105" s="6"/>
      <c r="D1105" s="6"/>
      <c r="E1105" s="233"/>
      <c r="F1105" s="6"/>
      <c r="G1105" s="6"/>
      <c r="H1105" s="6"/>
    </row>
    <row r="1106" spans="2:8" x14ac:dyDescent="0.3">
      <c r="B1106" s="6"/>
      <c r="C1106" s="6"/>
      <c r="D1106" s="6"/>
      <c r="E1106" s="233"/>
      <c r="F1106" s="6"/>
      <c r="G1106" s="6"/>
      <c r="H1106" s="6"/>
    </row>
    <row r="1107" spans="2:8" x14ac:dyDescent="0.3">
      <c r="B1107" s="6"/>
      <c r="C1107" s="6"/>
      <c r="D1107" s="6"/>
      <c r="E1107" s="233"/>
      <c r="F1107" s="6"/>
      <c r="G1107" s="6"/>
      <c r="H1107" s="6"/>
    </row>
    <row r="1108" spans="2:8" x14ac:dyDescent="0.3">
      <c r="B1108" s="6"/>
      <c r="C1108" s="6"/>
      <c r="D1108" s="6"/>
      <c r="E1108" s="233"/>
      <c r="F1108" s="6"/>
      <c r="G1108" s="6"/>
      <c r="H1108" s="6"/>
    </row>
    <row r="1109" spans="2:8" x14ac:dyDescent="0.3">
      <c r="B1109" s="6"/>
      <c r="C1109" s="6"/>
      <c r="D1109" s="6"/>
      <c r="E1109" s="233"/>
      <c r="F1109" s="6"/>
      <c r="G1109" s="6"/>
      <c r="H1109" s="6"/>
    </row>
    <row r="1110" spans="2:8" x14ac:dyDescent="0.3">
      <c r="B1110" s="6"/>
      <c r="C1110" s="6"/>
      <c r="D1110" s="6"/>
      <c r="E1110" s="233"/>
      <c r="F1110" s="6"/>
      <c r="G1110" s="6"/>
      <c r="H1110" s="6"/>
    </row>
    <row r="1111" spans="2:8" x14ac:dyDescent="0.3">
      <c r="B1111" s="6"/>
      <c r="C1111" s="6"/>
      <c r="D1111" s="6"/>
      <c r="E1111" s="233"/>
      <c r="F1111" s="6"/>
      <c r="G1111" s="6"/>
      <c r="H1111" s="6"/>
    </row>
    <row r="1112" spans="2:8" x14ac:dyDescent="0.3">
      <c r="B1112" s="6"/>
      <c r="C1112" s="6"/>
      <c r="D1112" s="6"/>
      <c r="E1112" s="233"/>
      <c r="F1112" s="6"/>
      <c r="G1112" s="6"/>
      <c r="H1112" s="6"/>
    </row>
    <row r="1113" spans="2:8" x14ac:dyDescent="0.3">
      <c r="B1113" s="6"/>
      <c r="C1113" s="6"/>
      <c r="D1113" s="6"/>
      <c r="E1113" s="233"/>
      <c r="F1113" s="6"/>
      <c r="G1113" s="6"/>
      <c r="H1113" s="6"/>
    </row>
    <row r="1114" spans="2:8" x14ac:dyDescent="0.3">
      <c r="B1114" s="6"/>
      <c r="C1114" s="6"/>
      <c r="D1114" s="6"/>
      <c r="E1114" s="233"/>
      <c r="F1114" s="6"/>
      <c r="G1114" s="6"/>
      <c r="H1114" s="6"/>
    </row>
    <row r="1115" spans="2:8" x14ac:dyDescent="0.3">
      <c r="B1115" s="6"/>
      <c r="C1115" s="6"/>
      <c r="D1115" s="6"/>
      <c r="E1115" s="233"/>
      <c r="F1115" s="6"/>
      <c r="G1115" s="6"/>
      <c r="H1115" s="6"/>
    </row>
    <row r="1116" spans="2:8" x14ac:dyDescent="0.3">
      <c r="B1116" s="6"/>
      <c r="C1116" s="6"/>
      <c r="D1116" s="6"/>
      <c r="E1116" s="233"/>
      <c r="F1116" s="6"/>
      <c r="G1116" s="6"/>
      <c r="H1116" s="6"/>
    </row>
    <row r="1117" spans="2:8" x14ac:dyDescent="0.3">
      <c r="B1117" s="6"/>
      <c r="C1117" s="6"/>
      <c r="D1117" s="6"/>
      <c r="E1117" s="233"/>
      <c r="F1117" s="6"/>
      <c r="G1117" s="6"/>
      <c r="H1117" s="6"/>
    </row>
    <row r="1118" spans="2:8" x14ac:dyDescent="0.3">
      <c r="B1118" s="6"/>
      <c r="C1118" s="6"/>
      <c r="D1118" s="6"/>
      <c r="E1118" s="233"/>
      <c r="F1118" s="6"/>
      <c r="G1118" s="6"/>
      <c r="H1118" s="6"/>
    </row>
    <row r="1119" spans="2:8" x14ac:dyDescent="0.3">
      <c r="B1119" s="6"/>
      <c r="C1119" s="6"/>
      <c r="D1119" s="6"/>
      <c r="E1119" s="233"/>
      <c r="F1119" s="6"/>
      <c r="G1119" s="6"/>
      <c r="H1119" s="6"/>
    </row>
    <row r="1120" spans="2:8" x14ac:dyDescent="0.3">
      <c r="B1120" s="6"/>
      <c r="C1120" s="6"/>
      <c r="D1120" s="6"/>
      <c r="E1120" s="233"/>
      <c r="F1120" s="6"/>
      <c r="G1120" s="6"/>
      <c r="H1120" s="6"/>
    </row>
    <row r="1121" spans="2:8" x14ac:dyDescent="0.3">
      <c r="B1121" s="6"/>
      <c r="C1121" s="6"/>
      <c r="D1121" s="6"/>
      <c r="E1121" s="233"/>
      <c r="F1121" s="6"/>
      <c r="G1121" s="6"/>
      <c r="H1121" s="6"/>
    </row>
    <row r="1122" spans="2:8" x14ac:dyDescent="0.3">
      <c r="B1122" s="6"/>
      <c r="C1122" s="6"/>
      <c r="D1122" s="6"/>
      <c r="E1122" s="233"/>
      <c r="F1122" s="6"/>
      <c r="G1122" s="6"/>
      <c r="H1122" s="6"/>
    </row>
    <row r="1123" spans="2:8" x14ac:dyDescent="0.3">
      <c r="B1123" s="6"/>
      <c r="C1123" s="6"/>
      <c r="D1123" s="6"/>
      <c r="E1123" s="233"/>
      <c r="F1123" s="6"/>
      <c r="G1123" s="6"/>
      <c r="H1123" s="6"/>
    </row>
    <row r="1124" spans="2:8" x14ac:dyDescent="0.3">
      <c r="B1124" s="6"/>
      <c r="C1124" s="6"/>
      <c r="D1124" s="6"/>
      <c r="E1124" s="233"/>
      <c r="F1124" s="6"/>
      <c r="G1124" s="6"/>
      <c r="H1124" s="6"/>
    </row>
    <row r="1125" spans="2:8" x14ac:dyDescent="0.3">
      <c r="B1125" s="6"/>
      <c r="C1125" s="6"/>
      <c r="D1125" s="6"/>
      <c r="E1125" s="233"/>
      <c r="F1125" s="6"/>
      <c r="G1125" s="6"/>
      <c r="H1125" s="6"/>
    </row>
    <row r="1126" spans="2:8" x14ac:dyDescent="0.3">
      <c r="B1126" s="6"/>
      <c r="C1126" s="6"/>
      <c r="D1126" s="6"/>
      <c r="E1126" s="233"/>
      <c r="F1126" s="6"/>
      <c r="G1126" s="6"/>
      <c r="H1126" s="6"/>
    </row>
    <row r="1127" spans="2:8" x14ac:dyDescent="0.3">
      <c r="B1127" s="6"/>
      <c r="C1127" s="6"/>
      <c r="D1127" s="6"/>
      <c r="E1127" s="233"/>
      <c r="F1127" s="6"/>
      <c r="G1127" s="6"/>
      <c r="H1127" s="6"/>
    </row>
    <row r="1128" spans="2:8" x14ac:dyDescent="0.3">
      <c r="B1128" s="6"/>
      <c r="C1128" s="6"/>
      <c r="D1128" s="6"/>
      <c r="E1128" s="233"/>
      <c r="F1128" s="6"/>
      <c r="G1128" s="6"/>
      <c r="H1128" s="6"/>
    </row>
    <row r="1129" spans="2:8" x14ac:dyDescent="0.3">
      <c r="B1129" s="6"/>
      <c r="C1129" s="6"/>
      <c r="D1129" s="6"/>
      <c r="E1129" s="233"/>
      <c r="F1129" s="6"/>
      <c r="G1129" s="6"/>
      <c r="H1129" s="6"/>
    </row>
    <row r="1130" spans="2:8" x14ac:dyDescent="0.3">
      <c r="B1130" s="6"/>
      <c r="C1130" s="6"/>
      <c r="D1130" s="6"/>
      <c r="E1130" s="233"/>
      <c r="F1130" s="6"/>
      <c r="G1130" s="6"/>
      <c r="H1130" s="6"/>
    </row>
    <row r="1131" spans="2:8" x14ac:dyDescent="0.3">
      <c r="B1131" s="6"/>
      <c r="C1131" s="6"/>
      <c r="D1131" s="6"/>
      <c r="E1131" s="233"/>
      <c r="F1131" s="6"/>
      <c r="G1131" s="6"/>
      <c r="H1131" s="6"/>
    </row>
    <row r="1132" spans="2:8" x14ac:dyDescent="0.3">
      <c r="B1132" s="6"/>
      <c r="C1132" s="6"/>
      <c r="D1132" s="6"/>
      <c r="E1132" s="233"/>
      <c r="F1132" s="6"/>
      <c r="G1132" s="6"/>
      <c r="H1132" s="6"/>
    </row>
    <row r="1133" spans="2:8" x14ac:dyDescent="0.3">
      <c r="B1133" s="6"/>
      <c r="C1133" s="6"/>
      <c r="D1133" s="6"/>
      <c r="E1133" s="233"/>
      <c r="F1133" s="6"/>
      <c r="G1133" s="6"/>
      <c r="H1133" s="6"/>
    </row>
    <row r="1134" spans="2:8" x14ac:dyDescent="0.3">
      <c r="B1134" s="6"/>
      <c r="C1134" s="6"/>
      <c r="D1134" s="6"/>
      <c r="E1134" s="233"/>
      <c r="F1134" s="6"/>
      <c r="G1134" s="6"/>
      <c r="H1134" s="6"/>
    </row>
    <row r="1135" spans="2:8" x14ac:dyDescent="0.3">
      <c r="B1135" s="6"/>
      <c r="C1135" s="6"/>
      <c r="D1135" s="6"/>
      <c r="E1135" s="233"/>
      <c r="F1135" s="6"/>
      <c r="G1135" s="6"/>
      <c r="H1135" s="6"/>
    </row>
    <row r="1136" spans="2:8" x14ac:dyDescent="0.3">
      <c r="B1136" s="6"/>
      <c r="C1136" s="6"/>
      <c r="D1136" s="6"/>
      <c r="E1136" s="233"/>
      <c r="F1136" s="6"/>
      <c r="G1136" s="6"/>
      <c r="H1136" s="6"/>
    </row>
    <row r="1137" spans="2:8" x14ac:dyDescent="0.3">
      <c r="B1137" s="6"/>
      <c r="C1137" s="6"/>
      <c r="D1137" s="6"/>
      <c r="E1137" s="233"/>
      <c r="F1137" s="6"/>
      <c r="G1137" s="6"/>
      <c r="H1137" s="6"/>
    </row>
    <row r="1138" spans="2:8" x14ac:dyDescent="0.3">
      <c r="B1138" s="6"/>
      <c r="C1138" s="6"/>
      <c r="D1138" s="6"/>
      <c r="E1138" s="233"/>
      <c r="F1138" s="6"/>
      <c r="G1138" s="6"/>
      <c r="H1138" s="6"/>
    </row>
    <row r="1139" spans="2:8" x14ac:dyDescent="0.3">
      <c r="B1139" s="6"/>
      <c r="C1139" s="6"/>
      <c r="D1139" s="6"/>
      <c r="E1139" s="233"/>
      <c r="F1139" s="6"/>
      <c r="G1139" s="6"/>
      <c r="H1139" s="6"/>
    </row>
    <row r="1140" spans="2:8" x14ac:dyDescent="0.3">
      <c r="B1140" s="6"/>
      <c r="C1140" s="6"/>
      <c r="D1140" s="6"/>
      <c r="E1140" s="233"/>
      <c r="F1140" s="6"/>
      <c r="G1140" s="6"/>
      <c r="H1140" s="6"/>
    </row>
    <row r="1141" spans="2:8" x14ac:dyDescent="0.3">
      <c r="B1141" s="6"/>
      <c r="C1141" s="6"/>
      <c r="D1141" s="6"/>
      <c r="E1141" s="233"/>
      <c r="F1141" s="6"/>
      <c r="G1141" s="6"/>
      <c r="H1141" s="6"/>
    </row>
    <row r="1142" spans="2:8" x14ac:dyDescent="0.3">
      <c r="B1142" s="6"/>
      <c r="C1142" s="6"/>
      <c r="D1142" s="6"/>
      <c r="E1142" s="233"/>
      <c r="F1142" s="6"/>
      <c r="G1142" s="6"/>
      <c r="H1142" s="6"/>
    </row>
    <row r="1143" spans="2:8" x14ac:dyDescent="0.3">
      <c r="B1143" s="6"/>
      <c r="C1143" s="6"/>
      <c r="D1143" s="6"/>
      <c r="E1143" s="233"/>
      <c r="F1143" s="6"/>
      <c r="G1143" s="6"/>
      <c r="H1143" s="6"/>
    </row>
    <row r="1144" spans="2:8" x14ac:dyDescent="0.3">
      <c r="B1144" s="6"/>
      <c r="C1144" s="6"/>
      <c r="D1144" s="6"/>
      <c r="E1144" s="233"/>
      <c r="F1144" s="6"/>
      <c r="G1144" s="6"/>
      <c r="H1144" s="6"/>
    </row>
    <row r="1145" spans="2:8" x14ac:dyDescent="0.3">
      <c r="B1145" s="6"/>
      <c r="C1145" s="6"/>
      <c r="D1145" s="6"/>
      <c r="E1145" s="233"/>
      <c r="F1145" s="6"/>
      <c r="G1145" s="6"/>
      <c r="H1145" s="6"/>
    </row>
    <row r="1146" spans="2:8" x14ac:dyDescent="0.3">
      <c r="B1146" s="6"/>
      <c r="C1146" s="6"/>
      <c r="D1146" s="6"/>
      <c r="E1146" s="233"/>
      <c r="F1146" s="6"/>
      <c r="G1146" s="6"/>
      <c r="H1146" s="6"/>
    </row>
    <row r="1147" spans="2:8" x14ac:dyDescent="0.3">
      <c r="B1147" s="6"/>
      <c r="C1147" s="6"/>
      <c r="D1147" s="6"/>
      <c r="E1147" s="233"/>
      <c r="F1147" s="6"/>
      <c r="G1147" s="6"/>
      <c r="H1147" s="6"/>
    </row>
    <row r="1148" spans="2:8" x14ac:dyDescent="0.3">
      <c r="B1148" s="6"/>
      <c r="C1148" s="6"/>
      <c r="D1148" s="6"/>
      <c r="E1148" s="233"/>
      <c r="F1148" s="6"/>
      <c r="G1148" s="6"/>
      <c r="H1148" s="6"/>
    </row>
    <row r="1149" spans="2:8" x14ac:dyDescent="0.3">
      <c r="B1149" s="6"/>
      <c r="C1149" s="6"/>
      <c r="D1149" s="6"/>
      <c r="E1149" s="233"/>
      <c r="F1149" s="6"/>
      <c r="G1149" s="6"/>
      <c r="H1149" s="6"/>
    </row>
    <row r="1150" spans="2:8" x14ac:dyDescent="0.3">
      <c r="B1150" s="6"/>
      <c r="C1150" s="6"/>
      <c r="D1150" s="6"/>
      <c r="E1150" s="233"/>
      <c r="F1150" s="6"/>
      <c r="G1150" s="6"/>
      <c r="H1150" s="6"/>
    </row>
    <row r="1151" spans="2:8" x14ac:dyDescent="0.3">
      <c r="B1151" s="6"/>
      <c r="C1151" s="6"/>
      <c r="D1151" s="6"/>
      <c r="E1151" s="233"/>
      <c r="F1151" s="6"/>
      <c r="G1151" s="6"/>
      <c r="H1151" s="6"/>
    </row>
    <row r="1152" spans="2:8" x14ac:dyDescent="0.3">
      <c r="B1152" s="6"/>
      <c r="C1152" s="6"/>
      <c r="D1152" s="6"/>
      <c r="E1152" s="233"/>
      <c r="F1152" s="6"/>
      <c r="G1152" s="6"/>
      <c r="H1152" s="6"/>
    </row>
    <row r="1153" spans="2:8" x14ac:dyDescent="0.3">
      <c r="B1153" s="6"/>
      <c r="C1153" s="6"/>
      <c r="D1153" s="6"/>
      <c r="E1153" s="233"/>
      <c r="F1153" s="6"/>
      <c r="G1153" s="6"/>
      <c r="H1153" s="6"/>
    </row>
    <row r="1154" spans="2:8" x14ac:dyDescent="0.3">
      <c r="B1154" s="6"/>
      <c r="C1154" s="6"/>
      <c r="D1154" s="6"/>
      <c r="E1154" s="233"/>
      <c r="F1154" s="6"/>
      <c r="G1154" s="6"/>
      <c r="H1154" s="6"/>
    </row>
    <row r="1155" spans="2:8" x14ac:dyDescent="0.3">
      <c r="B1155" s="6"/>
      <c r="C1155" s="6"/>
      <c r="D1155" s="6"/>
      <c r="E1155" s="233"/>
      <c r="F1155" s="6"/>
      <c r="G1155" s="6"/>
      <c r="H1155" s="6"/>
    </row>
    <row r="1156" spans="2:8" x14ac:dyDescent="0.3">
      <c r="B1156" s="6"/>
      <c r="C1156" s="6"/>
      <c r="D1156" s="6"/>
      <c r="E1156" s="233"/>
      <c r="F1156" s="6"/>
      <c r="G1156" s="6"/>
      <c r="H1156" s="6"/>
    </row>
    <row r="1157" spans="2:8" x14ac:dyDescent="0.3">
      <c r="B1157" s="6"/>
      <c r="C1157" s="6"/>
      <c r="D1157" s="6"/>
      <c r="E1157" s="233"/>
      <c r="F1157" s="6"/>
      <c r="G1157" s="6"/>
      <c r="H1157" s="6"/>
    </row>
    <row r="1158" spans="2:8" x14ac:dyDescent="0.3">
      <c r="B1158" s="6"/>
      <c r="C1158" s="6"/>
      <c r="D1158" s="6"/>
      <c r="E1158" s="233"/>
      <c r="F1158" s="6"/>
      <c r="G1158" s="6"/>
      <c r="H1158" s="6"/>
    </row>
    <row r="1159" spans="2:8" x14ac:dyDescent="0.3">
      <c r="B1159" s="6"/>
      <c r="C1159" s="6"/>
      <c r="D1159" s="6"/>
      <c r="E1159" s="233"/>
      <c r="F1159" s="6"/>
      <c r="G1159" s="6"/>
      <c r="H1159" s="6"/>
    </row>
    <row r="1160" spans="2:8" x14ac:dyDescent="0.3">
      <c r="B1160" s="6"/>
      <c r="C1160" s="6"/>
      <c r="D1160" s="6"/>
      <c r="E1160" s="233"/>
      <c r="F1160" s="6"/>
      <c r="G1160" s="6"/>
      <c r="H1160" s="6"/>
    </row>
    <row r="1161" spans="2:8" x14ac:dyDescent="0.3">
      <c r="B1161" s="6"/>
      <c r="C1161" s="6"/>
      <c r="D1161" s="6"/>
      <c r="E1161" s="233"/>
      <c r="F1161" s="6"/>
      <c r="G1161" s="6"/>
      <c r="H1161" s="6"/>
    </row>
    <row r="1162" spans="2:8" x14ac:dyDescent="0.3">
      <c r="B1162" s="6"/>
      <c r="C1162" s="6"/>
      <c r="D1162" s="6"/>
      <c r="E1162" s="233"/>
      <c r="F1162" s="6"/>
      <c r="G1162" s="6"/>
      <c r="H1162" s="6"/>
    </row>
    <row r="1163" spans="2:8" x14ac:dyDescent="0.3">
      <c r="B1163" s="6"/>
      <c r="C1163" s="6"/>
      <c r="D1163" s="6"/>
      <c r="E1163" s="233"/>
      <c r="F1163" s="6"/>
      <c r="G1163" s="6"/>
      <c r="H1163" s="6"/>
    </row>
    <row r="1164" spans="2:8" x14ac:dyDescent="0.3">
      <c r="B1164" s="6"/>
      <c r="C1164" s="6"/>
      <c r="D1164" s="6"/>
      <c r="E1164" s="233"/>
      <c r="F1164" s="6"/>
      <c r="G1164" s="6"/>
      <c r="H1164" s="6"/>
    </row>
    <row r="1165" spans="2:8" x14ac:dyDescent="0.3">
      <c r="B1165" s="6"/>
      <c r="C1165" s="6"/>
      <c r="D1165" s="6"/>
      <c r="E1165" s="233"/>
      <c r="F1165" s="6"/>
      <c r="G1165" s="6"/>
      <c r="H1165" s="6"/>
    </row>
    <row r="1166" spans="2:8" x14ac:dyDescent="0.3">
      <c r="B1166" s="6"/>
      <c r="C1166" s="6"/>
      <c r="D1166" s="6"/>
      <c r="E1166" s="233"/>
      <c r="F1166" s="6"/>
      <c r="G1166" s="6"/>
      <c r="H1166" s="6"/>
    </row>
    <row r="1167" spans="2:8" x14ac:dyDescent="0.3">
      <c r="B1167" s="6"/>
      <c r="C1167" s="6"/>
      <c r="D1167" s="6"/>
      <c r="E1167" s="233"/>
      <c r="F1167" s="6"/>
      <c r="G1167" s="6"/>
      <c r="H1167" s="6"/>
    </row>
    <row r="1168" spans="2:8" x14ac:dyDescent="0.3">
      <c r="B1168" s="6"/>
      <c r="C1168" s="6"/>
      <c r="D1168" s="6"/>
      <c r="E1168" s="233"/>
      <c r="F1168" s="6"/>
      <c r="G1168" s="6"/>
      <c r="H1168" s="6"/>
    </row>
    <row r="1169" spans="2:8" x14ac:dyDescent="0.3">
      <c r="B1169" s="6"/>
      <c r="C1169" s="6"/>
      <c r="D1169" s="6"/>
      <c r="E1169" s="233"/>
      <c r="F1169" s="6"/>
      <c r="G1169" s="6"/>
      <c r="H1169" s="6"/>
    </row>
    <row r="1170" spans="2:8" x14ac:dyDescent="0.3">
      <c r="B1170" s="6"/>
      <c r="C1170" s="6"/>
      <c r="D1170" s="6"/>
      <c r="E1170" s="233"/>
      <c r="F1170" s="6"/>
      <c r="G1170" s="6"/>
      <c r="H1170" s="6"/>
    </row>
    <row r="1171" spans="2:8" x14ac:dyDescent="0.3">
      <c r="B1171" s="6"/>
      <c r="C1171" s="6"/>
      <c r="D1171" s="6"/>
      <c r="E1171" s="233"/>
      <c r="F1171" s="6"/>
      <c r="G1171" s="6"/>
      <c r="H1171" s="6"/>
    </row>
    <row r="1172" spans="2:8" x14ac:dyDescent="0.3">
      <c r="B1172" s="6"/>
      <c r="C1172" s="6"/>
      <c r="D1172" s="6"/>
      <c r="E1172" s="233"/>
      <c r="F1172" s="6"/>
      <c r="G1172" s="6"/>
      <c r="H1172" s="6"/>
    </row>
    <row r="1173" spans="2:8" x14ac:dyDescent="0.3">
      <c r="B1173" s="6"/>
      <c r="C1173" s="6"/>
      <c r="D1173" s="6"/>
      <c r="E1173" s="233"/>
      <c r="F1173" s="6"/>
      <c r="G1173" s="6"/>
      <c r="H1173" s="6"/>
    </row>
    <row r="1174" spans="2:8" x14ac:dyDescent="0.3">
      <c r="B1174" s="6"/>
      <c r="C1174" s="6"/>
      <c r="D1174" s="6"/>
      <c r="E1174" s="233"/>
      <c r="F1174" s="6"/>
      <c r="G1174" s="6"/>
      <c r="H1174" s="6"/>
    </row>
    <row r="1175" spans="2:8" x14ac:dyDescent="0.3">
      <c r="B1175" s="6"/>
      <c r="C1175" s="6"/>
      <c r="D1175" s="6"/>
      <c r="E1175" s="233"/>
      <c r="F1175" s="6"/>
      <c r="G1175" s="6"/>
      <c r="H1175" s="6"/>
    </row>
    <row r="1176" spans="2:8" x14ac:dyDescent="0.3">
      <c r="B1176" s="6"/>
      <c r="C1176" s="6"/>
      <c r="D1176" s="6"/>
      <c r="E1176" s="233"/>
      <c r="F1176" s="6"/>
      <c r="G1176" s="6"/>
      <c r="H1176" s="6"/>
    </row>
    <row r="1177" spans="2:8" x14ac:dyDescent="0.3">
      <c r="B1177" s="6"/>
      <c r="C1177" s="6"/>
      <c r="D1177" s="6"/>
      <c r="E1177" s="233"/>
      <c r="F1177" s="6"/>
      <c r="G1177" s="6"/>
      <c r="H1177" s="6"/>
    </row>
    <row r="1178" spans="2:8" x14ac:dyDescent="0.3">
      <c r="B1178" s="6"/>
      <c r="C1178" s="6"/>
      <c r="D1178" s="6"/>
      <c r="E1178" s="233"/>
      <c r="F1178" s="6"/>
      <c r="G1178" s="6"/>
      <c r="H1178" s="6"/>
    </row>
    <row r="1179" spans="2:8" x14ac:dyDescent="0.3">
      <c r="B1179" s="6"/>
      <c r="C1179" s="6"/>
      <c r="D1179" s="6"/>
      <c r="E1179" s="233"/>
      <c r="F1179" s="6"/>
      <c r="G1179" s="6"/>
      <c r="H1179" s="6"/>
    </row>
    <row r="1180" spans="2:8" x14ac:dyDescent="0.3">
      <c r="B1180" s="6"/>
      <c r="C1180" s="6"/>
      <c r="D1180" s="6"/>
      <c r="E1180" s="233"/>
      <c r="F1180" s="6"/>
      <c r="G1180" s="6"/>
      <c r="H1180" s="6"/>
    </row>
    <row r="1181" spans="2:8" x14ac:dyDescent="0.3">
      <c r="B1181" s="6"/>
      <c r="C1181" s="6"/>
      <c r="D1181" s="6"/>
      <c r="E1181" s="233"/>
      <c r="F1181" s="6"/>
      <c r="G1181" s="6"/>
      <c r="H1181" s="6"/>
    </row>
    <row r="1182" spans="2:8" x14ac:dyDescent="0.3">
      <c r="B1182" s="6"/>
      <c r="C1182" s="6"/>
      <c r="D1182" s="6"/>
      <c r="E1182" s="233"/>
      <c r="F1182" s="6"/>
      <c r="G1182" s="6"/>
      <c r="H1182" s="6"/>
    </row>
    <row r="1183" spans="2:8" x14ac:dyDescent="0.3">
      <c r="B1183" s="6"/>
      <c r="C1183" s="6"/>
      <c r="D1183" s="6"/>
      <c r="E1183" s="233"/>
      <c r="F1183" s="6"/>
      <c r="G1183" s="6"/>
      <c r="H1183" s="6"/>
    </row>
    <row r="1184" spans="2:8" x14ac:dyDescent="0.3">
      <c r="B1184" s="6"/>
      <c r="C1184" s="6"/>
      <c r="D1184" s="6"/>
      <c r="E1184" s="233"/>
      <c r="F1184" s="6"/>
      <c r="G1184" s="6"/>
      <c r="H1184" s="6"/>
    </row>
    <row r="1185" spans="2:8" x14ac:dyDescent="0.3">
      <c r="B1185" s="6"/>
      <c r="C1185" s="6"/>
      <c r="D1185" s="6"/>
      <c r="E1185" s="233"/>
      <c r="F1185" s="6"/>
      <c r="G1185" s="6"/>
      <c r="H1185" s="6"/>
    </row>
    <row r="1186" spans="2:8" x14ac:dyDescent="0.3">
      <c r="B1186" s="6"/>
      <c r="C1186" s="6"/>
      <c r="D1186" s="6"/>
      <c r="E1186" s="233"/>
      <c r="F1186" s="6"/>
      <c r="G1186" s="6"/>
      <c r="H1186" s="6"/>
    </row>
    <row r="1187" spans="2:8" x14ac:dyDescent="0.3">
      <c r="B1187" s="6"/>
      <c r="C1187" s="6"/>
      <c r="D1187" s="6"/>
      <c r="E1187" s="233"/>
      <c r="F1187" s="6"/>
      <c r="G1187" s="6"/>
      <c r="H1187" s="6"/>
    </row>
    <row r="1188" spans="2:8" x14ac:dyDescent="0.3">
      <c r="B1188" s="6"/>
      <c r="C1188" s="6"/>
      <c r="D1188" s="6"/>
      <c r="E1188" s="233"/>
      <c r="F1188" s="6"/>
      <c r="G1188" s="6"/>
      <c r="H1188" s="6"/>
    </row>
    <row r="1189" spans="2:8" x14ac:dyDescent="0.3">
      <c r="B1189" s="6"/>
      <c r="C1189" s="6"/>
      <c r="D1189" s="6"/>
      <c r="E1189" s="233"/>
      <c r="F1189" s="6"/>
      <c r="G1189" s="6"/>
      <c r="H1189" s="6"/>
    </row>
    <row r="1190" spans="2:8" x14ac:dyDescent="0.3">
      <c r="B1190" s="6"/>
      <c r="C1190" s="6"/>
      <c r="D1190" s="6"/>
      <c r="E1190" s="233"/>
      <c r="F1190" s="6"/>
      <c r="G1190" s="6"/>
      <c r="H1190" s="6"/>
    </row>
    <row r="1191" spans="2:8" x14ac:dyDescent="0.3">
      <c r="B1191" s="6"/>
      <c r="C1191" s="6"/>
      <c r="D1191" s="6"/>
      <c r="E1191" s="233"/>
      <c r="F1191" s="6"/>
      <c r="G1191" s="6"/>
      <c r="H1191" s="6"/>
    </row>
    <row r="1192" spans="2:8" x14ac:dyDescent="0.3">
      <c r="B1192" s="6"/>
      <c r="C1192" s="6"/>
      <c r="D1192" s="6"/>
      <c r="E1192" s="233"/>
      <c r="F1192" s="6"/>
      <c r="G1192" s="6"/>
      <c r="H1192" s="6"/>
    </row>
    <row r="1193" spans="2:8" x14ac:dyDescent="0.3">
      <c r="B1193" s="6"/>
      <c r="C1193" s="6"/>
      <c r="D1193" s="6"/>
      <c r="E1193" s="233"/>
      <c r="F1193" s="6"/>
      <c r="G1193" s="6"/>
      <c r="H1193" s="6"/>
    </row>
    <row r="1194" spans="2:8" x14ac:dyDescent="0.3">
      <c r="B1194" s="6"/>
      <c r="C1194" s="6"/>
      <c r="D1194" s="6"/>
      <c r="E1194" s="233"/>
      <c r="F1194" s="6"/>
      <c r="G1194" s="6"/>
      <c r="H1194" s="6"/>
    </row>
    <row r="1195" spans="2:8" x14ac:dyDescent="0.3">
      <c r="B1195" s="6"/>
      <c r="C1195" s="6"/>
      <c r="D1195" s="6"/>
      <c r="E1195" s="233"/>
      <c r="F1195" s="6"/>
      <c r="G1195" s="6"/>
      <c r="H1195" s="6"/>
    </row>
    <row r="1196" spans="2:8" x14ac:dyDescent="0.3">
      <c r="B1196" s="6"/>
      <c r="C1196" s="6"/>
      <c r="D1196" s="6"/>
      <c r="E1196" s="233"/>
      <c r="F1196" s="6"/>
      <c r="G1196" s="6"/>
      <c r="H1196" s="6"/>
    </row>
    <row r="1197" spans="2:8" x14ac:dyDescent="0.3">
      <c r="B1197" s="6"/>
      <c r="C1197" s="6"/>
      <c r="D1197" s="6"/>
      <c r="E1197" s="233"/>
      <c r="F1197" s="6"/>
      <c r="G1197" s="6"/>
      <c r="H1197" s="6"/>
    </row>
    <row r="1198" spans="2:8" x14ac:dyDescent="0.3">
      <c r="B1198" s="6"/>
      <c r="C1198" s="6"/>
      <c r="D1198" s="6"/>
      <c r="E1198" s="233"/>
      <c r="F1198" s="6"/>
      <c r="G1198" s="6"/>
      <c r="H1198" s="6"/>
    </row>
    <row r="1199" spans="2:8" x14ac:dyDescent="0.3">
      <c r="B1199" s="6"/>
      <c r="C1199" s="6"/>
      <c r="D1199" s="6"/>
      <c r="E1199" s="233"/>
      <c r="F1199" s="6"/>
      <c r="G1199" s="6"/>
      <c r="H1199" s="6"/>
    </row>
    <row r="1200" spans="2:8" x14ac:dyDescent="0.3">
      <c r="B1200" s="6"/>
      <c r="C1200" s="6"/>
      <c r="D1200" s="6"/>
      <c r="E1200" s="233"/>
      <c r="F1200" s="6"/>
      <c r="G1200" s="6"/>
      <c r="H1200" s="6"/>
    </row>
    <row r="1201" spans="2:8" x14ac:dyDescent="0.3">
      <c r="B1201" s="6"/>
      <c r="C1201" s="6"/>
      <c r="D1201" s="6"/>
      <c r="E1201" s="233"/>
      <c r="F1201" s="6"/>
      <c r="G1201" s="6"/>
      <c r="H1201" s="6"/>
    </row>
    <row r="1202" spans="2:8" x14ac:dyDescent="0.3">
      <c r="B1202" s="6"/>
      <c r="C1202" s="6"/>
      <c r="D1202" s="6"/>
      <c r="E1202" s="233"/>
      <c r="F1202" s="6"/>
      <c r="G1202" s="6"/>
      <c r="H1202" s="6"/>
    </row>
    <row r="1203" spans="2:8" x14ac:dyDescent="0.3">
      <c r="B1203" s="6"/>
      <c r="C1203" s="6"/>
      <c r="D1203" s="6"/>
      <c r="E1203" s="233"/>
      <c r="F1203" s="6"/>
      <c r="G1203" s="6"/>
      <c r="H1203" s="6"/>
    </row>
    <row r="1204" spans="2:8" x14ac:dyDescent="0.3">
      <c r="B1204" s="6"/>
      <c r="C1204" s="6"/>
      <c r="D1204" s="6"/>
      <c r="E1204" s="233"/>
      <c r="F1204" s="6"/>
      <c r="G1204" s="6"/>
      <c r="H1204" s="6"/>
    </row>
    <row r="1205" spans="2:8" x14ac:dyDescent="0.3">
      <c r="B1205" s="6"/>
      <c r="C1205" s="6"/>
      <c r="D1205" s="6"/>
      <c r="E1205" s="233"/>
      <c r="F1205" s="6"/>
      <c r="G1205" s="6"/>
      <c r="H1205" s="6"/>
    </row>
    <row r="1206" spans="2:8" x14ac:dyDescent="0.3">
      <c r="B1206" s="6"/>
      <c r="C1206" s="6"/>
      <c r="D1206" s="6"/>
      <c r="E1206" s="233"/>
      <c r="F1206" s="6"/>
      <c r="G1206" s="6"/>
      <c r="H1206" s="6"/>
    </row>
    <row r="1207" spans="2:8" x14ac:dyDescent="0.3">
      <c r="B1207" s="6"/>
      <c r="C1207" s="6"/>
      <c r="D1207" s="6"/>
      <c r="E1207" s="233"/>
      <c r="F1207" s="6"/>
      <c r="G1207" s="6"/>
      <c r="H1207" s="6"/>
    </row>
    <row r="1208" spans="2:8" x14ac:dyDescent="0.3">
      <c r="B1208" s="6"/>
      <c r="C1208" s="6"/>
      <c r="D1208" s="6"/>
      <c r="E1208" s="233"/>
      <c r="F1208" s="6"/>
      <c r="G1208" s="6"/>
      <c r="H1208" s="6"/>
    </row>
    <row r="1209" spans="2:8" x14ac:dyDescent="0.3">
      <c r="B1209" s="6"/>
      <c r="C1209" s="6"/>
      <c r="D1209" s="6"/>
      <c r="E1209" s="233"/>
      <c r="F1209" s="6"/>
      <c r="G1209" s="6"/>
      <c r="H1209" s="6"/>
    </row>
    <row r="1210" spans="2:8" x14ac:dyDescent="0.3">
      <c r="B1210" s="6"/>
      <c r="C1210" s="6"/>
      <c r="D1210" s="6"/>
      <c r="E1210" s="233"/>
      <c r="F1210" s="6"/>
      <c r="G1210" s="6"/>
      <c r="H1210" s="6"/>
    </row>
    <row r="1211" spans="2:8" x14ac:dyDescent="0.3">
      <c r="B1211" s="6"/>
      <c r="C1211" s="6"/>
      <c r="D1211" s="6"/>
      <c r="E1211" s="233"/>
      <c r="F1211" s="6"/>
      <c r="G1211" s="6"/>
      <c r="H1211" s="6"/>
    </row>
    <row r="1212" spans="2:8" x14ac:dyDescent="0.3">
      <c r="B1212" s="6"/>
      <c r="C1212" s="6"/>
      <c r="D1212" s="6"/>
      <c r="E1212" s="233"/>
      <c r="F1212" s="6"/>
      <c r="G1212" s="6"/>
      <c r="H1212" s="6"/>
    </row>
    <row r="1213" spans="2:8" x14ac:dyDescent="0.3">
      <c r="B1213" s="6"/>
      <c r="C1213" s="6"/>
      <c r="D1213" s="6"/>
      <c r="E1213" s="233"/>
      <c r="F1213" s="6"/>
      <c r="G1213" s="6"/>
      <c r="H1213" s="6"/>
    </row>
    <row r="1214" spans="2:8" x14ac:dyDescent="0.3">
      <c r="B1214" s="6"/>
      <c r="C1214" s="6"/>
      <c r="D1214" s="6"/>
      <c r="E1214" s="233"/>
      <c r="F1214" s="6"/>
      <c r="G1214" s="6"/>
      <c r="H1214" s="6"/>
    </row>
    <row r="1215" spans="2:8" x14ac:dyDescent="0.3">
      <c r="B1215" s="6"/>
      <c r="C1215" s="6"/>
      <c r="D1215" s="6"/>
      <c r="E1215" s="233"/>
      <c r="F1215" s="6"/>
      <c r="G1215" s="6"/>
      <c r="H1215" s="6"/>
    </row>
    <row r="1216" spans="2:8" x14ac:dyDescent="0.3">
      <c r="B1216" s="6"/>
      <c r="C1216" s="6"/>
      <c r="D1216" s="6"/>
      <c r="E1216" s="233"/>
      <c r="F1216" s="6"/>
      <c r="G1216" s="6"/>
      <c r="H1216" s="6"/>
    </row>
    <row r="1217" spans="2:8" x14ac:dyDescent="0.3">
      <c r="B1217" s="6"/>
      <c r="C1217" s="6"/>
      <c r="D1217" s="6"/>
      <c r="E1217" s="233"/>
      <c r="F1217" s="6"/>
      <c r="G1217" s="6"/>
      <c r="H1217" s="6"/>
    </row>
    <row r="1218" spans="2:8" x14ac:dyDescent="0.3">
      <c r="B1218" s="6"/>
      <c r="C1218" s="6"/>
      <c r="D1218" s="6"/>
      <c r="E1218" s="233"/>
      <c r="F1218" s="6"/>
      <c r="G1218" s="6"/>
      <c r="H1218" s="6"/>
    </row>
    <row r="1219" spans="2:8" x14ac:dyDescent="0.3">
      <c r="B1219" s="6"/>
      <c r="C1219" s="6"/>
      <c r="D1219" s="6"/>
      <c r="E1219" s="233"/>
      <c r="F1219" s="6"/>
      <c r="G1219" s="6"/>
      <c r="H1219" s="6"/>
    </row>
    <row r="1220" spans="2:8" x14ac:dyDescent="0.3">
      <c r="B1220" s="6"/>
      <c r="C1220" s="6"/>
      <c r="D1220" s="6"/>
      <c r="E1220" s="233"/>
      <c r="F1220" s="6"/>
      <c r="G1220" s="6"/>
      <c r="H1220" s="6"/>
    </row>
    <row r="1221" spans="2:8" x14ac:dyDescent="0.3">
      <c r="B1221" s="6"/>
      <c r="C1221" s="6"/>
      <c r="D1221" s="6"/>
      <c r="E1221" s="233"/>
      <c r="F1221" s="6"/>
      <c r="G1221" s="6"/>
      <c r="H1221" s="6"/>
    </row>
    <row r="1222" spans="2:8" x14ac:dyDescent="0.3">
      <c r="B1222" s="6"/>
      <c r="C1222" s="6"/>
      <c r="D1222" s="6"/>
      <c r="E1222" s="233"/>
      <c r="F1222" s="6"/>
      <c r="G1222" s="6"/>
      <c r="H1222" s="6"/>
    </row>
    <row r="1223" spans="2:8" x14ac:dyDescent="0.3">
      <c r="B1223" s="6"/>
      <c r="C1223" s="6"/>
      <c r="D1223" s="6"/>
      <c r="E1223" s="233"/>
      <c r="F1223" s="6"/>
      <c r="G1223" s="6"/>
      <c r="H1223" s="6"/>
    </row>
    <row r="1224" spans="2:8" x14ac:dyDescent="0.3">
      <c r="B1224" s="6"/>
      <c r="C1224" s="6"/>
      <c r="D1224" s="6"/>
      <c r="E1224" s="233"/>
      <c r="F1224" s="6"/>
      <c r="G1224" s="6"/>
      <c r="H1224" s="6"/>
    </row>
    <row r="1225" spans="2:8" x14ac:dyDescent="0.3">
      <c r="B1225" s="6"/>
      <c r="C1225" s="6"/>
      <c r="D1225" s="6"/>
      <c r="E1225" s="233"/>
      <c r="F1225" s="6"/>
      <c r="G1225" s="6"/>
      <c r="H1225" s="6"/>
    </row>
    <row r="1226" spans="2:8" x14ac:dyDescent="0.3">
      <c r="B1226" s="6"/>
      <c r="C1226" s="6"/>
      <c r="D1226" s="6"/>
      <c r="E1226" s="233"/>
      <c r="F1226" s="6"/>
      <c r="G1226" s="6"/>
      <c r="H1226" s="6"/>
    </row>
    <row r="1227" spans="2:8" x14ac:dyDescent="0.3">
      <c r="B1227" s="6"/>
      <c r="C1227" s="6"/>
      <c r="D1227" s="6"/>
      <c r="E1227" s="233"/>
      <c r="F1227" s="6"/>
      <c r="G1227" s="6"/>
      <c r="H1227" s="6"/>
    </row>
    <row r="1228" spans="2:8" x14ac:dyDescent="0.3">
      <c r="B1228" s="6"/>
      <c r="C1228" s="6"/>
      <c r="D1228" s="6"/>
      <c r="E1228" s="233"/>
      <c r="F1228" s="6"/>
      <c r="G1228" s="6"/>
      <c r="H1228" s="6"/>
    </row>
    <row r="1229" spans="2:8" x14ac:dyDescent="0.3">
      <c r="B1229" s="6"/>
      <c r="C1229" s="6"/>
      <c r="D1229" s="6"/>
      <c r="E1229" s="233"/>
      <c r="F1229" s="6"/>
      <c r="G1229" s="6"/>
      <c r="H1229" s="6"/>
    </row>
    <row r="1230" spans="2:8" x14ac:dyDescent="0.3">
      <c r="B1230" s="6"/>
      <c r="C1230" s="6"/>
      <c r="D1230" s="6"/>
      <c r="E1230" s="233"/>
      <c r="F1230" s="6"/>
      <c r="G1230" s="6"/>
      <c r="H1230" s="6"/>
    </row>
    <row r="1231" spans="2:8" x14ac:dyDescent="0.3">
      <c r="B1231" s="6"/>
      <c r="C1231" s="6"/>
      <c r="D1231" s="6"/>
      <c r="E1231" s="233"/>
      <c r="F1231" s="6"/>
      <c r="G1231" s="6"/>
      <c r="H1231" s="6"/>
    </row>
    <row r="1232" spans="2:8" x14ac:dyDescent="0.3">
      <c r="B1232" s="6"/>
      <c r="C1232" s="6"/>
      <c r="D1232" s="6"/>
      <c r="E1232" s="233"/>
      <c r="F1232" s="6"/>
      <c r="G1232" s="6"/>
      <c r="H1232" s="6"/>
    </row>
    <row r="1233" spans="2:8" x14ac:dyDescent="0.3">
      <c r="B1233" s="6"/>
      <c r="C1233" s="6"/>
      <c r="D1233" s="6"/>
      <c r="E1233" s="233"/>
      <c r="F1233" s="6"/>
      <c r="G1233" s="6"/>
      <c r="H1233" s="6"/>
    </row>
    <row r="1234" spans="2:8" x14ac:dyDescent="0.3">
      <c r="B1234" s="6"/>
      <c r="C1234" s="6"/>
      <c r="D1234" s="6"/>
      <c r="E1234" s="233"/>
      <c r="F1234" s="6"/>
      <c r="G1234" s="6"/>
      <c r="H1234" s="6"/>
    </row>
    <row r="1235" spans="2:8" x14ac:dyDescent="0.3">
      <c r="B1235" s="6"/>
      <c r="C1235" s="6"/>
      <c r="D1235" s="6"/>
      <c r="E1235" s="233"/>
      <c r="F1235" s="6"/>
      <c r="G1235" s="6"/>
      <c r="H1235" s="6"/>
    </row>
    <row r="1236" spans="2:8" x14ac:dyDescent="0.3">
      <c r="B1236" s="6"/>
      <c r="C1236" s="6"/>
      <c r="D1236" s="6"/>
      <c r="E1236" s="233"/>
      <c r="F1236" s="6"/>
      <c r="G1236" s="6"/>
      <c r="H1236" s="6"/>
    </row>
    <row r="1237" spans="2:8" x14ac:dyDescent="0.3">
      <c r="B1237" s="6"/>
      <c r="C1237" s="6"/>
      <c r="D1237" s="6"/>
      <c r="E1237" s="233"/>
      <c r="F1237" s="6"/>
      <c r="G1237" s="6"/>
      <c r="H1237" s="6"/>
    </row>
    <row r="1238" spans="2:8" x14ac:dyDescent="0.3">
      <c r="B1238" s="6"/>
      <c r="C1238" s="6"/>
      <c r="D1238" s="6"/>
      <c r="E1238" s="233"/>
      <c r="F1238" s="6"/>
      <c r="G1238" s="6"/>
      <c r="H1238" s="6"/>
    </row>
    <row r="1239" spans="2:8" x14ac:dyDescent="0.3">
      <c r="B1239" s="6"/>
      <c r="C1239" s="6"/>
      <c r="D1239" s="6"/>
      <c r="E1239" s="233"/>
      <c r="F1239" s="6"/>
      <c r="G1239" s="6"/>
      <c r="H1239" s="6"/>
    </row>
    <row r="1240" spans="2:8" x14ac:dyDescent="0.3">
      <c r="B1240" s="6"/>
      <c r="C1240" s="6"/>
      <c r="D1240" s="6"/>
      <c r="E1240" s="233"/>
      <c r="F1240" s="6"/>
      <c r="G1240" s="6"/>
      <c r="H1240" s="6"/>
    </row>
    <row r="1241" spans="2:8" x14ac:dyDescent="0.3">
      <c r="B1241" s="6"/>
      <c r="C1241" s="6"/>
      <c r="D1241" s="6"/>
      <c r="E1241" s="233"/>
      <c r="F1241" s="6"/>
      <c r="G1241" s="6"/>
      <c r="H1241" s="6"/>
    </row>
    <row r="1242" spans="2:8" x14ac:dyDescent="0.3">
      <c r="B1242" s="6"/>
      <c r="C1242" s="6"/>
      <c r="D1242" s="6"/>
      <c r="E1242" s="233"/>
      <c r="F1242" s="6"/>
      <c r="G1242" s="6"/>
      <c r="H1242" s="6"/>
    </row>
    <row r="1243" spans="2:8" x14ac:dyDescent="0.3">
      <c r="B1243" s="6"/>
      <c r="C1243" s="6"/>
      <c r="D1243" s="6"/>
      <c r="E1243" s="233"/>
      <c r="F1243" s="6"/>
      <c r="G1243" s="6"/>
      <c r="H1243" s="6"/>
    </row>
    <row r="1244" spans="2:8" x14ac:dyDescent="0.3">
      <c r="B1244" s="6"/>
      <c r="C1244" s="6"/>
      <c r="D1244" s="6"/>
      <c r="E1244" s="233"/>
      <c r="F1244" s="6"/>
      <c r="G1244" s="6"/>
      <c r="H1244" s="6"/>
    </row>
    <row r="1245" spans="2:8" x14ac:dyDescent="0.3">
      <c r="B1245" s="6"/>
      <c r="C1245" s="6"/>
      <c r="D1245" s="6"/>
      <c r="E1245" s="233"/>
      <c r="F1245" s="6"/>
      <c r="G1245" s="6"/>
      <c r="H1245" s="6"/>
    </row>
    <row r="1246" spans="2:8" x14ac:dyDescent="0.3">
      <c r="B1246" s="6"/>
      <c r="C1246" s="6"/>
      <c r="D1246" s="6"/>
      <c r="E1246" s="233"/>
      <c r="F1246" s="6"/>
      <c r="G1246" s="6"/>
      <c r="H1246" s="6"/>
    </row>
    <row r="1247" spans="2:8" x14ac:dyDescent="0.3">
      <c r="B1247" s="6"/>
      <c r="C1247" s="6"/>
      <c r="D1247" s="6"/>
      <c r="E1247" s="233"/>
      <c r="F1247" s="6"/>
      <c r="G1247" s="6"/>
      <c r="H1247" s="6"/>
    </row>
    <row r="1248" spans="2:8" x14ac:dyDescent="0.3">
      <c r="B1248" s="6"/>
      <c r="C1248" s="6"/>
      <c r="D1248" s="6"/>
      <c r="E1248" s="233"/>
      <c r="F1248" s="6"/>
      <c r="G1248" s="6"/>
      <c r="H1248" s="6"/>
    </row>
    <row r="1249" spans="2:8" x14ac:dyDescent="0.3">
      <c r="B1249" s="6"/>
      <c r="C1249" s="6"/>
      <c r="D1249" s="6"/>
      <c r="E1249" s="233"/>
      <c r="F1249" s="6"/>
      <c r="G1249" s="6"/>
      <c r="H1249" s="6"/>
    </row>
    <row r="1250" spans="2:8" x14ac:dyDescent="0.3">
      <c r="B1250" s="6"/>
      <c r="C1250" s="6"/>
      <c r="D1250" s="6"/>
      <c r="E1250" s="233"/>
      <c r="F1250" s="6"/>
      <c r="G1250" s="6"/>
      <c r="H1250" s="6"/>
    </row>
    <row r="1251" spans="2:8" x14ac:dyDescent="0.3">
      <c r="B1251" s="6"/>
      <c r="C1251" s="6"/>
      <c r="D1251" s="6"/>
      <c r="E1251" s="233"/>
      <c r="F1251" s="6"/>
      <c r="G1251" s="6"/>
      <c r="H1251" s="6"/>
    </row>
    <row r="1252" spans="2:8" x14ac:dyDescent="0.3">
      <c r="B1252" s="6"/>
      <c r="C1252" s="6"/>
      <c r="D1252" s="6"/>
      <c r="E1252" s="233"/>
      <c r="F1252" s="6"/>
      <c r="G1252" s="6"/>
      <c r="H1252" s="6"/>
    </row>
    <row r="1253" spans="2:8" x14ac:dyDescent="0.3">
      <c r="B1253" s="6"/>
      <c r="C1253" s="6"/>
      <c r="D1253" s="6"/>
      <c r="E1253" s="233"/>
      <c r="F1253" s="6"/>
      <c r="G1253" s="6"/>
      <c r="H1253" s="6"/>
    </row>
    <row r="1254" spans="2:8" x14ac:dyDescent="0.3">
      <c r="B1254" s="6"/>
      <c r="C1254" s="6"/>
      <c r="D1254" s="6"/>
      <c r="E1254" s="233"/>
      <c r="F1254" s="6"/>
      <c r="G1254" s="6"/>
      <c r="H1254" s="6"/>
    </row>
    <row r="1255" spans="2:8" x14ac:dyDescent="0.3">
      <c r="B1255" s="6"/>
      <c r="C1255" s="6"/>
      <c r="D1255" s="6"/>
      <c r="E1255" s="233"/>
      <c r="F1255" s="6"/>
      <c r="G1255" s="6"/>
      <c r="H1255" s="6"/>
    </row>
    <row r="1256" spans="2:8" x14ac:dyDescent="0.3">
      <c r="B1256" s="6"/>
      <c r="C1256" s="6"/>
      <c r="D1256" s="6"/>
      <c r="E1256" s="233"/>
      <c r="F1256" s="6"/>
      <c r="G1256" s="6"/>
      <c r="H1256" s="6"/>
    </row>
    <row r="1257" spans="2:8" x14ac:dyDescent="0.3">
      <c r="B1257" s="6"/>
      <c r="C1257" s="6"/>
      <c r="D1257" s="6"/>
      <c r="E1257" s="233"/>
      <c r="F1257" s="6"/>
      <c r="G1257" s="6"/>
      <c r="H1257" s="6"/>
    </row>
    <row r="1258" spans="2:8" x14ac:dyDescent="0.3">
      <c r="B1258" s="6"/>
      <c r="C1258" s="6"/>
      <c r="D1258" s="6"/>
      <c r="E1258" s="233"/>
      <c r="F1258" s="6"/>
      <c r="G1258" s="6"/>
      <c r="H1258" s="6"/>
    </row>
    <row r="1259" spans="2:8" x14ac:dyDescent="0.3">
      <c r="B1259" s="6"/>
      <c r="C1259" s="6"/>
      <c r="D1259" s="6"/>
      <c r="E1259" s="233"/>
      <c r="F1259" s="6"/>
      <c r="G1259" s="6"/>
      <c r="H1259" s="6"/>
    </row>
    <row r="1260" spans="2:8" x14ac:dyDescent="0.3">
      <c r="B1260" s="6"/>
      <c r="C1260" s="6"/>
      <c r="D1260" s="6"/>
      <c r="E1260" s="233"/>
      <c r="F1260" s="6"/>
      <c r="G1260" s="6"/>
      <c r="H1260" s="6"/>
    </row>
    <row r="1261" spans="2:8" x14ac:dyDescent="0.3">
      <c r="B1261" s="6"/>
      <c r="C1261" s="6"/>
      <c r="D1261" s="6"/>
      <c r="E1261" s="233"/>
      <c r="F1261" s="6"/>
      <c r="G1261" s="6"/>
      <c r="H1261" s="6"/>
    </row>
    <row r="1262" spans="2:8" x14ac:dyDescent="0.3">
      <c r="B1262" s="6"/>
      <c r="C1262" s="6"/>
      <c r="D1262" s="6"/>
      <c r="E1262" s="233"/>
      <c r="F1262" s="6"/>
      <c r="G1262" s="6"/>
      <c r="H1262" s="6"/>
    </row>
    <row r="1263" spans="2:8" x14ac:dyDescent="0.3">
      <c r="B1263" s="6"/>
      <c r="C1263" s="6"/>
      <c r="D1263" s="6"/>
      <c r="E1263" s="233"/>
      <c r="F1263" s="6"/>
      <c r="G1263" s="6"/>
      <c r="H1263" s="6"/>
    </row>
    <row r="1264" spans="2:8" x14ac:dyDescent="0.3">
      <c r="B1264" s="6"/>
      <c r="C1264" s="6"/>
      <c r="D1264" s="6"/>
      <c r="E1264" s="233"/>
      <c r="F1264" s="6"/>
      <c r="G1264" s="6"/>
      <c r="H1264" s="6"/>
    </row>
    <row r="1265" spans="2:8" x14ac:dyDescent="0.3">
      <c r="B1265" s="6"/>
      <c r="C1265" s="6"/>
      <c r="D1265" s="6"/>
      <c r="E1265" s="233"/>
      <c r="F1265" s="6"/>
      <c r="G1265" s="6"/>
      <c r="H1265" s="6"/>
    </row>
    <row r="1266" spans="2:8" x14ac:dyDescent="0.3">
      <c r="B1266" s="6"/>
      <c r="C1266" s="6"/>
      <c r="D1266" s="6"/>
      <c r="E1266" s="233"/>
      <c r="F1266" s="6"/>
      <c r="G1266" s="6"/>
      <c r="H1266" s="6"/>
    </row>
    <row r="1267" spans="2:8" x14ac:dyDescent="0.3">
      <c r="B1267" s="6"/>
      <c r="C1267" s="6"/>
      <c r="D1267" s="6"/>
      <c r="E1267" s="233"/>
      <c r="F1267" s="6"/>
      <c r="G1267" s="6"/>
      <c r="H1267" s="6"/>
    </row>
    <row r="1268" spans="2:8" x14ac:dyDescent="0.3">
      <c r="B1268" s="6"/>
      <c r="C1268" s="6"/>
      <c r="D1268" s="6"/>
      <c r="E1268" s="233"/>
      <c r="F1268" s="6"/>
      <c r="G1268" s="6"/>
      <c r="H1268" s="6"/>
    </row>
    <row r="1269" spans="2:8" x14ac:dyDescent="0.3">
      <c r="B1269" s="6"/>
      <c r="C1269" s="6"/>
      <c r="D1269" s="6"/>
      <c r="E1269" s="233"/>
      <c r="F1269" s="6"/>
      <c r="G1269" s="6"/>
      <c r="H1269" s="6"/>
    </row>
    <row r="1270" spans="2:8" x14ac:dyDescent="0.3">
      <c r="B1270" s="6"/>
      <c r="C1270" s="6"/>
      <c r="D1270" s="6"/>
      <c r="E1270" s="233"/>
      <c r="F1270" s="6"/>
      <c r="G1270" s="6"/>
      <c r="H1270" s="6"/>
    </row>
    <row r="1271" spans="2:8" x14ac:dyDescent="0.3">
      <c r="B1271" s="6"/>
      <c r="C1271" s="6"/>
      <c r="D1271" s="6"/>
      <c r="E1271" s="233"/>
      <c r="F1271" s="6"/>
      <c r="G1271" s="6"/>
      <c r="H1271" s="6"/>
    </row>
    <row r="1272" spans="2:8" x14ac:dyDescent="0.3">
      <c r="B1272" s="6"/>
      <c r="C1272" s="6"/>
      <c r="D1272" s="6"/>
      <c r="E1272" s="233"/>
      <c r="F1272" s="6"/>
      <c r="G1272" s="6"/>
      <c r="H1272" s="6"/>
    </row>
    <row r="1273" spans="2:8" x14ac:dyDescent="0.3">
      <c r="B1273" s="6"/>
      <c r="C1273" s="6"/>
      <c r="D1273" s="6"/>
      <c r="E1273" s="233"/>
      <c r="F1273" s="6"/>
      <c r="G1273" s="6"/>
      <c r="H1273" s="6"/>
    </row>
    <row r="1274" spans="2:8" x14ac:dyDescent="0.3">
      <c r="B1274" s="6"/>
      <c r="C1274" s="6"/>
      <c r="D1274" s="6"/>
      <c r="E1274" s="233"/>
      <c r="F1274" s="6"/>
      <c r="G1274" s="6"/>
      <c r="H1274" s="6"/>
    </row>
    <row r="1275" spans="2:8" x14ac:dyDescent="0.3">
      <c r="B1275" s="6"/>
      <c r="C1275" s="6"/>
      <c r="D1275" s="6"/>
      <c r="E1275" s="233"/>
      <c r="F1275" s="6"/>
      <c r="G1275" s="6"/>
      <c r="H1275" s="6"/>
    </row>
    <row r="1276" spans="2:8" x14ac:dyDescent="0.3">
      <c r="B1276" s="6"/>
      <c r="C1276" s="6"/>
      <c r="D1276" s="6"/>
      <c r="E1276" s="233"/>
      <c r="F1276" s="6"/>
      <c r="G1276" s="6"/>
      <c r="H1276" s="6"/>
    </row>
    <row r="1277" spans="2:8" x14ac:dyDescent="0.3">
      <c r="B1277" s="6"/>
      <c r="C1277" s="6"/>
      <c r="D1277" s="6"/>
      <c r="E1277" s="233"/>
      <c r="F1277" s="6"/>
      <c r="G1277" s="6"/>
      <c r="H1277" s="6"/>
    </row>
    <row r="1278" spans="2:8" x14ac:dyDescent="0.3">
      <c r="B1278" s="6"/>
      <c r="C1278" s="6"/>
      <c r="D1278" s="6"/>
      <c r="E1278" s="233"/>
      <c r="F1278" s="6"/>
      <c r="G1278" s="6"/>
      <c r="H1278" s="6"/>
    </row>
    <row r="1279" spans="2:8" x14ac:dyDescent="0.3">
      <c r="B1279" s="6"/>
      <c r="C1279" s="6"/>
      <c r="D1279" s="6"/>
      <c r="E1279" s="233"/>
      <c r="F1279" s="6"/>
      <c r="G1279" s="6"/>
      <c r="H1279" s="6"/>
    </row>
    <row r="1280" spans="2:8" x14ac:dyDescent="0.3">
      <c r="B1280" s="6"/>
      <c r="C1280" s="6"/>
      <c r="D1280" s="6"/>
      <c r="E1280" s="233"/>
      <c r="F1280" s="6"/>
      <c r="G1280" s="6"/>
      <c r="H1280" s="6"/>
    </row>
    <row r="1281" spans="2:8" x14ac:dyDescent="0.3">
      <c r="B1281" s="6"/>
      <c r="C1281" s="6"/>
      <c r="D1281" s="6"/>
      <c r="E1281" s="233"/>
      <c r="F1281" s="6"/>
      <c r="G1281" s="6"/>
      <c r="H1281" s="6"/>
    </row>
    <row r="1282" spans="2:8" x14ac:dyDescent="0.3">
      <c r="B1282" s="6"/>
      <c r="C1282" s="6"/>
      <c r="D1282" s="6"/>
      <c r="E1282" s="233"/>
      <c r="F1282" s="6"/>
      <c r="G1282" s="6"/>
      <c r="H1282" s="6"/>
    </row>
    <row r="1283" spans="2:8" x14ac:dyDescent="0.3">
      <c r="B1283" s="6"/>
      <c r="C1283" s="6"/>
      <c r="D1283" s="6"/>
      <c r="E1283" s="233"/>
      <c r="F1283" s="6"/>
      <c r="G1283" s="6"/>
      <c r="H1283" s="6"/>
    </row>
    <row r="1284" spans="2:8" x14ac:dyDescent="0.3">
      <c r="B1284" s="6"/>
      <c r="C1284" s="6"/>
      <c r="D1284" s="6"/>
      <c r="E1284" s="233"/>
      <c r="F1284" s="6"/>
      <c r="G1284" s="6"/>
      <c r="H1284" s="6"/>
    </row>
    <row r="1285" spans="2:8" x14ac:dyDescent="0.3">
      <c r="B1285" s="6"/>
      <c r="C1285" s="6"/>
      <c r="D1285" s="6"/>
      <c r="E1285" s="233"/>
      <c r="F1285" s="6"/>
      <c r="G1285" s="6"/>
      <c r="H1285" s="6"/>
    </row>
    <row r="1286" spans="2:8" x14ac:dyDescent="0.3">
      <c r="B1286" s="6"/>
      <c r="C1286" s="6"/>
      <c r="D1286" s="6"/>
      <c r="E1286" s="233"/>
      <c r="F1286" s="6"/>
      <c r="G1286" s="6"/>
      <c r="H1286" s="6"/>
    </row>
    <row r="1287" spans="2:8" x14ac:dyDescent="0.3">
      <c r="B1287" s="6"/>
      <c r="C1287" s="6"/>
      <c r="D1287" s="6"/>
      <c r="E1287" s="233"/>
      <c r="F1287" s="6"/>
      <c r="G1287" s="6"/>
      <c r="H1287" s="6"/>
    </row>
    <row r="1288" spans="2:8" x14ac:dyDescent="0.3">
      <c r="B1288" s="6"/>
      <c r="C1288" s="6"/>
      <c r="D1288" s="6"/>
      <c r="E1288" s="233"/>
      <c r="F1288" s="6"/>
      <c r="G1288" s="6"/>
      <c r="H1288" s="6"/>
    </row>
    <row r="1289" spans="2:8" x14ac:dyDescent="0.3">
      <c r="B1289" s="6"/>
      <c r="C1289" s="6"/>
      <c r="D1289" s="6"/>
      <c r="E1289" s="233"/>
      <c r="F1289" s="6"/>
      <c r="G1289" s="6"/>
      <c r="H1289" s="6"/>
    </row>
    <row r="1290" spans="2:8" x14ac:dyDescent="0.3">
      <c r="B1290" s="6"/>
      <c r="C1290" s="6"/>
      <c r="D1290" s="6"/>
      <c r="E1290" s="233"/>
      <c r="F1290" s="6"/>
      <c r="G1290" s="6"/>
      <c r="H1290" s="6"/>
    </row>
    <row r="1291" spans="2:8" x14ac:dyDescent="0.3">
      <c r="B1291" s="6"/>
      <c r="C1291" s="6"/>
      <c r="D1291" s="6"/>
      <c r="E1291" s="233"/>
      <c r="F1291" s="6"/>
      <c r="G1291" s="6"/>
      <c r="H1291" s="6"/>
    </row>
    <row r="1292" spans="2:8" x14ac:dyDescent="0.3">
      <c r="B1292" s="6"/>
      <c r="C1292" s="6"/>
      <c r="D1292" s="6"/>
      <c r="E1292" s="233"/>
      <c r="F1292" s="6"/>
      <c r="G1292" s="6"/>
      <c r="H1292" s="6"/>
    </row>
    <row r="1293" spans="2:8" x14ac:dyDescent="0.3">
      <c r="B1293" s="6"/>
      <c r="C1293" s="6"/>
      <c r="D1293" s="6"/>
      <c r="E1293" s="233"/>
      <c r="F1293" s="6"/>
      <c r="G1293" s="6"/>
      <c r="H1293" s="6"/>
    </row>
    <row r="1294" spans="2:8" x14ac:dyDescent="0.3">
      <c r="B1294" s="6"/>
      <c r="C1294" s="6"/>
      <c r="D1294" s="6"/>
      <c r="E1294" s="233"/>
      <c r="F1294" s="6"/>
      <c r="G1294" s="6"/>
      <c r="H1294" s="6"/>
    </row>
    <row r="1295" spans="2:8" x14ac:dyDescent="0.3">
      <c r="B1295" s="6"/>
      <c r="C1295" s="6"/>
      <c r="D1295" s="6"/>
      <c r="E1295" s="233"/>
      <c r="F1295" s="6"/>
      <c r="G1295" s="6"/>
      <c r="H1295" s="6"/>
    </row>
    <row r="1296" spans="2:8" x14ac:dyDescent="0.3">
      <c r="B1296" s="6"/>
      <c r="C1296" s="6"/>
      <c r="D1296" s="6"/>
      <c r="E1296" s="233"/>
      <c r="F1296" s="6"/>
      <c r="G1296" s="6"/>
      <c r="H1296" s="6"/>
    </row>
    <row r="1297" spans="2:8" x14ac:dyDescent="0.3">
      <c r="B1297" s="6"/>
      <c r="C1297" s="6"/>
      <c r="D1297" s="6"/>
      <c r="E1297" s="233"/>
      <c r="F1297" s="6"/>
      <c r="G1297" s="6"/>
      <c r="H1297" s="6"/>
    </row>
    <row r="1298" spans="2:8" x14ac:dyDescent="0.3">
      <c r="B1298" s="6"/>
      <c r="C1298" s="6"/>
      <c r="D1298" s="6"/>
      <c r="E1298" s="233"/>
      <c r="F1298" s="6"/>
      <c r="G1298" s="6"/>
      <c r="H1298" s="6"/>
    </row>
    <row r="1299" spans="2:8" x14ac:dyDescent="0.3">
      <c r="B1299" s="6"/>
      <c r="C1299" s="6"/>
      <c r="D1299" s="6"/>
      <c r="E1299" s="233"/>
      <c r="F1299" s="6"/>
      <c r="G1299" s="6"/>
      <c r="H1299" s="6"/>
    </row>
    <row r="1300" spans="2:8" x14ac:dyDescent="0.3">
      <c r="B1300" s="6"/>
      <c r="C1300" s="6"/>
      <c r="D1300" s="6"/>
      <c r="E1300" s="233"/>
      <c r="F1300" s="6"/>
      <c r="G1300" s="6"/>
      <c r="H1300" s="6"/>
    </row>
    <row r="1301" spans="2:8" x14ac:dyDescent="0.3">
      <c r="B1301" s="6"/>
      <c r="C1301" s="6"/>
      <c r="D1301" s="6"/>
      <c r="E1301" s="233"/>
      <c r="F1301" s="6"/>
      <c r="G1301" s="6"/>
      <c r="H1301" s="6"/>
    </row>
    <row r="1302" spans="2:8" x14ac:dyDescent="0.3">
      <c r="B1302" s="6"/>
      <c r="C1302" s="6"/>
      <c r="D1302" s="6"/>
      <c r="E1302" s="233"/>
      <c r="F1302" s="6"/>
      <c r="G1302" s="6"/>
      <c r="H1302" s="6"/>
    </row>
    <row r="1303" spans="2:8" x14ac:dyDescent="0.3">
      <c r="B1303" s="6"/>
      <c r="C1303" s="6"/>
      <c r="D1303" s="6"/>
      <c r="E1303" s="233"/>
      <c r="F1303" s="6"/>
      <c r="G1303" s="6"/>
      <c r="H1303" s="6"/>
    </row>
    <row r="1304" spans="2:8" x14ac:dyDescent="0.3">
      <c r="B1304" s="6"/>
      <c r="C1304" s="6"/>
      <c r="D1304" s="6"/>
      <c r="E1304" s="233"/>
      <c r="F1304" s="6"/>
      <c r="G1304" s="6"/>
      <c r="H1304" s="6"/>
    </row>
    <row r="1305" spans="2:8" x14ac:dyDescent="0.3">
      <c r="B1305" s="6"/>
      <c r="C1305" s="6"/>
      <c r="D1305" s="6"/>
      <c r="E1305" s="233"/>
      <c r="F1305" s="6"/>
      <c r="G1305" s="6"/>
      <c r="H1305" s="6"/>
    </row>
    <row r="1306" spans="2:8" x14ac:dyDescent="0.3">
      <c r="B1306" s="6"/>
      <c r="C1306" s="6"/>
      <c r="D1306" s="6"/>
      <c r="E1306" s="233"/>
      <c r="F1306" s="6"/>
      <c r="G1306" s="6"/>
      <c r="H1306" s="6"/>
    </row>
    <row r="1307" spans="2:8" x14ac:dyDescent="0.3">
      <c r="B1307" s="6"/>
      <c r="C1307" s="6"/>
      <c r="D1307" s="6"/>
      <c r="E1307" s="233"/>
      <c r="F1307" s="6"/>
      <c r="G1307" s="6"/>
      <c r="H1307" s="6"/>
    </row>
    <row r="1308" spans="2:8" x14ac:dyDescent="0.3">
      <c r="B1308" s="6"/>
      <c r="C1308" s="6"/>
      <c r="D1308" s="6"/>
      <c r="E1308" s="233"/>
      <c r="F1308" s="6"/>
      <c r="G1308" s="6"/>
      <c r="H1308" s="6"/>
    </row>
    <row r="1309" spans="2:8" x14ac:dyDescent="0.3">
      <c r="B1309" s="6"/>
      <c r="C1309" s="6"/>
      <c r="D1309" s="6"/>
      <c r="E1309" s="233"/>
      <c r="F1309" s="6"/>
      <c r="G1309" s="6"/>
      <c r="H1309" s="6"/>
    </row>
    <row r="1310" spans="2:8" x14ac:dyDescent="0.3">
      <c r="B1310" s="6"/>
      <c r="C1310" s="6"/>
      <c r="D1310" s="6"/>
      <c r="E1310" s="233"/>
      <c r="F1310" s="6"/>
      <c r="G1310" s="6"/>
      <c r="H1310" s="6"/>
    </row>
    <row r="1311" spans="2:8" x14ac:dyDescent="0.3">
      <c r="B1311" s="6"/>
      <c r="C1311" s="6"/>
      <c r="D1311" s="6"/>
      <c r="E1311" s="233"/>
      <c r="F1311" s="6"/>
      <c r="G1311" s="6"/>
      <c r="H1311" s="6"/>
    </row>
    <row r="1312" spans="2:8" x14ac:dyDescent="0.3">
      <c r="B1312" s="6"/>
      <c r="C1312" s="6"/>
      <c r="D1312" s="6"/>
      <c r="E1312" s="233"/>
      <c r="F1312" s="6"/>
      <c r="G1312" s="6"/>
      <c r="H1312" s="6"/>
    </row>
    <row r="1313" spans="2:8" x14ac:dyDescent="0.3">
      <c r="B1313" s="6"/>
      <c r="C1313" s="6"/>
      <c r="D1313" s="6"/>
      <c r="E1313" s="233"/>
      <c r="F1313" s="6"/>
      <c r="G1313" s="6"/>
      <c r="H1313" s="6"/>
    </row>
    <row r="1314" spans="2:8" x14ac:dyDescent="0.3">
      <c r="B1314" s="6"/>
      <c r="C1314" s="6"/>
      <c r="D1314" s="6"/>
      <c r="E1314" s="233"/>
      <c r="F1314" s="6"/>
      <c r="G1314" s="6"/>
      <c r="H1314" s="6"/>
    </row>
    <row r="1315" spans="2:8" x14ac:dyDescent="0.3">
      <c r="B1315" s="6"/>
      <c r="C1315" s="6"/>
      <c r="D1315" s="6"/>
      <c r="E1315" s="233"/>
      <c r="F1315" s="6"/>
      <c r="G1315" s="6"/>
      <c r="H1315" s="6"/>
    </row>
    <row r="1316" spans="2:8" x14ac:dyDescent="0.3">
      <c r="B1316" s="6"/>
      <c r="C1316" s="6"/>
      <c r="D1316" s="6"/>
      <c r="E1316" s="233"/>
      <c r="F1316" s="6"/>
      <c r="G1316" s="6"/>
      <c r="H1316" s="6"/>
    </row>
    <row r="1317" spans="2:8" x14ac:dyDescent="0.3">
      <c r="B1317" s="6"/>
      <c r="C1317" s="6"/>
      <c r="D1317" s="6"/>
      <c r="E1317" s="233"/>
      <c r="F1317" s="6"/>
      <c r="G1317" s="6"/>
      <c r="H1317" s="6"/>
    </row>
    <row r="1318" spans="2:8" x14ac:dyDescent="0.3">
      <c r="B1318" s="6"/>
      <c r="C1318" s="6"/>
      <c r="D1318" s="6"/>
      <c r="E1318" s="233"/>
      <c r="F1318" s="6"/>
      <c r="G1318" s="6"/>
      <c r="H1318" s="6"/>
    </row>
    <row r="1319" spans="2:8" x14ac:dyDescent="0.3">
      <c r="B1319" s="6"/>
      <c r="C1319" s="6"/>
      <c r="D1319" s="6"/>
      <c r="E1319" s="233"/>
      <c r="F1319" s="6"/>
      <c r="G1319" s="6"/>
      <c r="H1319" s="6"/>
    </row>
    <row r="1320" spans="2:8" x14ac:dyDescent="0.3">
      <c r="B1320" s="6"/>
      <c r="C1320" s="6"/>
      <c r="D1320" s="6"/>
      <c r="E1320" s="233"/>
      <c r="F1320" s="6"/>
      <c r="G1320" s="6"/>
      <c r="H1320" s="6"/>
    </row>
    <row r="1321" spans="2:8" x14ac:dyDescent="0.3">
      <c r="B1321" s="6"/>
      <c r="C1321" s="6"/>
      <c r="D1321" s="6"/>
      <c r="E1321" s="233"/>
      <c r="F1321" s="6"/>
      <c r="G1321" s="6"/>
      <c r="H1321" s="6"/>
    </row>
    <row r="1322" spans="2:8" x14ac:dyDescent="0.3">
      <c r="B1322" s="6"/>
      <c r="C1322" s="6"/>
      <c r="D1322" s="6"/>
      <c r="E1322" s="233"/>
      <c r="F1322" s="6"/>
      <c r="G1322" s="6"/>
      <c r="H1322" s="6"/>
    </row>
    <row r="1323" spans="2:8" x14ac:dyDescent="0.3">
      <c r="B1323" s="6"/>
      <c r="C1323" s="6"/>
      <c r="D1323" s="6"/>
      <c r="E1323" s="233"/>
      <c r="F1323" s="6"/>
      <c r="G1323" s="6"/>
      <c r="H1323" s="6"/>
    </row>
    <row r="1324" spans="2:8" x14ac:dyDescent="0.3">
      <c r="B1324" s="6"/>
      <c r="C1324" s="6"/>
      <c r="D1324" s="6"/>
      <c r="E1324" s="233"/>
      <c r="F1324" s="6"/>
      <c r="G1324" s="6"/>
      <c r="H1324" s="6"/>
    </row>
    <row r="1325" spans="2:8" x14ac:dyDescent="0.3">
      <c r="B1325" s="6"/>
      <c r="C1325" s="6"/>
      <c r="D1325" s="6"/>
      <c r="E1325" s="233"/>
      <c r="F1325" s="6"/>
      <c r="G1325" s="6"/>
      <c r="H1325" s="6"/>
    </row>
    <row r="1326" spans="2:8" x14ac:dyDescent="0.3">
      <c r="B1326" s="6"/>
      <c r="C1326" s="6"/>
      <c r="D1326" s="6"/>
      <c r="E1326" s="233"/>
      <c r="F1326" s="6"/>
      <c r="G1326" s="6"/>
      <c r="H1326" s="6"/>
    </row>
    <row r="1327" spans="2:8" x14ac:dyDescent="0.3">
      <c r="B1327" s="6"/>
      <c r="C1327" s="6"/>
      <c r="D1327" s="6"/>
      <c r="E1327" s="233"/>
      <c r="F1327" s="6"/>
      <c r="G1327" s="6"/>
      <c r="H1327" s="6"/>
    </row>
    <row r="1328" spans="2:8" x14ac:dyDescent="0.3">
      <c r="B1328" s="6"/>
      <c r="C1328" s="6"/>
      <c r="D1328" s="6"/>
      <c r="E1328" s="233"/>
      <c r="F1328" s="6"/>
      <c r="G1328" s="6"/>
      <c r="H1328" s="6"/>
    </row>
    <row r="1329" spans="2:8" x14ac:dyDescent="0.3">
      <c r="B1329" s="6"/>
      <c r="C1329" s="6"/>
      <c r="D1329" s="6"/>
      <c r="E1329" s="233"/>
      <c r="F1329" s="6"/>
      <c r="G1329" s="6"/>
      <c r="H1329" s="6"/>
    </row>
    <row r="1330" spans="2:8" x14ac:dyDescent="0.3">
      <c r="B1330" s="6"/>
      <c r="C1330" s="6"/>
      <c r="D1330" s="6"/>
      <c r="E1330" s="233"/>
      <c r="F1330" s="6"/>
      <c r="G1330" s="6"/>
      <c r="H1330" s="6"/>
    </row>
    <row r="1331" spans="2:8" x14ac:dyDescent="0.3">
      <c r="B1331" s="6"/>
      <c r="C1331" s="6"/>
      <c r="D1331" s="6"/>
      <c r="E1331" s="233"/>
      <c r="F1331" s="6"/>
      <c r="G1331" s="6"/>
      <c r="H1331" s="6"/>
    </row>
    <row r="1332" spans="2:8" x14ac:dyDescent="0.3">
      <c r="B1332" s="6"/>
      <c r="C1332" s="6"/>
      <c r="D1332" s="6"/>
      <c r="E1332" s="233"/>
      <c r="F1332" s="6"/>
      <c r="G1332" s="6"/>
      <c r="H1332" s="6"/>
    </row>
    <row r="1333" spans="2:8" x14ac:dyDescent="0.3">
      <c r="B1333" s="6"/>
      <c r="C1333" s="6"/>
      <c r="D1333" s="6"/>
      <c r="E1333" s="233"/>
      <c r="F1333" s="6"/>
      <c r="G1333" s="6"/>
      <c r="H1333" s="6"/>
    </row>
    <row r="1334" spans="2:8" x14ac:dyDescent="0.3">
      <c r="B1334" s="6"/>
      <c r="C1334" s="6"/>
      <c r="D1334" s="6"/>
      <c r="E1334" s="233"/>
      <c r="F1334" s="6"/>
      <c r="G1334" s="6"/>
      <c r="H1334" s="6"/>
    </row>
    <row r="1335" spans="2:8" x14ac:dyDescent="0.3">
      <c r="B1335" s="6"/>
      <c r="C1335" s="6"/>
      <c r="D1335" s="6"/>
      <c r="E1335" s="233"/>
      <c r="F1335" s="6"/>
      <c r="G1335" s="6"/>
      <c r="H1335" s="6"/>
    </row>
    <row r="1336" spans="2:8" x14ac:dyDescent="0.3">
      <c r="B1336" s="6"/>
      <c r="C1336" s="6"/>
      <c r="D1336" s="6"/>
      <c r="E1336" s="233"/>
      <c r="F1336" s="6"/>
      <c r="G1336" s="6"/>
      <c r="H1336" s="6"/>
    </row>
    <row r="1337" spans="2:8" x14ac:dyDescent="0.3">
      <c r="B1337" s="6"/>
      <c r="C1337" s="6"/>
      <c r="D1337" s="6"/>
      <c r="E1337" s="233"/>
      <c r="F1337" s="6"/>
      <c r="G1337" s="6"/>
      <c r="H1337" s="6"/>
    </row>
    <row r="1338" spans="2:8" x14ac:dyDescent="0.3">
      <c r="B1338" s="6"/>
      <c r="C1338" s="6"/>
      <c r="D1338" s="6"/>
      <c r="E1338" s="233"/>
      <c r="F1338" s="6"/>
      <c r="G1338" s="6"/>
      <c r="H1338" s="6"/>
    </row>
    <row r="1339" spans="2:8" x14ac:dyDescent="0.3">
      <c r="B1339" s="6"/>
      <c r="C1339" s="6"/>
      <c r="D1339" s="6"/>
      <c r="E1339" s="233"/>
      <c r="F1339" s="6"/>
      <c r="G1339" s="6"/>
      <c r="H1339" s="6"/>
    </row>
    <row r="1340" spans="2:8" x14ac:dyDescent="0.3">
      <c r="B1340" s="6"/>
      <c r="C1340" s="6"/>
      <c r="D1340" s="6"/>
      <c r="E1340" s="233"/>
      <c r="F1340" s="6"/>
      <c r="G1340" s="6"/>
      <c r="H1340" s="6"/>
    </row>
    <row r="1341" spans="2:8" x14ac:dyDescent="0.3">
      <c r="B1341" s="6"/>
      <c r="C1341" s="6"/>
      <c r="D1341" s="6"/>
      <c r="E1341" s="233"/>
      <c r="F1341" s="6"/>
      <c r="G1341" s="6"/>
      <c r="H1341" s="6"/>
    </row>
    <row r="1342" spans="2:8" x14ac:dyDescent="0.3">
      <c r="B1342" s="6"/>
      <c r="C1342" s="6"/>
      <c r="D1342" s="6"/>
      <c r="E1342" s="233"/>
      <c r="F1342" s="6"/>
      <c r="G1342" s="6"/>
      <c r="H1342" s="6"/>
    </row>
    <row r="1343" spans="2:8" x14ac:dyDescent="0.3">
      <c r="B1343" s="6"/>
      <c r="C1343" s="6"/>
      <c r="D1343" s="6"/>
      <c r="E1343" s="233"/>
      <c r="F1343" s="6"/>
      <c r="G1343" s="6"/>
      <c r="H1343" s="6"/>
    </row>
    <row r="1344" spans="2:8" x14ac:dyDescent="0.3">
      <c r="B1344" s="6"/>
      <c r="C1344" s="6"/>
      <c r="D1344" s="6"/>
      <c r="E1344" s="233"/>
      <c r="F1344" s="6"/>
      <c r="G1344" s="6"/>
      <c r="H1344" s="6"/>
    </row>
    <row r="1345" spans="2:8" x14ac:dyDescent="0.3">
      <c r="B1345" s="6"/>
      <c r="C1345" s="6"/>
      <c r="D1345" s="6"/>
      <c r="E1345" s="233"/>
      <c r="F1345" s="6"/>
      <c r="G1345" s="6"/>
      <c r="H1345" s="6"/>
    </row>
    <row r="1346" spans="2:8" x14ac:dyDescent="0.3">
      <c r="B1346" s="6"/>
      <c r="C1346" s="6"/>
      <c r="D1346" s="6"/>
      <c r="E1346" s="233"/>
      <c r="F1346" s="6"/>
      <c r="G1346" s="6"/>
      <c r="H1346" s="6"/>
    </row>
    <row r="1347" spans="2:8" x14ac:dyDescent="0.3">
      <c r="B1347" s="6"/>
      <c r="C1347" s="6"/>
      <c r="D1347" s="6"/>
      <c r="E1347" s="233"/>
      <c r="F1347" s="6"/>
      <c r="G1347" s="6"/>
      <c r="H1347" s="6"/>
    </row>
    <row r="1348" spans="2:8" x14ac:dyDescent="0.3">
      <c r="B1348" s="6"/>
      <c r="C1348" s="6"/>
      <c r="D1348" s="6"/>
      <c r="E1348" s="233"/>
      <c r="F1348" s="6"/>
      <c r="G1348" s="6"/>
      <c r="H1348" s="6"/>
    </row>
    <row r="1349" spans="2:8" x14ac:dyDescent="0.3">
      <c r="B1349" s="6"/>
      <c r="C1349" s="6"/>
      <c r="D1349" s="6"/>
      <c r="E1349" s="233"/>
      <c r="F1349" s="6"/>
      <c r="G1349" s="6"/>
      <c r="H1349" s="6"/>
    </row>
    <row r="1350" spans="2:8" x14ac:dyDescent="0.3">
      <c r="B1350" s="6"/>
      <c r="C1350" s="6"/>
      <c r="D1350" s="6"/>
      <c r="E1350" s="233"/>
      <c r="F1350" s="6"/>
      <c r="G1350" s="6"/>
      <c r="H1350" s="6"/>
    </row>
    <row r="1351" spans="2:8" x14ac:dyDescent="0.3">
      <c r="B1351" s="6"/>
      <c r="C1351" s="6"/>
      <c r="D1351" s="6"/>
      <c r="E1351" s="233"/>
      <c r="F1351" s="6"/>
      <c r="G1351" s="6"/>
      <c r="H1351" s="6"/>
    </row>
    <row r="1352" spans="2:8" x14ac:dyDescent="0.3">
      <c r="B1352" s="6"/>
      <c r="C1352" s="6"/>
      <c r="D1352" s="6"/>
      <c r="E1352" s="233"/>
      <c r="F1352" s="6"/>
      <c r="G1352" s="6"/>
      <c r="H1352" s="6"/>
    </row>
    <row r="1353" spans="2:8" x14ac:dyDescent="0.3">
      <c r="B1353" s="6"/>
      <c r="C1353" s="6"/>
      <c r="D1353" s="6"/>
      <c r="E1353" s="233"/>
      <c r="F1353" s="6"/>
      <c r="G1353" s="6"/>
      <c r="H1353" s="6"/>
    </row>
    <row r="1354" spans="2:8" x14ac:dyDescent="0.3">
      <c r="B1354" s="6"/>
      <c r="C1354" s="6"/>
      <c r="D1354" s="6"/>
      <c r="E1354" s="233"/>
      <c r="F1354" s="6"/>
      <c r="G1354" s="6"/>
      <c r="H1354" s="6"/>
    </row>
    <row r="1355" spans="2:8" x14ac:dyDescent="0.3">
      <c r="B1355" s="6"/>
      <c r="C1355" s="6"/>
      <c r="D1355" s="6"/>
      <c r="E1355" s="233"/>
      <c r="F1355" s="6"/>
      <c r="G1355" s="6"/>
      <c r="H1355" s="6"/>
    </row>
    <row r="1356" spans="2:8" x14ac:dyDescent="0.3">
      <c r="B1356" s="6"/>
      <c r="C1356" s="6"/>
      <c r="D1356" s="6"/>
      <c r="E1356" s="233"/>
      <c r="F1356" s="6"/>
      <c r="G1356" s="6"/>
      <c r="H1356" s="6"/>
    </row>
    <row r="1357" spans="2:8" x14ac:dyDescent="0.3">
      <c r="B1357" s="6"/>
      <c r="C1357" s="6"/>
      <c r="D1357" s="6"/>
      <c r="E1357" s="233"/>
      <c r="F1357" s="6"/>
      <c r="G1357" s="6"/>
      <c r="H1357" s="6"/>
    </row>
    <row r="1358" spans="2:8" x14ac:dyDescent="0.3">
      <c r="B1358" s="6"/>
      <c r="C1358" s="6"/>
      <c r="D1358" s="6"/>
      <c r="E1358" s="233"/>
      <c r="F1358" s="6"/>
      <c r="G1358" s="6"/>
      <c r="H1358" s="6"/>
    </row>
    <row r="1359" spans="2:8" x14ac:dyDescent="0.3">
      <c r="B1359" s="6"/>
      <c r="C1359" s="6"/>
      <c r="D1359" s="6"/>
      <c r="E1359" s="233"/>
      <c r="F1359" s="6"/>
      <c r="G1359" s="6"/>
      <c r="H1359" s="6"/>
    </row>
    <row r="1360" spans="2:8" x14ac:dyDescent="0.3">
      <c r="B1360" s="6"/>
      <c r="C1360" s="6"/>
      <c r="D1360" s="6"/>
      <c r="E1360" s="233"/>
      <c r="F1360" s="6"/>
      <c r="G1360" s="6"/>
      <c r="H1360" s="6"/>
    </row>
    <row r="1361" spans="2:8" x14ac:dyDescent="0.3">
      <c r="B1361" s="6"/>
      <c r="C1361" s="6"/>
      <c r="D1361" s="6"/>
      <c r="E1361" s="233"/>
      <c r="F1361" s="6"/>
      <c r="G1361" s="6"/>
      <c r="H1361" s="6"/>
    </row>
    <row r="1362" spans="2:8" x14ac:dyDescent="0.3">
      <c r="B1362" s="6"/>
      <c r="C1362" s="6"/>
      <c r="D1362" s="6"/>
      <c r="E1362" s="233"/>
      <c r="F1362" s="6"/>
      <c r="G1362" s="6"/>
      <c r="H1362" s="6"/>
    </row>
    <row r="1363" spans="2:8" x14ac:dyDescent="0.3">
      <c r="B1363" s="6"/>
      <c r="C1363" s="6"/>
      <c r="D1363" s="6"/>
      <c r="E1363" s="233"/>
      <c r="F1363" s="6"/>
      <c r="G1363" s="6"/>
      <c r="H1363" s="6"/>
    </row>
    <row r="1364" spans="2:8" x14ac:dyDescent="0.3">
      <c r="B1364" s="6"/>
      <c r="C1364" s="6"/>
      <c r="D1364" s="6"/>
      <c r="E1364" s="233"/>
      <c r="F1364" s="6"/>
      <c r="G1364" s="6"/>
      <c r="H1364" s="6"/>
    </row>
    <row r="1365" spans="2:8" x14ac:dyDescent="0.3">
      <c r="B1365" s="6"/>
      <c r="C1365" s="6"/>
      <c r="D1365" s="6"/>
      <c r="E1365" s="233"/>
      <c r="F1365" s="6"/>
      <c r="G1365" s="6"/>
      <c r="H1365" s="6"/>
    </row>
    <row r="1366" spans="2:8" x14ac:dyDescent="0.3">
      <c r="B1366" s="6"/>
      <c r="C1366" s="6"/>
      <c r="D1366" s="6"/>
      <c r="E1366" s="233"/>
      <c r="F1366" s="6"/>
      <c r="G1366" s="6"/>
      <c r="H1366" s="6"/>
    </row>
    <row r="1367" spans="2:8" x14ac:dyDescent="0.3">
      <c r="B1367" s="6"/>
      <c r="C1367" s="6"/>
      <c r="D1367" s="6"/>
      <c r="E1367" s="233"/>
      <c r="F1367" s="6"/>
      <c r="G1367" s="6"/>
      <c r="H1367" s="6"/>
    </row>
    <row r="1368" spans="2:8" x14ac:dyDescent="0.3">
      <c r="B1368" s="6"/>
      <c r="C1368" s="6"/>
      <c r="D1368" s="6"/>
      <c r="E1368" s="233"/>
      <c r="F1368" s="6"/>
      <c r="G1368" s="6"/>
      <c r="H1368" s="6"/>
    </row>
    <row r="1369" spans="2:8" x14ac:dyDescent="0.3">
      <c r="B1369" s="6"/>
      <c r="C1369" s="6"/>
      <c r="D1369" s="6"/>
      <c r="E1369" s="233"/>
      <c r="F1369" s="6"/>
      <c r="G1369" s="6"/>
      <c r="H1369" s="6"/>
    </row>
    <row r="1370" spans="2:8" x14ac:dyDescent="0.3">
      <c r="B1370" s="6"/>
      <c r="C1370" s="6"/>
      <c r="D1370" s="6"/>
      <c r="E1370" s="233"/>
      <c r="F1370" s="6"/>
      <c r="G1370" s="6"/>
      <c r="H1370" s="6"/>
    </row>
    <row r="1371" spans="2:8" x14ac:dyDescent="0.3">
      <c r="B1371" s="6"/>
      <c r="C1371" s="6"/>
      <c r="D1371" s="6"/>
      <c r="E1371" s="233"/>
      <c r="F1371" s="6"/>
      <c r="G1371" s="6"/>
      <c r="H1371" s="6"/>
    </row>
    <row r="1372" spans="2:8" x14ac:dyDescent="0.3">
      <c r="B1372" s="6"/>
      <c r="C1372" s="6"/>
      <c r="D1372" s="6"/>
      <c r="E1372" s="233"/>
      <c r="F1372" s="6"/>
      <c r="G1372" s="6"/>
      <c r="H1372" s="6"/>
    </row>
    <row r="1373" spans="2:8" x14ac:dyDescent="0.3">
      <c r="B1373" s="6"/>
      <c r="C1373" s="6"/>
      <c r="D1373" s="6"/>
      <c r="E1373" s="233"/>
      <c r="F1373" s="6"/>
      <c r="G1373" s="6"/>
      <c r="H1373" s="6"/>
    </row>
    <row r="1374" spans="2:8" x14ac:dyDescent="0.3">
      <c r="B1374" s="6"/>
      <c r="C1374" s="6"/>
      <c r="D1374" s="6"/>
      <c r="E1374" s="233"/>
      <c r="F1374" s="6"/>
      <c r="G1374" s="6"/>
      <c r="H1374" s="6"/>
    </row>
    <row r="1375" spans="2:8" x14ac:dyDescent="0.3">
      <c r="B1375" s="6"/>
      <c r="C1375" s="6"/>
      <c r="D1375" s="6"/>
      <c r="E1375" s="233"/>
      <c r="F1375" s="6"/>
      <c r="G1375" s="6"/>
      <c r="H1375" s="6"/>
    </row>
    <row r="1376" spans="2:8" x14ac:dyDescent="0.3">
      <c r="B1376" s="6"/>
      <c r="C1376" s="6"/>
      <c r="D1376" s="6"/>
      <c r="E1376" s="233"/>
      <c r="F1376" s="6"/>
      <c r="G1376" s="6"/>
      <c r="H1376" s="6"/>
    </row>
    <row r="1377" spans="2:8" x14ac:dyDescent="0.3">
      <c r="B1377" s="6"/>
      <c r="C1377" s="6"/>
      <c r="D1377" s="6"/>
      <c r="E1377" s="233"/>
      <c r="F1377" s="6"/>
      <c r="G1377" s="6"/>
      <c r="H1377" s="6"/>
    </row>
    <row r="1378" spans="2:8" x14ac:dyDescent="0.3">
      <c r="B1378" s="6"/>
      <c r="C1378" s="6"/>
      <c r="D1378" s="6"/>
      <c r="E1378" s="233"/>
      <c r="F1378" s="6"/>
      <c r="G1378" s="6"/>
      <c r="H1378" s="6"/>
    </row>
    <row r="1379" spans="2:8" x14ac:dyDescent="0.3">
      <c r="B1379" s="6"/>
      <c r="C1379" s="6"/>
      <c r="D1379" s="6"/>
      <c r="E1379" s="233"/>
      <c r="F1379" s="6"/>
      <c r="G1379" s="6"/>
      <c r="H1379" s="6"/>
    </row>
    <row r="1380" spans="2:8" x14ac:dyDescent="0.3">
      <c r="B1380" s="6"/>
      <c r="C1380" s="6"/>
      <c r="D1380" s="6"/>
      <c r="E1380" s="233"/>
      <c r="F1380" s="6"/>
      <c r="G1380" s="6"/>
      <c r="H1380" s="6"/>
    </row>
    <row r="1381" spans="2:8" x14ac:dyDescent="0.3">
      <c r="B1381" s="6"/>
      <c r="C1381" s="6"/>
      <c r="D1381" s="6"/>
      <c r="E1381" s="233"/>
      <c r="F1381" s="6"/>
      <c r="G1381" s="6"/>
      <c r="H1381" s="6"/>
    </row>
    <row r="1382" spans="2:8" x14ac:dyDescent="0.3">
      <c r="B1382" s="6"/>
      <c r="C1382" s="6"/>
      <c r="D1382" s="6"/>
      <c r="E1382" s="233"/>
      <c r="F1382" s="6"/>
      <c r="G1382" s="6"/>
      <c r="H1382" s="6"/>
    </row>
    <row r="1383" spans="2:8" x14ac:dyDescent="0.3">
      <c r="B1383" s="6"/>
      <c r="C1383" s="6"/>
      <c r="D1383" s="6"/>
      <c r="E1383" s="233"/>
      <c r="F1383" s="6"/>
      <c r="G1383" s="6"/>
      <c r="H1383" s="6"/>
    </row>
    <row r="1384" spans="2:8" x14ac:dyDescent="0.3">
      <c r="B1384" s="6"/>
      <c r="C1384" s="6"/>
      <c r="D1384" s="6"/>
      <c r="E1384" s="233"/>
      <c r="F1384" s="6"/>
      <c r="G1384" s="6"/>
      <c r="H1384" s="6"/>
    </row>
    <row r="1385" spans="2:8" x14ac:dyDescent="0.3">
      <c r="B1385" s="6"/>
      <c r="C1385" s="6"/>
      <c r="D1385" s="6"/>
      <c r="E1385" s="233"/>
      <c r="F1385" s="6"/>
      <c r="G1385" s="6"/>
      <c r="H1385" s="6"/>
    </row>
    <row r="1386" spans="2:8" x14ac:dyDescent="0.3">
      <c r="B1386" s="6"/>
      <c r="C1386" s="6"/>
      <c r="D1386" s="6"/>
      <c r="E1386" s="233"/>
      <c r="F1386" s="6"/>
      <c r="G1386" s="6"/>
      <c r="H1386" s="6"/>
    </row>
    <row r="1387" spans="2:8" x14ac:dyDescent="0.3">
      <c r="B1387" s="6"/>
      <c r="C1387" s="6"/>
      <c r="D1387" s="6"/>
      <c r="E1387" s="233"/>
      <c r="F1387" s="6"/>
      <c r="G1387" s="6"/>
      <c r="H1387" s="6"/>
    </row>
    <row r="1388" spans="2:8" x14ac:dyDescent="0.3">
      <c r="B1388" s="6"/>
      <c r="C1388" s="6"/>
      <c r="D1388" s="6"/>
      <c r="E1388" s="233"/>
      <c r="F1388" s="6"/>
      <c r="G1388" s="6"/>
      <c r="H1388" s="6"/>
    </row>
    <row r="1389" spans="2:8" x14ac:dyDescent="0.3">
      <c r="B1389" s="6"/>
      <c r="C1389" s="6"/>
      <c r="D1389" s="6"/>
      <c r="E1389" s="233"/>
      <c r="F1389" s="6"/>
      <c r="G1389" s="6"/>
      <c r="H1389" s="6"/>
    </row>
    <row r="1390" spans="2:8" x14ac:dyDescent="0.3">
      <c r="B1390" s="6"/>
      <c r="C1390" s="6"/>
      <c r="D1390" s="6"/>
      <c r="E1390" s="233"/>
      <c r="F1390" s="6"/>
      <c r="G1390" s="6"/>
      <c r="H1390" s="6"/>
    </row>
    <row r="1391" spans="2:8" x14ac:dyDescent="0.3">
      <c r="B1391" s="6"/>
      <c r="C1391" s="6"/>
      <c r="D1391" s="6"/>
      <c r="E1391" s="233"/>
      <c r="F1391" s="6"/>
      <c r="G1391" s="6"/>
      <c r="H1391" s="6"/>
    </row>
    <row r="1392" spans="2:8" x14ac:dyDescent="0.3">
      <c r="B1392" s="6"/>
      <c r="C1392" s="6"/>
      <c r="D1392" s="6"/>
      <c r="E1392" s="233"/>
      <c r="F1392" s="6"/>
      <c r="G1392" s="6"/>
      <c r="H1392" s="6"/>
    </row>
    <row r="1393" spans="2:8" x14ac:dyDescent="0.3">
      <c r="B1393" s="6"/>
      <c r="C1393" s="6"/>
      <c r="D1393" s="6"/>
      <c r="E1393" s="233"/>
      <c r="F1393" s="6"/>
      <c r="G1393" s="6"/>
      <c r="H1393" s="6"/>
    </row>
    <row r="1394" spans="2:8" x14ac:dyDescent="0.3">
      <c r="B1394" s="6"/>
      <c r="C1394" s="6"/>
      <c r="D1394" s="6"/>
      <c r="E1394" s="233"/>
      <c r="F1394" s="6"/>
      <c r="G1394" s="6"/>
      <c r="H1394" s="6"/>
    </row>
    <row r="1395" spans="2:8" x14ac:dyDescent="0.3">
      <c r="B1395" s="6"/>
      <c r="C1395" s="6"/>
      <c r="D1395" s="6"/>
      <c r="E1395" s="233"/>
      <c r="F1395" s="6"/>
      <c r="G1395" s="6"/>
      <c r="H1395" s="6"/>
    </row>
    <row r="1396" spans="2:8" x14ac:dyDescent="0.3">
      <c r="B1396" s="6"/>
      <c r="C1396" s="6"/>
      <c r="D1396" s="6"/>
      <c r="E1396" s="233"/>
      <c r="F1396" s="6"/>
      <c r="G1396" s="6"/>
      <c r="H1396" s="6"/>
    </row>
    <row r="1397" spans="2:8" x14ac:dyDescent="0.3">
      <c r="B1397" s="6"/>
      <c r="C1397" s="6"/>
      <c r="D1397" s="6"/>
      <c r="E1397" s="233"/>
      <c r="F1397" s="6"/>
      <c r="G1397" s="6"/>
      <c r="H1397" s="6"/>
    </row>
    <row r="1398" spans="2:8" x14ac:dyDescent="0.3">
      <c r="B1398" s="6"/>
      <c r="C1398" s="6"/>
      <c r="D1398" s="6"/>
      <c r="E1398" s="233"/>
      <c r="F1398" s="6"/>
      <c r="G1398" s="6"/>
      <c r="H1398" s="6"/>
    </row>
    <row r="1399" spans="2:8" x14ac:dyDescent="0.3">
      <c r="B1399" s="6"/>
      <c r="C1399" s="6"/>
      <c r="D1399" s="6"/>
      <c r="E1399" s="233"/>
      <c r="F1399" s="6"/>
      <c r="G1399" s="6"/>
      <c r="H1399" s="6"/>
    </row>
    <row r="1400" spans="2:8" x14ac:dyDescent="0.3">
      <c r="B1400" s="6"/>
      <c r="C1400" s="6"/>
      <c r="D1400" s="6"/>
      <c r="E1400" s="233"/>
      <c r="F1400" s="6"/>
      <c r="G1400" s="6"/>
      <c r="H1400" s="6"/>
    </row>
    <row r="1401" spans="2:8" x14ac:dyDescent="0.3">
      <c r="B1401" s="6"/>
      <c r="C1401" s="6"/>
      <c r="D1401" s="6"/>
      <c r="E1401" s="233"/>
      <c r="F1401" s="6"/>
      <c r="G1401" s="6"/>
      <c r="H1401" s="6"/>
    </row>
    <row r="1402" spans="2:8" x14ac:dyDescent="0.3">
      <c r="B1402" s="6"/>
      <c r="C1402" s="6"/>
      <c r="D1402" s="6"/>
      <c r="E1402" s="233"/>
      <c r="F1402" s="6"/>
      <c r="G1402" s="6"/>
      <c r="H1402" s="6"/>
    </row>
    <row r="1403" spans="2:8" x14ac:dyDescent="0.3">
      <c r="B1403" s="6"/>
      <c r="C1403" s="6"/>
      <c r="D1403" s="6"/>
      <c r="E1403" s="233"/>
      <c r="F1403" s="6"/>
      <c r="G1403" s="6"/>
      <c r="H1403" s="6"/>
    </row>
    <row r="1404" spans="2:8" x14ac:dyDescent="0.3">
      <c r="B1404" s="6"/>
      <c r="C1404" s="6"/>
      <c r="D1404" s="6"/>
      <c r="E1404" s="233"/>
      <c r="F1404" s="6"/>
      <c r="G1404" s="6"/>
      <c r="H1404" s="6"/>
    </row>
    <row r="1405" spans="2:8" x14ac:dyDescent="0.3">
      <c r="B1405" s="6"/>
      <c r="C1405" s="6"/>
      <c r="D1405" s="6"/>
      <c r="E1405" s="233"/>
      <c r="F1405" s="6"/>
      <c r="G1405" s="6"/>
      <c r="H1405" s="6"/>
    </row>
    <row r="1406" spans="2:8" x14ac:dyDescent="0.3">
      <c r="B1406" s="6"/>
      <c r="C1406" s="6"/>
      <c r="D1406" s="6"/>
      <c r="E1406" s="233"/>
      <c r="F1406" s="6"/>
      <c r="G1406" s="6"/>
      <c r="H1406" s="6"/>
    </row>
    <row r="1407" spans="2:8" x14ac:dyDescent="0.3">
      <c r="B1407" s="6"/>
      <c r="C1407" s="6"/>
      <c r="D1407" s="6"/>
      <c r="E1407" s="233"/>
      <c r="F1407" s="6"/>
      <c r="G1407" s="6"/>
      <c r="H1407" s="6"/>
    </row>
    <row r="1408" spans="2:8" x14ac:dyDescent="0.3">
      <c r="B1408" s="6"/>
      <c r="C1408" s="6"/>
      <c r="D1408" s="6"/>
      <c r="E1408" s="233"/>
      <c r="F1408" s="6"/>
      <c r="G1408" s="6"/>
      <c r="H1408" s="6"/>
    </row>
    <row r="1409" spans="2:8" x14ac:dyDescent="0.3">
      <c r="B1409" s="6"/>
      <c r="C1409" s="6"/>
      <c r="D1409" s="6"/>
      <c r="E1409" s="233"/>
      <c r="F1409" s="6"/>
      <c r="G1409" s="6"/>
      <c r="H1409" s="6"/>
    </row>
    <row r="1410" spans="2:8" x14ac:dyDescent="0.3">
      <c r="B1410" s="6"/>
      <c r="C1410" s="6"/>
      <c r="D1410" s="6"/>
      <c r="E1410" s="233"/>
      <c r="F1410" s="6"/>
      <c r="G1410" s="6"/>
      <c r="H1410" s="6"/>
    </row>
    <row r="1411" spans="2:8" x14ac:dyDescent="0.3">
      <c r="B1411" s="6"/>
      <c r="C1411" s="6"/>
      <c r="D1411" s="6"/>
      <c r="E1411" s="233"/>
      <c r="F1411" s="6"/>
      <c r="G1411" s="6"/>
      <c r="H1411" s="6"/>
    </row>
    <row r="1412" spans="2:8" x14ac:dyDescent="0.3">
      <c r="B1412" s="6"/>
      <c r="C1412" s="6"/>
      <c r="D1412" s="6"/>
      <c r="E1412" s="233"/>
      <c r="F1412" s="6"/>
      <c r="G1412" s="6"/>
      <c r="H1412" s="6"/>
    </row>
    <row r="1413" spans="2:8" x14ac:dyDescent="0.3">
      <c r="B1413" s="6"/>
      <c r="C1413" s="6"/>
      <c r="D1413" s="6"/>
      <c r="E1413" s="233"/>
      <c r="F1413" s="6"/>
      <c r="G1413" s="6"/>
      <c r="H1413" s="6"/>
    </row>
    <row r="1414" spans="2:8" x14ac:dyDescent="0.3">
      <c r="B1414" s="6"/>
      <c r="C1414" s="6"/>
      <c r="D1414" s="6"/>
      <c r="E1414" s="233"/>
      <c r="F1414" s="6"/>
      <c r="G1414" s="6"/>
      <c r="H1414" s="6"/>
    </row>
    <row r="1415" spans="2:8" x14ac:dyDescent="0.3">
      <c r="B1415" s="6"/>
      <c r="C1415" s="6"/>
      <c r="D1415" s="6"/>
      <c r="E1415" s="233"/>
      <c r="F1415" s="6"/>
      <c r="G1415" s="6"/>
      <c r="H1415" s="6"/>
    </row>
    <row r="1416" spans="2:8" x14ac:dyDescent="0.3">
      <c r="B1416" s="6"/>
      <c r="C1416" s="6"/>
      <c r="D1416" s="6"/>
      <c r="E1416" s="233"/>
      <c r="F1416" s="6"/>
      <c r="G1416" s="6"/>
      <c r="H1416" s="6"/>
    </row>
    <row r="1417" spans="2:8" x14ac:dyDescent="0.3">
      <c r="B1417" s="6"/>
      <c r="C1417" s="6"/>
      <c r="D1417" s="6"/>
      <c r="E1417" s="233"/>
      <c r="F1417" s="6"/>
      <c r="G1417" s="6"/>
      <c r="H1417" s="6"/>
    </row>
    <row r="1418" spans="2:8" x14ac:dyDescent="0.3">
      <c r="B1418" s="6"/>
      <c r="C1418" s="6"/>
      <c r="D1418" s="6"/>
      <c r="E1418" s="233"/>
      <c r="F1418" s="6"/>
      <c r="G1418" s="6"/>
      <c r="H1418" s="6"/>
    </row>
    <row r="1419" spans="2:8" x14ac:dyDescent="0.3">
      <c r="B1419" s="6"/>
      <c r="C1419" s="6"/>
      <c r="D1419" s="6"/>
      <c r="E1419" s="233"/>
      <c r="F1419" s="6"/>
      <c r="G1419" s="6"/>
      <c r="H1419" s="6"/>
    </row>
    <row r="1420" spans="2:8" x14ac:dyDescent="0.3">
      <c r="B1420" s="6"/>
      <c r="C1420" s="6"/>
      <c r="D1420" s="6"/>
      <c r="E1420" s="233"/>
      <c r="F1420" s="6"/>
      <c r="G1420" s="6"/>
      <c r="H1420" s="6"/>
    </row>
    <row r="1421" spans="2:8" x14ac:dyDescent="0.3">
      <c r="B1421" s="6"/>
      <c r="C1421" s="6"/>
      <c r="D1421" s="6"/>
      <c r="E1421" s="233"/>
      <c r="F1421" s="6"/>
      <c r="G1421" s="6"/>
      <c r="H1421" s="6"/>
    </row>
    <row r="1422" spans="2:8" x14ac:dyDescent="0.3">
      <c r="B1422" s="6"/>
      <c r="C1422" s="6"/>
      <c r="D1422" s="6"/>
      <c r="E1422" s="233"/>
      <c r="F1422" s="6"/>
      <c r="G1422" s="6"/>
      <c r="H1422" s="6"/>
    </row>
    <row r="1423" spans="2:8" x14ac:dyDescent="0.3">
      <c r="B1423" s="6"/>
      <c r="C1423" s="6"/>
      <c r="D1423" s="6"/>
      <c r="E1423" s="233"/>
      <c r="F1423" s="6"/>
      <c r="G1423" s="6"/>
      <c r="H1423" s="6"/>
    </row>
    <row r="1424" spans="2:8" x14ac:dyDescent="0.3">
      <c r="B1424" s="6"/>
      <c r="C1424" s="6"/>
      <c r="D1424" s="6"/>
      <c r="E1424" s="233"/>
      <c r="F1424" s="6"/>
      <c r="G1424" s="6"/>
      <c r="H1424" s="6"/>
    </row>
    <row r="1425" spans="2:8" x14ac:dyDescent="0.3">
      <c r="B1425" s="6"/>
      <c r="C1425" s="6"/>
      <c r="D1425" s="6"/>
      <c r="E1425" s="233"/>
      <c r="F1425" s="6"/>
      <c r="G1425" s="6"/>
      <c r="H1425" s="6"/>
    </row>
    <row r="1426" spans="2:8" x14ac:dyDescent="0.3">
      <c r="B1426" s="6"/>
      <c r="C1426" s="6"/>
      <c r="D1426" s="6"/>
      <c r="E1426" s="233"/>
      <c r="F1426" s="6"/>
      <c r="G1426" s="6"/>
      <c r="H1426" s="6"/>
    </row>
    <row r="1427" spans="2:8" x14ac:dyDescent="0.3">
      <c r="B1427" s="6"/>
      <c r="C1427" s="6"/>
      <c r="D1427" s="6"/>
      <c r="E1427" s="233"/>
      <c r="F1427" s="6"/>
      <c r="G1427" s="6"/>
      <c r="H1427" s="6"/>
    </row>
    <row r="1428" spans="2:8" x14ac:dyDescent="0.3">
      <c r="B1428" s="6"/>
      <c r="C1428" s="6"/>
      <c r="D1428" s="6"/>
      <c r="E1428" s="233"/>
      <c r="F1428" s="6"/>
      <c r="G1428" s="6"/>
      <c r="H1428" s="6"/>
    </row>
    <row r="1429" spans="2:8" x14ac:dyDescent="0.3">
      <c r="B1429" s="6"/>
      <c r="C1429" s="6"/>
      <c r="D1429" s="6"/>
      <c r="E1429" s="233"/>
      <c r="F1429" s="6"/>
      <c r="G1429" s="6"/>
      <c r="H1429" s="6"/>
    </row>
    <row r="1430" spans="2:8" x14ac:dyDescent="0.3">
      <c r="B1430" s="6"/>
      <c r="C1430" s="6"/>
      <c r="D1430" s="6"/>
      <c r="E1430" s="233"/>
      <c r="F1430" s="6"/>
      <c r="G1430" s="6"/>
      <c r="H1430" s="6"/>
    </row>
    <row r="1431" spans="2:8" x14ac:dyDescent="0.3">
      <c r="B1431" s="6"/>
      <c r="C1431" s="6"/>
      <c r="D1431" s="6"/>
      <c r="E1431" s="233"/>
      <c r="F1431" s="6"/>
      <c r="G1431" s="6"/>
      <c r="H1431" s="6"/>
    </row>
    <row r="1432" spans="2:8" x14ac:dyDescent="0.3">
      <c r="B1432" s="6"/>
      <c r="C1432" s="6"/>
      <c r="D1432" s="6"/>
      <c r="E1432" s="233"/>
      <c r="F1432" s="6"/>
      <c r="G1432" s="6"/>
      <c r="H1432" s="6"/>
    </row>
    <row r="1433" spans="2:8" x14ac:dyDescent="0.3">
      <c r="B1433" s="6"/>
      <c r="C1433" s="6"/>
      <c r="D1433" s="6"/>
      <c r="E1433" s="233"/>
      <c r="F1433" s="6"/>
      <c r="G1433" s="6"/>
      <c r="H1433" s="6"/>
    </row>
    <row r="1434" spans="2:8" x14ac:dyDescent="0.3">
      <c r="B1434" s="6"/>
      <c r="C1434" s="6"/>
      <c r="D1434" s="6"/>
      <c r="E1434" s="233"/>
      <c r="F1434" s="6"/>
      <c r="G1434" s="6"/>
      <c r="H1434" s="6"/>
    </row>
    <row r="1435" spans="2:8" x14ac:dyDescent="0.3">
      <c r="B1435" s="6"/>
      <c r="C1435" s="6"/>
      <c r="D1435" s="6"/>
      <c r="E1435" s="233"/>
      <c r="F1435" s="6"/>
      <c r="G1435" s="6"/>
      <c r="H1435" s="6"/>
    </row>
    <row r="1436" spans="2:8" x14ac:dyDescent="0.3">
      <c r="B1436" s="6"/>
      <c r="C1436" s="6"/>
      <c r="D1436" s="6"/>
      <c r="E1436" s="233"/>
      <c r="F1436" s="6"/>
      <c r="G1436" s="6"/>
      <c r="H1436" s="6"/>
    </row>
    <row r="1437" spans="2:8" x14ac:dyDescent="0.3">
      <c r="B1437" s="6"/>
      <c r="C1437" s="6"/>
      <c r="D1437" s="6"/>
      <c r="E1437" s="233"/>
      <c r="F1437" s="6"/>
      <c r="G1437" s="6"/>
      <c r="H1437" s="6"/>
    </row>
    <row r="1438" spans="2:8" x14ac:dyDescent="0.3">
      <c r="B1438" s="6"/>
      <c r="C1438" s="6"/>
      <c r="D1438" s="6"/>
      <c r="E1438" s="233"/>
      <c r="F1438" s="6"/>
      <c r="G1438" s="6"/>
      <c r="H1438" s="6"/>
    </row>
    <row r="1439" spans="2:8" x14ac:dyDescent="0.3">
      <c r="B1439" s="6"/>
      <c r="C1439" s="6"/>
      <c r="D1439" s="6"/>
      <c r="E1439" s="233"/>
      <c r="F1439" s="6"/>
      <c r="G1439" s="6"/>
      <c r="H1439" s="6"/>
    </row>
    <row r="1440" spans="2:8" x14ac:dyDescent="0.3">
      <c r="B1440" s="6"/>
      <c r="C1440" s="6"/>
      <c r="D1440" s="6"/>
      <c r="E1440" s="233"/>
      <c r="F1440" s="6"/>
      <c r="G1440" s="6"/>
      <c r="H1440" s="6"/>
    </row>
    <row r="1441" spans="2:8" x14ac:dyDescent="0.3">
      <c r="B1441" s="6"/>
      <c r="C1441" s="6"/>
      <c r="D1441" s="6"/>
      <c r="E1441" s="233"/>
      <c r="F1441" s="6"/>
      <c r="G1441" s="6"/>
      <c r="H1441" s="6"/>
    </row>
    <row r="1442" spans="2:8" x14ac:dyDescent="0.3">
      <c r="B1442" s="6"/>
      <c r="C1442" s="6"/>
      <c r="D1442" s="6"/>
      <c r="E1442" s="233"/>
      <c r="F1442" s="6"/>
      <c r="G1442" s="6"/>
      <c r="H1442" s="6"/>
    </row>
    <row r="1443" spans="2:8" x14ac:dyDescent="0.3">
      <c r="B1443" s="6"/>
      <c r="C1443" s="6"/>
      <c r="D1443" s="6"/>
      <c r="E1443" s="233"/>
      <c r="F1443" s="6"/>
      <c r="G1443" s="6"/>
      <c r="H1443" s="6"/>
    </row>
    <row r="1444" spans="2:8" x14ac:dyDescent="0.3">
      <c r="B1444" s="6"/>
      <c r="C1444" s="6"/>
      <c r="D1444" s="6"/>
      <c r="E1444" s="233"/>
      <c r="F1444" s="6"/>
      <c r="G1444" s="6"/>
      <c r="H1444" s="6"/>
    </row>
    <row r="1445" spans="2:8" x14ac:dyDescent="0.3">
      <c r="B1445" s="6"/>
      <c r="C1445" s="6"/>
      <c r="D1445" s="6"/>
      <c r="E1445" s="233"/>
      <c r="F1445" s="6"/>
      <c r="G1445" s="6"/>
      <c r="H1445" s="6"/>
    </row>
    <row r="1446" spans="2:8" x14ac:dyDescent="0.3">
      <c r="B1446" s="6"/>
      <c r="C1446" s="6"/>
      <c r="D1446" s="6"/>
      <c r="E1446" s="233"/>
      <c r="F1446" s="6"/>
      <c r="G1446" s="6"/>
      <c r="H1446" s="6"/>
    </row>
    <row r="1447" spans="2:8" x14ac:dyDescent="0.3">
      <c r="B1447" s="6"/>
      <c r="C1447" s="6"/>
      <c r="D1447" s="6"/>
      <c r="E1447" s="233"/>
      <c r="F1447" s="6"/>
      <c r="G1447" s="6"/>
      <c r="H1447" s="6"/>
    </row>
    <row r="1448" spans="2:8" x14ac:dyDescent="0.3">
      <c r="B1448" s="6"/>
      <c r="C1448" s="6"/>
      <c r="D1448" s="6"/>
      <c r="E1448" s="233"/>
      <c r="F1448" s="6"/>
      <c r="G1448" s="6"/>
      <c r="H1448" s="6"/>
    </row>
    <row r="1449" spans="2:8" x14ac:dyDescent="0.3">
      <c r="B1449" s="6"/>
      <c r="C1449" s="6"/>
      <c r="D1449" s="6"/>
      <c r="E1449" s="233"/>
      <c r="F1449" s="6"/>
      <c r="G1449" s="6"/>
      <c r="H1449" s="6"/>
    </row>
    <row r="1450" spans="2:8" x14ac:dyDescent="0.3">
      <c r="B1450" s="6"/>
      <c r="C1450" s="6"/>
      <c r="D1450" s="6"/>
      <c r="E1450" s="233"/>
      <c r="F1450" s="6"/>
      <c r="G1450" s="6"/>
      <c r="H1450" s="6"/>
    </row>
    <row r="1451" spans="2:8" x14ac:dyDescent="0.3">
      <c r="B1451" s="6"/>
      <c r="C1451" s="6"/>
      <c r="D1451" s="6"/>
      <c r="E1451" s="233"/>
      <c r="F1451" s="6"/>
      <c r="G1451" s="6"/>
      <c r="H1451" s="6"/>
    </row>
    <row r="1452" spans="2:8" x14ac:dyDescent="0.3">
      <c r="B1452" s="6"/>
      <c r="C1452" s="6"/>
      <c r="D1452" s="6"/>
      <c r="E1452" s="233"/>
      <c r="F1452" s="6"/>
      <c r="G1452" s="6"/>
      <c r="H1452" s="6"/>
    </row>
    <row r="1453" spans="2:8" x14ac:dyDescent="0.3">
      <c r="B1453" s="6"/>
      <c r="C1453" s="6"/>
      <c r="D1453" s="6"/>
      <c r="E1453" s="233"/>
      <c r="F1453" s="6"/>
      <c r="G1453" s="6"/>
      <c r="H1453" s="6"/>
    </row>
    <row r="1454" spans="2:8" x14ac:dyDescent="0.3">
      <c r="B1454" s="6"/>
      <c r="C1454" s="6"/>
      <c r="D1454" s="6"/>
      <c r="E1454" s="233"/>
      <c r="F1454" s="6"/>
      <c r="G1454" s="6"/>
      <c r="H1454" s="6"/>
    </row>
    <row r="1455" spans="2:8" x14ac:dyDescent="0.3">
      <c r="B1455" s="6"/>
      <c r="C1455" s="6"/>
      <c r="D1455" s="6"/>
      <c r="E1455" s="233"/>
      <c r="F1455" s="6"/>
      <c r="G1455" s="6"/>
      <c r="H1455" s="6"/>
    </row>
    <row r="1456" spans="2:8" x14ac:dyDescent="0.3">
      <c r="B1456" s="6"/>
      <c r="C1456" s="6"/>
      <c r="D1456" s="6"/>
      <c r="E1456" s="233"/>
      <c r="F1456" s="6"/>
      <c r="G1456" s="6"/>
      <c r="H1456" s="6"/>
    </row>
    <row r="1457" spans="2:8" x14ac:dyDescent="0.3">
      <c r="B1457" s="6"/>
      <c r="C1457" s="6"/>
      <c r="D1457" s="6"/>
      <c r="E1457" s="233"/>
      <c r="F1457" s="6"/>
      <c r="G1457" s="6"/>
      <c r="H1457" s="6"/>
    </row>
    <row r="1458" spans="2:8" x14ac:dyDescent="0.3">
      <c r="B1458" s="6"/>
      <c r="C1458" s="6"/>
      <c r="D1458" s="6"/>
      <c r="E1458" s="233"/>
      <c r="F1458" s="6"/>
      <c r="G1458" s="6"/>
      <c r="H1458" s="6"/>
    </row>
    <row r="1459" spans="2:8" x14ac:dyDescent="0.3">
      <c r="B1459" s="6"/>
      <c r="C1459" s="6"/>
      <c r="D1459" s="6"/>
      <c r="E1459" s="233"/>
      <c r="F1459" s="6"/>
      <c r="G1459" s="6"/>
      <c r="H1459" s="6"/>
    </row>
    <row r="1460" spans="2:8" x14ac:dyDescent="0.3">
      <c r="B1460" s="6"/>
      <c r="C1460" s="6"/>
      <c r="D1460" s="6"/>
      <c r="E1460" s="233"/>
      <c r="F1460" s="6"/>
      <c r="G1460" s="6"/>
      <c r="H1460" s="6"/>
    </row>
    <row r="1461" spans="2:8" x14ac:dyDescent="0.3">
      <c r="B1461" s="6"/>
      <c r="C1461" s="6"/>
      <c r="D1461" s="6"/>
      <c r="E1461" s="233"/>
      <c r="F1461" s="6"/>
      <c r="G1461" s="6"/>
      <c r="H1461" s="6"/>
    </row>
    <row r="1462" spans="2:8" x14ac:dyDescent="0.3">
      <c r="B1462" s="6"/>
      <c r="C1462" s="6"/>
      <c r="D1462" s="6"/>
      <c r="E1462" s="233"/>
      <c r="F1462" s="6"/>
      <c r="G1462" s="6"/>
      <c r="H1462" s="6"/>
    </row>
    <row r="1463" spans="2:8" x14ac:dyDescent="0.3">
      <c r="B1463" s="6"/>
      <c r="C1463" s="6"/>
      <c r="D1463" s="6"/>
      <c r="E1463" s="233"/>
      <c r="F1463" s="6"/>
      <c r="G1463" s="6"/>
      <c r="H1463" s="6"/>
    </row>
    <row r="1464" spans="2:8" x14ac:dyDescent="0.3">
      <c r="B1464" s="6"/>
      <c r="C1464" s="6"/>
      <c r="D1464" s="6"/>
      <c r="E1464" s="233"/>
      <c r="F1464" s="6"/>
      <c r="G1464" s="6"/>
      <c r="H1464" s="6"/>
    </row>
    <row r="1465" spans="2:8" x14ac:dyDescent="0.3">
      <c r="B1465" s="6"/>
      <c r="C1465" s="6"/>
      <c r="D1465" s="6"/>
      <c r="E1465" s="233"/>
      <c r="F1465" s="6"/>
      <c r="G1465" s="6"/>
      <c r="H1465" s="6"/>
    </row>
    <row r="1466" spans="2:8" x14ac:dyDescent="0.3">
      <c r="B1466" s="6"/>
      <c r="C1466" s="6"/>
      <c r="D1466" s="6"/>
      <c r="E1466" s="233"/>
      <c r="F1466" s="6"/>
      <c r="G1466" s="6"/>
      <c r="H1466" s="6"/>
    </row>
    <row r="1467" spans="2:8" x14ac:dyDescent="0.3">
      <c r="B1467" s="6"/>
      <c r="C1467" s="6"/>
      <c r="D1467" s="6"/>
      <c r="E1467" s="233"/>
      <c r="F1467" s="6"/>
      <c r="G1467" s="6"/>
      <c r="H1467" s="6"/>
    </row>
    <row r="1468" spans="2:8" x14ac:dyDescent="0.3">
      <c r="B1468" s="6"/>
      <c r="C1468" s="6"/>
      <c r="D1468" s="6"/>
      <c r="E1468" s="233"/>
      <c r="F1468" s="6"/>
      <c r="G1468" s="6"/>
      <c r="H1468" s="6"/>
    </row>
    <row r="1469" spans="2:8" x14ac:dyDescent="0.3">
      <c r="B1469" s="6"/>
      <c r="C1469" s="6"/>
      <c r="D1469" s="6"/>
      <c r="E1469" s="233"/>
      <c r="F1469" s="6"/>
      <c r="G1469" s="6"/>
      <c r="H1469" s="6"/>
    </row>
    <row r="1470" spans="2:8" x14ac:dyDescent="0.3">
      <c r="B1470" s="6"/>
      <c r="C1470" s="6"/>
      <c r="D1470" s="6"/>
      <c r="E1470" s="233"/>
      <c r="F1470" s="6"/>
      <c r="G1470" s="6"/>
      <c r="H1470" s="6"/>
    </row>
    <row r="1471" spans="2:8" x14ac:dyDescent="0.3">
      <c r="B1471" s="6"/>
      <c r="C1471" s="6"/>
      <c r="D1471" s="6"/>
      <c r="E1471" s="233"/>
      <c r="F1471" s="6"/>
      <c r="G1471" s="6"/>
      <c r="H1471" s="6"/>
    </row>
    <row r="1472" spans="2:8" x14ac:dyDescent="0.3">
      <c r="B1472" s="6"/>
      <c r="C1472" s="6"/>
      <c r="D1472" s="6"/>
      <c r="E1472" s="233"/>
      <c r="F1472" s="6"/>
      <c r="G1472" s="6"/>
      <c r="H1472" s="6"/>
    </row>
    <row r="1473" spans="2:8" x14ac:dyDescent="0.3">
      <c r="B1473" s="6"/>
      <c r="C1473" s="6"/>
      <c r="D1473" s="6"/>
      <c r="E1473" s="233"/>
      <c r="F1473" s="6"/>
      <c r="G1473" s="6"/>
      <c r="H1473" s="6"/>
    </row>
    <row r="1474" spans="2:8" x14ac:dyDescent="0.3">
      <c r="B1474" s="6"/>
      <c r="C1474" s="6"/>
      <c r="D1474" s="6"/>
      <c r="E1474" s="233"/>
      <c r="F1474" s="6"/>
      <c r="G1474" s="6"/>
      <c r="H1474" s="6"/>
    </row>
    <row r="1475" spans="2:8" x14ac:dyDescent="0.3">
      <c r="B1475" s="6"/>
      <c r="C1475" s="6"/>
      <c r="D1475" s="6"/>
      <c r="E1475" s="233"/>
      <c r="F1475" s="6"/>
      <c r="G1475" s="6"/>
      <c r="H1475" s="6"/>
    </row>
    <row r="1476" spans="2:8" x14ac:dyDescent="0.3">
      <c r="B1476" s="6"/>
      <c r="C1476" s="6"/>
      <c r="D1476" s="6"/>
      <c r="E1476" s="233"/>
      <c r="F1476" s="6"/>
      <c r="G1476" s="6"/>
      <c r="H1476" s="6"/>
    </row>
    <row r="1477" spans="2:8" x14ac:dyDescent="0.3">
      <c r="B1477" s="6"/>
      <c r="C1477" s="6"/>
      <c r="D1477" s="6"/>
      <c r="E1477" s="233"/>
      <c r="F1477" s="6"/>
      <c r="G1477" s="6"/>
      <c r="H1477" s="6"/>
    </row>
    <row r="1478" spans="2:8" x14ac:dyDescent="0.3">
      <c r="B1478" s="6"/>
      <c r="C1478" s="6"/>
      <c r="D1478" s="6"/>
      <c r="E1478" s="233"/>
      <c r="F1478" s="6"/>
      <c r="G1478" s="6"/>
      <c r="H1478" s="6"/>
    </row>
    <row r="1479" spans="2:8" x14ac:dyDescent="0.3">
      <c r="B1479" s="6"/>
      <c r="C1479" s="6"/>
      <c r="D1479" s="6"/>
      <c r="E1479" s="233"/>
      <c r="F1479" s="6"/>
      <c r="G1479" s="6"/>
      <c r="H1479" s="6"/>
    </row>
    <row r="1480" spans="2:8" x14ac:dyDescent="0.3">
      <c r="B1480" s="6"/>
      <c r="C1480" s="6"/>
      <c r="D1480" s="6"/>
      <c r="E1480" s="233"/>
      <c r="F1480" s="6"/>
      <c r="G1480" s="6"/>
      <c r="H1480" s="6"/>
    </row>
    <row r="1481" spans="2:8" x14ac:dyDescent="0.3">
      <c r="B1481" s="6"/>
      <c r="C1481" s="6"/>
      <c r="D1481" s="6"/>
      <c r="E1481" s="233"/>
      <c r="F1481" s="6"/>
      <c r="G1481" s="6"/>
      <c r="H1481" s="6"/>
    </row>
    <row r="1482" spans="2:8" x14ac:dyDescent="0.3">
      <c r="B1482" s="6"/>
      <c r="C1482" s="6"/>
      <c r="D1482" s="6"/>
      <c r="E1482" s="233"/>
      <c r="F1482" s="6"/>
      <c r="G1482" s="6"/>
      <c r="H1482" s="6"/>
    </row>
    <row r="1483" spans="2:8" x14ac:dyDescent="0.3">
      <c r="B1483" s="6"/>
      <c r="C1483" s="6"/>
      <c r="D1483" s="6"/>
      <c r="E1483" s="233"/>
      <c r="F1483" s="6"/>
      <c r="G1483" s="6"/>
      <c r="H1483" s="6"/>
    </row>
    <row r="1484" spans="2:8" x14ac:dyDescent="0.3">
      <c r="B1484" s="6"/>
      <c r="C1484" s="6"/>
      <c r="D1484" s="6"/>
      <c r="E1484" s="233"/>
      <c r="F1484" s="6"/>
      <c r="G1484" s="6"/>
      <c r="H1484" s="6"/>
    </row>
    <row r="1485" spans="2:8" x14ac:dyDescent="0.3">
      <c r="B1485" s="6"/>
      <c r="C1485" s="6"/>
      <c r="D1485" s="6"/>
      <c r="E1485" s="233"/>
      <c r="F1485" s="6"/>
      <c r="G1485" s="6"/>
      <c r="H1485" s="6"/>
    </row>
    <row r="1486" spans="2:8" x14ac:dyDescent="0.3">
      <c r="B1486" s="6"/>
      <c r="C1486" s="6"/>
      <c r="D1486" s="6"/>
      <c r="E1486" s="233"/>
      <c r="F1486" s="6"/>
      <c r="G1486" s="6"/>
      <c r="H1486" s="6"/>
    </row>
    <row r="1487" spans="2:8" x14ac:dyDescent="0.3">
      <c r="B1487" s="6"/>
      <c r="C1487" s="6"/>
      <c r="D1487" s="6"/>
      <c r="E1487" s="233"/>
      <c r="F1487" s="6"/>
      <c r="G1487" s="6"/>
      <c r="H1487" s="6"/>
    </row>
    <row r="1488" spans="2:8" x14ac:dyDescent="0.3">
      <c r="B1488" s="6"/>
      <c r="C1488" s="6"/>
      <c r="D1488" s="6"/>
      <c r="E1488" s="233"/>
      <c r="F1488" s="6"/>
      <c r="G1488" s="6"/>
      <c r="H1488" s="6"/>
    </row>
    <row r="1489" spans="2:8" x14ac:dyDescent="0.3">
      <c r="B1489" s="6"/>
      <c r="C1489" s="6"/>
      <c r="D1489" s="6"/>
      <c r="E1489" s="233"/>
      <c r="F1489" s="6"/>
      <c r="G1489" s="6"/>
      <c r="H1489" s="6"/>
    </row>
    <row r="1490" spans="2:8" x14ac:dyDescent="0.3">
      <c r="B1490" s="6"/>
      <c r="C1490" s="6"/>
      <c r="D1490" s="6"/>
      <c r="E1490" s="233"/>
      <c r="F1490" s="6"/>
      <c r="G1490" s="6"/>
      <c r="H1490" s="6"/>
    </row>
    <row r="1491" spans="2:8" x14ac:dyDescent="0.3">
      <c r="B1491" s="6"/>
      <c r="C1491" s="6"/>
      <c r="D1491" s="6"/>
      <c r="E1491" s="233"/>
      <c r="F1491" s="6"/>
      <c r="G1491" s="6"/>
      <c r="H1491" s="6"/>
    </row>
    <row r="1492" spans="2:8" x14ac:dyDescent="0.3">
      <c r="B1492" s="6"/>
      <c r="C1492" s="6"/>
      <c r="D1492" s="6"/>
      <c r="E1492" s="233"/>
      <c r="F1492" s="6"/>
      <c r="G1492" s="6"/>
      <c r="H1492" s="6"/>
    </row>
    <row r="1493" spans="2:8" x14ac:dyDescent="0.3">
      <c r="B1493" s="6"/>
      <c r="C1493" s="6"/>
      <c r="D1493" s="6"/>
      <c r="E1493" s="233"/>
      <c r="F1493" s="6"/>
      <c r="G1493" s="6"/>
      <c r="H1493" s="6"/>
    </row>
    <row r="1494" spans="2:8" x14ac:dyDescent="0.3">
      <c r="B1494" s="6"/>
      <c r="C1494" s="6"/>
      <c r="D1494" s="6"/>
      <c r="E1494" s="233"/>
      <c r="F1494" s="6"/>
      <c r="G1494" s="6"/>
      <c r="H1494" s="6"/>
    </row>
    <row r="1495" spans="2:8" x14ac:dyDescent="0.3">
      <c r="B1495" s="6"/>
      <c r="C1495" s="6"/>
      <c r="D1495" s="6"/>
      <c r="E1495" s="233"/>
      <c r="F1495" s="6"/>
      <c r="G1495" s="6"/>
      <c r="H1495" s="6"/>
    </row>
    <row r="1496" spans="2:8" x14ac:dyDescent="0.3">
      <c r="B1496" s="6"/>
      <c r="C1496" s="6"/>
      <c r="D1496" s="6"/>
      <c r="E1496" s="233"/>
      <c r="F1496" s="6"/>
      <c r="G1496" s="6"/>
      <c r="H1496" s="6"/>
    </row>
    <row r="1497" spans="2:8" x14ac:dyDescent="0.3">
      <c r="B1497" s="6"/>
      <c r="C1497" s="6"/>
      <c r="D1497" s="6"/>
      <c r="E1497" s="233"/>
      <c r="F1497" s="6"/>
      <c r="G1497" s="6"/>
      <c r="H1497" s="6"/>
    </row>
    <row r="1498" spans="2:8" x14ac:dyDescent="0.3">
      <c r="B1498" s="6"/>
      <c r="C1498" s="6"/>
      <c r="D1498" s="6"/>
      <c r="E1498" s="233"/>
      <c r="F1498" s="6"/>
      <c r="G1498" s="6"/>
      <c r="H1498" s="6"/>
    </row>
    <row r="1499" spans="2:8" x14ac:dyDescent="0.3">
      <c r="B1499" s="6"/>
      <c r="C1499" s="6"/>
      <c r="D1499" s="6"/>
      <c r="E1499" s="233"/>
      <c r="F1499" s="6"/>
      <c r="G1499" s="6"/>
      <c r="H1499" s="6"/>
    </row>
    <row r="1500" spans="2:8" x14ac:dyDescent="0.3">
      <c r="B1500" s="6"/>
      <c r="C1500" s="6"/>
      <c r="D1500" s="6"/>
      <c r="E1500" s="233"/>
      <c r="F1500" s="6"/>
      <c r="G1500" s="6"/>
      <c r="H1500" s="6"/>
    </row>
    <row r="1501" spans="2:8" x14ac:dyDescent="0.3">
      <c r="B1501" s="6"/>
      <c r="C1501" s="6"/>
      <c r="D1501" s="6"/>
      <c r="E1501" s="233"/>
      <c r="F1501" s="6"/>
      <c r="G1501" s="6"/>
      <c r="H1501" s="6"/>
    </row>
    <row r="1502" spans="2:8" x14ac:dyDescent="0.3">
      <c r="B1502" s="6"/>
      <c r="C1502" s="6"/>
      <c r="D1502" s="6"/>
      <c r="E1502" s="233"/>
      <c r="F1502" s="6"/>
      <c r="G1502" s="6"/>
      <c r="H1502" s="6"/>
    </row>
    <row r="1503" spans="2:8" x14ac:dyDescent="0.3">
      <c r="B1503" s="6"/>
      <c r="C1503" s="6"/>
      <c r="D1503" s="6"/>
      <c r="E1503" s="233"/>
      <c r="F1503" s="6"/>
      <c r="G1503" s="6"/>
      <c r="H1503" s="6"/>
    </row>
    <row r="1504" spans="2:8" x14ac:dyDescent="0.3">
      <c r="B1504" s="6"/>
      <c r="C1504" s="6"/>
      <c r="D1504" s="6"/>
      <c r="E1504" s="233"/>
      <c r="F1504" s="6"/>
      <c r="G1504" s="6"/>
      <c r="H1504" s="6"/>
    </row>
    <row r="1505" spans="2:8" x14ac:dyDescent="0.3">
      <c r="B1505" s="6"/>
      <c r="C1505" s="6"/>
      <c r="D1505" s="6"/>
      <c r="E1505" s="233"/>
      <c r="F1505" s="6"/>
      <c r="G1505" s="6"/>
      <c r="H1505" s="6"/>
    </row>
    <row r="1506" spans="2:8" x14ac:dyDescent="0.3">
      <c r="B1506" s="6"/>
      <c r="C1506" s="6"/>
      <c r="D1506" s="6"/>
      <c r="E1506" s="233"/>
      <c r="F1506" s="6"/>
      <c r="G1506" s="6"/>
      <c r="H1506" s="6"/>
    </row>
    <row r="1507" spans="2:8" x14ac:dyDescent="0.3">
      <c r="B1507" s="6"/>
      <c r="C1507" s="6"/>
      <c r="D1507" s="6"/>
      <c r="E1507" s="233"/>
      <c r="F1507" s="6"/>
      <c r="G1507" s="6"/>
      <c r="H1507" s="6"/>
    </row>
    <row r="1508" spans="2:8" x14ac:dyDescent="0.3">
      <c r="B1508" s="6"/>
      <c r="C1508" s="6"/>
      <c r="D1508" s="6"/>
      <c r="E1508" s="233"/>
      <c r="F1508" s="6"/>
      <c r="G1508" s="6"/>
      <c r="H1508" s="6"/>
    </row>
    <row r="1509" spans="2:8" x14ac:dyDescent="0.3">
      <c r="B1509" s="6"/>
      <c r="C1509" s="6"/>
      <c r="D1509" s="6"/>
      <c r="E1509" s="233"/>
      <c r="F1509" s="6"/>
      <c r="G1509" s="6"/>
      <c r="H1509" s="6"/>
    </row>
    <row r="1510" spans="2:8" x14ac:dyDescent="0.3">
      <c r="B1510" s="6"/>
      <c r="C1510" s="6"/>
      <c r="D1510" s="6"/>
      <c r="E1510" s="233"/>
      <c r="F1510" s="6"/>
      <c r="G1510" s="6"/>
      <c r="H1510" s="6"/>
    </row>
    <row r="1511" spans="2:8" x14ac:dyDescent="0.3">
      <c r="B1511" s="6"/>
      <c r="C1511" s="6"/>
      <c r="D1511" s="6"/>
      <c r="E1511" s="233"/>
      <c r="F1511" s="6"/>
      <c r="G1511" s="6"/>
      <c r="H1511" s="6"/>
    </row>
    <row r="1512" spans="2:8" x14ac:dyDescent="0.3">
      <c r="B1512" s="6"/>
      <c r="C1512" s="6"/>
      <c r="D1512" s="6"/>
      <c r="E1512" s="233"/>
      <c r="F1512" s="6"/>
      <c r="G1512" s="6"/>
      <c r="H1512" s="6"/>
    </row>
    <row r="1513" spans="2:8" x14ac:dyDescent="0.3">
      <c r="B1513" s="6"/>
      <c r="C1513" s="6"/>
      <c r="D1513" s="6"/>
      <c r="E1513" s="233"/>
      <c r="F1513" s="6"/>
      <c r="G1513" s="6"/>
      <c r="H1513" s="6"/>
    </row>
    <row r="1514" spans="2:8" x14ac:dyDescent="0.3">
      <c r="B1514" s="6"/>
      <c r="C1514" s="6"/>
      <c r="D1514" s="6"/>
      <c r="E1514" s="233"/>
      <c r="F1514" s="6"/>
      <c r="G1514" s="6"/>
      <c r="H1514" s="6"/>
    </row>
    <row r="1515" spans="2:8" x14ac:dyDescent="0.3">
      <c r="B1515" s="6"/>
      <c r="C1515" s="6"/>
      <c r="D1515" s="6"/>
      <c r="E1515" s="233"/>
      <c r="F1515" s="6"/>
      <c r="G1515" s="6"/>
      <c r="H1515" s="6"/>
    </row>
    <row r="1516" spans="2:8" x14ac:dyDescent="0.3">
      <c r="B1516" s="6"/>
      <c r="C1516" s="6"/>
      <c r="D1516" s="6"/>
      <c r="E1516" s="233"/>
      <c r="F1516" s="6"/>
      <c r="G1516" s="6"/>
      <c r="H1516" s="6"/>
    </row>
    <row r="1517" spans="2:8" x14ac:dyDescent="0.3">
      <c r="B1517" s="6"/>
      <c r="C1517" s="6"/>
      <c r="D1517" s="6"/>
      <c r="E1517" s="233"/>
      <c r="F1517" s="6"/>
      <c r="G1517" s="6"/>
      <c r="H1517" s="6"/>
    </row>
    <row r="1518" spans="2:8" x14ac:dyDescent="0.3">
      <c r="B1518" s="6"/>
      <c r="C1518" s="6"/>
      <c r="D1518" s="6"/>
      <c r="E1518" s="233"/>
      <c r="F1518" s="6"/>
      <c r="G1518" s="6"/>
      <c r="H1518" s="6"/>
    </row>
    <row r="1519" spans="2:8" x14ac:dyDescent="0.3">
      <c r="B1519" s="6"/>
      <c r="C1519" s="6"/>
      <c r="D1519" s="6"/>
      <c r="E1519" s="233"/>
      <c r="F1519" s="6"/>
      <c r="G1519" s="6"/>
      <c r="H1519" s="6"/>
    </row>
    <row r="1520" spans="2:8" x14ac:dyDescent="0.3">
      <c r="B1520" s="6"/>
      <c r="C1520" s="6"/>
      <c r="D1520" s="6"/>
      <c r="E1520" s="233"/>
      <c r="F1520" s="6"/>
      <c r="G1520" s="6"/>
      <c r="H1520" s="6"/>
    </row>
    <row r="1521" spans="2:8" x14ac:dyDescent="0.3">
      <c r="B1521" s="6"/>
      <c r="C1521" s="6"/>
      <c r="D1521" s="6"/>
      <c r="E1521" s="233"/>
      <c r="F1521" s="6"/>
      <c r="G1521" s="6"/>
      <c r="H1521" s="6"/>
    </row>
    <row r="1522" spans="2:8" x14ac:dyDescent="0.3">
      <c r="B1522" s="6"/>
      <c r="C1522" s="6"/>
      <c r="D1522" s="6"/>
      <c r="E1522" s="233"/>
      <c r="F1522" s="6"/>
      <c r="G1522" s="6"/>
      <c r="H1522" s="6"/>
    </row>
    <row r="1523" spans="2:8" x14ac:dyDescent="0.3">
      <c r="B1523" s="6"/>
      <c r="C1523" s="6"/>
      <c r="D1523" s="6"/>
      <c r="E1523" s="233"/>
      <c r="F1523" s="6"/>
      <c r="G1523" s="6"/>
      <c r="H1523" s="6"/>
    </row>
    <row r="1524" spans="2:8" x14ac:dyDescent="0.3">
      <c r="B1524" s="6"/>
      <c r="C1524" s="6"/>
      <c r="D1524" s="6"/>
      <c r="E1524" s="233"/>
      <c r="F1524" s="6"/>
      <c r="G1524" s="6"/>
      <c r="H1524" s="6"/>
    </row>
    <row r="1525" spans="2:8" x14ac:dyDescent="0.3">
      <c r="B1525" s="6"/>
      <c r="C1525" s="6"/>
      <c r="D1525" s="6"/>
      <c r="E1525" s="233"/>
      <c r="F1525" s="6"/>
      <c r="G1525" s="6"/>
      <c r="H1525" s="6"/>
    </row>
    <row r="1526" spans="2:8" x14ac:dyDescent="0.3">
      <c r="B1526" s="6"/>
      <c r="C1526" s="6"/>
      <c r="D1526" s="6"/>
      <c r="E1526" s="233"/>
      <c r="F1526" s="6"/>
      <c r="G1526" s="6"/>
      <c r="H1526" s="6"/>
    </row>
    <row r="1527" spans="2:8" x14ac:dyDescent="0.3">
      <c r="B1527" s="6"/>
      <c r="C1527" s="6"/>
      <c r="D1527" s="6"/>
      <c r="E1527" s="233"/>
      <c r="F1527" s="6"/>
      <c r="G1527" s="6"/>
      <c r="H1527" s="6"/>
    </row>
    <row r="1528" spans="2:8" x14ac:dyDescent="0.3">
      <c r="B1528" s="6"/>
      <c r="C1528" s="6"/>
      <c r="D1528" s="6"/>
      <c r="E1528" s="233"/>
      <c r="F1528" s="6"/>
      <c r="G1528" s="6"/>
      <c r="H1528" s="6"/>
    </row>
    <row r="1529" spans="2:8" x14ac:dyDescent="0.3">
      <c r="B1529" s="6"/>
      <c r="C1529" s="6"/>
      <c r="D1529" s="6"/>
      <c r="E1529" s="233"/>
      <c r="F1529" s="6"/>
      <c r="G1529" s="6"/>
      <c r="H1529" s="6"/>
    </row>
    <row r="1530" spans="2:8" x14ac:dyDescent="0.3">
      <c r="B1530" s="6"/>
      <c r="C1530" s="6"/>
      <c r="D1530" s="6"/>
      <c r="E1530" s="233"/>
      <c r="F1530" s="6"/>
      <c r="G1530" s="6"/>
      <c r="H1530" s="6"/>
    </row>
    <row r="1531" spans="2:8" x14ac:dyDescent="0.3">
      <c r="B1531" s="6"/>
      <c r="C1531" s="6"/>
      <c r="D1531" s="6"/>
      <c r="E1531" s="233"/>
      <c r="F1531" s="6"/>
      <c r="G1531" s="6"/>
      <c r="H1531" s="6"/>
    </row>
    <row r="1532" spans="2:8" x14ac:dyDescent="0.3">
      <c r="B1532" s="6"/>
      <c r="C1532" s="6"/>
      <c r="D1532" s="6"/>
      <c r="E1532" s="233"/>
      <c r="F1532" s="6"/>
      <c r="G1532" s="6"/>
      <c r="H1532" s="6"/>
    </row>
    <row r="1533" spans="2:8" x14ac:dyDescent="0.3">
      <c r="B1533" s="6"/>
      <c r="C1533" s="6"/>
      <c r="D1533" s="6"/>
      <c r="E1533" s="233"/>
      <c r="F1533" s="6"/>
      <c r="G1533" s="6"/>
      <c r="H1533" s="6"/>
    </row>
    <row r="1534" spans="2:8" x14ac:dyDescent="0.3">
      <c r="B1534" s="6"/>
      <c r="C1534" s="6"/>
      <c r="D1534" s="6"/>
      <c r="E1534" s="233"/>
      <c r="F1534" s="6"/>
      <c r="G1534" s="6"/>
      <c r="H1534" s="6"/>
    </row>
    <row r="1535" spans="2:8" x14ac:dyDescent="0.3">
      <c r="B1535" s="6"/>
      <c r="C1535" s="6"/>
      <c r="D1535" s="6"/>
      <c r="E1535" s="233"/>
      <c r="F1535" s="6"/>
      <c r="G1535" s="6"/>
      <c r="H1535" s="6"/>
    </row>
    <row r="1536" spans="2:8" x14ac:dyDescent="0.3">
      <c r="B1536" s="6"/>
      <c r="C1536" s="6"/>
      <c r="D1536" s="6"/>
      <c r="E1536" s="233"/>
      <c r="F1536" s="6"/>
      <c r="G1536" s="6"/>
      <c r="H1536" s="6"/>
    </row>
    <row r="1537" spans="2:8" x14ac:dyDescent="0.3">
      <c r="B1537" s="6"/>
      <c r="C1537" s="6"/>
      <c r="D1537" s="6"/>
      <c r="E1537" s="233"/>
      <c r="F1537" s="6"/>
      <c r="G1537" s="6"/>
      <c r="H1537" s="6"/>
    </row>
    <row r="1538" spans="2:8" x14ac:dyDescent="0.3">
      <c r="B1538" s="6"/>
      <c r="C1538" s="6"/>
      <c r="D1538" s="6"/>
      <c r="E1538" s="233"/>
      <c r="F1538" s="6"/>
      <c r="G1538" s="6"/>
      <c r="H1538" s="6"/>
    </row>
    <row r="1539" spans="2:8" x14ac:dyDescent="0.3">
      <c r="B1539" s="6"/>
      <c r="C1539" s="6"/>
      <c r="D1539" s="6"/>
      <c r="E1539" s="233"/>
      <c r="F1539" s="6"/>
      <c r="G1539" s="6"/>
      <c r="H1539" s="6"/>
    </row>
    <row r="1540" spans="2:8" x14ac:dyDescent="0.3">
      <c r="B1540" s="6"/>
      <c r="C1540" s="6"/>
      <c r="D1540" s="6"/>
      <c r="E1540" s="233"/>
      <c r="F1540" s="6"/>
      <c r="G1540" s="6"/>
      <c r="H1540" s="6"/>
    </row>
    <row r="1541" spans="2:8" x14ac:dyDescent="0.3">
      <c r="B1541" s="6"/>
      <c r="C1541" s="6"/>
      <c r="D1541" s="6"/>
      <c r="E1541" s="233"/>
      <c r="F1541" s="6"/>
      <c r="G1541" s="6"/>
      <c r="H1541" s="6"/>
    </row>
    <row r="1542" spans="2:8" x14ac:dyDescent="0.3">
      <c r="B1542" s="6"/>
      <c r="C1542" s="6"/>
      <c r="D1542" s="6"/>
      <c r="E1542" s="233"/>
      <c r="F1542" s="6"/>
      <c r="G1542" s="6"/>
      <c r="H1542" s="6"/>
    </row>
    <row r="1543" spans="2:8" x14ac:dyDescent="0.3">
      <c r="B1543" s="6"/>
      <c r="C1543" s="6"/>
      <c r="D1543" s="6"/>
      <c r="E1543" s="233"/>
      <c r="F1543" s="6"/>
      <c r="G1543" s="6"/>
      <c r="H1543" s="6"/>
    </row>
    <row r="1544" spans="2:8" x14ac:dyDescent="0.3">
      <c r="B1544" s="6"/>
      <c r="C1544" s="6"/>
      <c r="D1544" s="6"/>
      <c r="E1544" s="233"/>
      <c r="F1544" s="6"/>
      <c r="G1544" s="6"/>
      <c r="H1544" s="6"/>
    </row>
    <row r="1545" spans="2:8" x14ac:dyDescent="0.3">
      <c r="B1545" s="6"/>
      <c r="C1545" s="6"/>
      <c r="D1545" s="6"/>
      <c r="E1545" s="233"/>
      <c r="F1545" s="6"/>
      <c r="G1545" s="6"/>
      <c r="H1545" s="6"/>
    </row>
    <row r="1546" spans="2:8" x14ac:dyDescent="0.3">
      <c r="B1546" s="6"/>
      <c r="C1546" s="6"/>
      <c r="D1546" s="6"/>
      <c r="E1546" s="233"/>
      <c r="F1546" s="6"/>
      <c r="G1546" s="6"/>
      <c r="H1546" s="6"/>
    </row>
    <row r="1547" spans="2:8" x14ac:dyDescent="0.3">
      <c r="B1547" s="6"/>
      <c r="C1547" s="6"/>
      <c r="D1547" s="6"/>
      <c r="E1547" s="233"/>
      <c r="F1547" s="6"/>
      <c r="G1547" s="6"/>
      <c r="H1547" s="6"/>
    </row>
    <row r="1548" spans="2:8" x14ac:dyDescent="0.3">
      <c r="B1548" s="6"/>
      <c r="C1548" s="6"/>
      <c r="D1548" s="6"/>
      <c r="E1548" s="233"/>
      <c r="F1548" s="6"/>
      <c r="G1548" s="6"/>
      <c r="H1548" s="6"/>
    </row>
    <row r="1549" spans="2:8" x14ac:dyDescent="0.3">
      <c r="B1549" s="6"/>
      <c r="C1549" s="6"/>
      <c r="D1549" s="6"/>
      <c r="E1549" s="233"/>
      <c r="F1549" s="6"/>
      <c r="G1549" s="6"/>
      <c r="H1549" s="6"/>
    </row>
    <row r="1550" spans="2:8" x14ac:dyDescent="0.3">
      <c r="B1550" s="6"/>
      <c r="C1550" s="6"/>
      <c r="D1550" s="6"/>
      <c r="E1550" s="233"/>
      <c r="F1550" s="6"/>
      <c r="G1550" s="6"/>
      <c r="H1550" s="6"/>
    </row>
    <row r="1551" spans="2:8" x14ac:dyDescent="0.3">
      <c r="B1551" s="6"/>
      <c r="C1551" s="6"/>
      <c r="D1551" s="6"/>
      <c r="E1551" s="233"/>
      <c r="F1551" s="6"/>
      <c r="G1551" s="6"/>
      <c r="H1551" s="6"/>
    </row>
    <row r="1552" spans="2:8" x14ac:dyDescent="0.3">
      <c r="B1552" s="6"/>
      <c r="C1552" s="6"/>
      <c r="D1552" s="6"/>
      <c r="E1552" s="233"/>
      <c r="F1552" s="6"/>
      <c r="G1552" s="6"/>
      <c r="H1552" s="6"/>
    </row>
    <row r="1553" spans="2:8" x14ac:dyDescent="0.3">
      <c r="B1553" s="6"/>
      <c r="C1553" s="6"/>
      <c r="D1553" s="6"/>
      <c r="E1553" s="233"/>
      <c r="F1553" s="6"/>
      <c r="G1553" s="6"/>
      <c r="H1553" s="6"/>
    </row>
    <row r="1554" spans="2:8" x14ac:dyDescent="0.3">
      <c r="B1554" s="6"/>
      <c r="C1554" s="6"/>
      <c r="D1554" s="6"/>
      <c r="E1554" s="233"/>
      <c r="F1554" s="6"/>
      <c r="G1554" s="6"/>
      <c r="H1554" s="6"/>
    </row>
    <row r="1555" spans="2:8" x14ac:dyDescent="0.3">
      <c r="B1555" s="6"/>
      <c r="C1555" s="6"/>
      <c r="D1555" s="6"/>
      <c r="E1555" s="233"/>
      <c r="F1555" s="6"/>
      <c r="G1555" s="6"/>
      <c r="H1555" s="6"/>
    </row>
    <row r="1556" spans="2:8" x14ac:dyDescent="0.3">
      <c r="B1556" s="6"/>
      <c r="C1556" s="6"/>
      <c r="D1556" s="6"/>
      <c r="E1556" s="233"/>
      <c r="F1556" s="6"/>
      <c r="G1556" s="6"/>
      <c r="H1556" s="6"/>
    </row>
    <row r="1557" spans="2:8" x14ac:dyDescent="0.3">
      <c r="B1557" s="6"/>
      <c r="C1557" s="6"/>
      <c r="D1557" s="6"/>
      <c r="E1557" s="233"/>
      <c r="F1557" s="6"/>
      <c r="G1557" s="6"/>
      <c r="H1557" s="6"/>
    </row>
    <row r="1558" spans="2:8" x14ac:dyDescent="0.3">
      <c r="B1558" s="6"/>
      <c r="C1558" s="6"/>
      <c r="D1558" s="6"/>
      <c r="E1558" s="233"/>
      <c r="F1558" s="6"/>
      <c r="G1558" s="6"/>
      <c r="H1558" s="6"/>
    </row>
    <row r="1559" spans="2:8" x14ac:dyDescent="0.3">
      <c r="B1559" s="6"/>
      <c r="C1559" s="6"/>
      <c r="D1559" s="6"/>
      <c r="E1559" s="233"/>
      <c r="F1559" s="6"/>
      <c r="G1559" s="6"/>
      <c r="H1559" s="6"/>
    </row>
    <row r="1560" spans="2:8" x14ac:dyDescent="0.3">
      <c r="B1560" s="6"/>
      <c r="C1560" s="6"/>
      <c r="D1560" s="6"/>
      <c r="E1560" s="233"/>
      <c r="F1560" s="6"/>
      <c r="G1560" s="6"/>
      <c r="H1560" s="6"/>
    </row>
    <row r="1561" spans="2:8" x14ac:dyDescent="0.3">
      <c r="B1561" s="6"/>
      <c r="C1561" s="6"/>
      <c r="D1561" s="6"/>
      <c r="E1561" s="233"/>
      <c r="F1561" s="6"/>
      <c r="G1561" s="6"/>
      <c r="H1561" s="6"/>
    </row>
    <row r="1562" spans="2:8" x14ac:dyDescent="0.3">
      <c r="B1562" s="6"/>
      <c r="C1562" s="6"/>
      <c r="D1562" s="6"/>
      <c r="E1562" s="233"/>
      <c r="F1562" s="6"/>
      <c r="G1562" s="6"/>
      <c r="H1562" s="6"/>
    </row>
    <row r="1563" spans="2:8" x14ac:dyDescent="0.3">
      <c r="B1563" s="6"/>
      <c r="C1563" s="6"/>
      <c r="D1563" s="6"/>
      <c r="E1563" s="233"/>
      <c r="F1563" s="6"/>
      <c r="G1563" s="6"/>
      <c r="H1563" s="6"/>
    </row>
    <row r="1564" spans="2:8" x14ac:dyDescent="0.3">
      <c r="B1564" s="6"/>
      <c r="C1564" s="6"/>
      <c r="D1564" s="6"/>
      <c r="E1564" s="233"/>
      <c r="F1564" s="6"/>
      <c r="G1564" s="6"/>
      <c r="H1564" s="6"/>
    </row>
    <row r="1565" spans="2:8" x14ac:dyDescent="0.3">
      <c r="B1565" s="6"/>
      <c r="C1565" s="6"/>
      <c r="D1565" s="6"/>
      <c r="E1565" s="233"/>
      <c r="F1565" s="6"/>
      <c r="G1565" s="6"/>
      <c r="H1565" s="6"/>
    </row>
    <row r="1566" spans="2:8" x14ac:dyDescent="0.3">
      <c r="B1566" s="6"/>
      <c r="C1566" s="6"/>
      <c r="D1566" s="6"/>
      <c r="E1566" s="233"/>
      <c r="F1566" s="6"/>
      <c r="G1566" s="6"/>
      <c r="H1566" s="6"/>
    </row>
    <row r="1567" spans="2:8" x14ac:dyDescent="0.3">
      <c r="B1567" s="6"/>
      <c r="C1567" s="6"/>
      <c r="D1567" s="6"/>
      <c r="E1567" s="233"/>
      <c r="F1567" s="6"/>
      <c r="G1567" s="6"/>
      <c r="H1567" s="6"/>
    </row>
    <row r="1568" spans="2:8" x14ac:dyDescent="0.3">
      <c r="B1568" s="6"/>
      <c r="C1568" s="6"/>
      <c r="D1568" s="6"/>
      <c r="E1568" s="233"/>
      <c r="F1568" s="6"/>
      <c r="G1568" s="6"/>
      <c r="H1568" s="6"/>
    </row>
    <row r="1569" spans="2:8" x14ac:dyDescent="0.3">
      <c r="B1569" s="6"/>
      <c r="C1569" s="6"/>
      <c r="D1569" s="6"/>
      <c r="E1569" s="233"/>
      <c r="F1569" s="6"/>
      <c r="G1569" s="6"/>
      <c r="H1569" s="6"/>
    </row>
    <row r="1570" spans="2:8" x14ac:dyDescent="0.3">
      <c r="B1570" s="6"/>
      <c r="C1570" s="6"/>
      <c r="D1570" s="6"/>
      <c r="E1570" s="233"/>
      <c r="F1570" s="6"/>
      <c r="G1570" s="6"/>
      <c r="H1570" s="6"/>
    </row>
    <row r="1571" spans="2:8" x14ac:dyDescent="0.3">
      <c r="B1571" s="6"/>
      <c r="C1571" s="6"/>
      <c r="D1571" s="6"/>
      <c r="E1571" s="233"/>
      <c r="F1571" s="6"/>
      <c r="G1571" s="6"/>
      <c r="H1571" s="6"/>
    </row>
    <row r="1572" spans="2:8" x14ac:dyDescent="0.3">
      <c r="B1572" s="6"/>
      <c r="C1572" s="6"/>
      <c r="D1572" s="6"/>
      <c r="E1572" s="233"/>
      <c r="F1572" s="6"/>
      <c r="G1572" s="6"/>
      <c r="H1572" s="6"/>
    </row>
    <row r="1573" spans="2:8" x14ac:dyDescent="0.3">
      <c r="B1573" s="6"/>
      <c r="C1573" s="6"/>
      <c r="D1573" s="6"/>
      <c r="E1573" s="233"/>
      <c r="F1573" s="6"/>
      <c r="G1573" s="6"/>
      <c r="H1573" s="6"/>
    </row>
    <row r="1574" spans="2:8" x14ac:dyDescent="0.3">
      <c r="B1574" s="6"/>
      <c r="C1574" s="6"/>
      <c r="D1574" s="6"/>
      <c r="E1574" s="233"/>
      <c r="F1574" s="6"/>
      <c r="G1574" s="6"/>
      <c r="H1574" s="6"/>
    </row>
    <row r="1575" spans="2:8" x14ac:dyDescent="0.3">
      <c r="B1575" s="6"/>
      <c r="C1575" s="6"/>
      <c r="D1575" s="6"/>
      <c r="E1575" s="233"/>
      <c r="F1575" s="6"/>
      <c r="G1575" s="6"/>
      <c r="H1575" s="6"/>
    </row>
    <row r="1576" spans="2:8" x14ac:dyDescent="0.3">
      <c r="B1576" s="6"/>
      <c r="C1576" s="6"/>
      <c r="D1576" s="6"/>
      <c r="E1576" s="233"/>
      <c r="F1576" s="6"/>
      <c r="G1576" s="6"/>
      <c r="H1576" s="6"/>
    </row>
    <row r="1577" spans="2:8" x14ac:dyDescent="0.3">
      <c r="B1577" s="6"/>
      <c r="C1577" s="6"/>
      <c r="D1577" s="6"/>
      <c r="E1577" s="233"/>
      <c r="F1577" s="6"/>
      <c r="G1577" s="6"/>
      <c r="H1577" s="6"/>
    </row>
    <row r="1578" spans="2:8" x14ac:dyDescent="0.3">
      <c r="B1578" s="6"/>
      <c r="C1578" s="6"/>
      <c r="D1578" s="6"/>
      <c r="E1578" s="233"/>
      <c r="F1578" s="6"/>
      <c r="G1578" s="6"/>
      <c r="H1578" s="6"/>
    </row>
    <row r="1579" spans="2:8" x14ac:dyDescent="0.3">
      <c r="B1579" s="6"/>
      <c r="C1579" s="6"/>
      <c r="D1579" s="6"/>
      <c r="E1579" s="233"/>
      <c r="F1579" s="6"/>
      <c r="G1579" s="6"/>
      <c r="H1579" s="6"/>
    </row>
    <row r="1580" spans="2:8" x14ac:dyDescent="0.3">
      <c r="B1580" s="6"/>
      <c r="C1580" s="6"/>
      <c r="D1580" s="6"/>
      <c r="E1580" s="233"/>
      <c r="F1580" s="6"/>
      <c r="G1580" s="6"/>
      <c r="H1580" s="6"/>
    </row>
    <row r="1581" spans="2:8" x14ac:dyDescent="0.3">
      <c r="B1581" s="6"/>
      <c r="C1581" s="6"/>
      <c r="D1581" s="6"/>
      <c r="E1581" s="233"/>
      <c r="F1581" s="6"/>
      <c r="G1581" s="6"/>
      <c r="H1581" s="6"/>
    </row>
    <row r="1582" spans="2:8" x14ac:dyDescent="0.3">
      <c r="B1582" s="6"/>
      <c r="C1582" s="6"/>
      <c r="D1582" s="6"/>
      <c r="E1582" s="233"/>
      <c r="F1582" s="6"/>
      <c r="G1582" s="6"/>
      <c r="H1582" s="6"/>
    </row>
    <row r="1583" spans="2:8" x14ac:dyDescent="0.3">
      <c r="B1583" s="6"/>
      <c r="C1583" s="6"/>
      <c r="D1583" s="6"/>
      <c r="E1583" s="233"/>
      <c r="F1583" s="6"/>
      <c r="G1583" s="6"/>
      <c r="H1583" s="6"/>
    </row>
    <row r="1584" spans="2:8" x14ac:dyDescent="0.3">
      <c r="B1584" s="6"/>
      <c r="C1584" s="6"/>
      <c r="D1584" s="6"/>
      <c r="E1584" s="233"/>
      <c r="F1584" s="6"/>
      <c r="G1584" s="6"/>
      <c r="H1584" s="6"/>
    </row>
    <row r="1585" spans="2:8" x14ac:dyDescent="0.3">
      <c r="B1585" s="6"/>
      <c r="C1585" s="6"/>
      <c r="D1585" s="6"/>
      <c r="E1585" s="233"/>
      <c r="F1585" s="6"/>
      <c r="G1585" s="6"/>
      <c r="H1585" s="6"/>
    </row>
    <row r="1586" spans="2:8" x14ac:dyDescent="0.3">
      <c r="B1586" s="6"/>
      <c r="C1586" s="6"/>
      <c r="D1586" s="6"/>
      <c r="E1586" s="233"/>
      <c r="F1586" s="6"/>
      <c r="G1586" s="6"/>
      <c r="H1586" s="6"/>
    </row>
    <row r="1587" spans="2:8" x14ac:dyDescent="0.3">
      <c r="B1587" s="6"/>
      <c r="C1587" s="6"/>
      <c r="D1587" s="6"/>
      <c r="E1587" s="233"/>
      <c r="F1587" s="6"/>
      <c r="G1587" s="6"/>
      <c r="H1587" s="6"/>
    </row>
    <row r="1588" spans="2:8" x14ac:dyDescent="0.3">
      <c r="B1588" s="6"/>
      <c r="C1588" s="6"/>
      <c r="D1588" s="6"/>
      <c r="E1588" s="233"/>
      <c r="F1588" s="6"/>
      <c r="G1588" s="6"/>
      <c r="H1588" s="6"/>
    </row>
    <row r="1589" spans="2:8" x14ac:dyDescent="0.3">
      <c r="B1589" s="6"/>
      <c r="C1589" s="6"/>
      <c r="D1589" s="6"/>
      <c r="E1589" s="233"/>
      <c r="F1589" s="6"/>
      <c r="G1589" s="6"/>
      <c r="H1589" s="6"/>
    </row>
    <row r="1590" spans="2:8" x14ac:dyDescent="0.3">
      <c r="B1590" s="6"/>
      <c r="C1590" s="6"/>
      <c r="D1590" s="6"/>
      <c r="E1590" s="233"/>
      <c r="F1590" s="6"/>
      <c r="G1590" s="6"/>
      <c r="H1590" s="6"/>
    </row>
    <row r="1591" spans="2:8" x14ac:dyDescent="0.3">
      <c r="B1591" s="6"/>
      <c r="C1591" s="6"/>
      <c r="D1591" s="6"/>
      <c r="E1591" s="233"/>
      <c r="F1591" s="6"/>
      <c r="G1591" s="6"/>
      <c r="H1591" s="6"/>
    </row>
    <row r="1592" spans="2:8" x14ac:dyDescent="0.3">
      <c r="B1592" s="6"/>
      <c r="C1592" s="6"/>
      <c r="D1592" s="6"/>
      <c r="E1592" s="233"/>
      <c r="F1592" s="6"/>
      <c r="G1592" s="6"/>
      <c r="H1592" s="6"/>
    </row>
    <row r="1593" spans="2:8" x14ac:dyDescent="0.3">
      <c r="B1593" s="6"/>
      <c r="C1593" s="6"/>
      <c r="D1593" s="6"/>
      <c r="E1593" s="233"/>
      <c r="F1593" s="6"/>
      <c r="G1593" s="6"/>
      <c r="H1593" s="6"/>
    </row>
    <row r="1594" spans="2:8" x14ac:dyDescent="0.3">
      <c r="B1594" s="6"/>
      <c r="C1594" s="6"/>
      <c r="D1594" s="6"/>
      <c r="E1594" s="233"/>
      <c r="F1594" s="6"/>
      <c r="G1594" s="6"/>
      <c r="H1594" s="6"/>
    </row>
    <row r="1595" spans="2:8" x14ac:dyDescent="0.3">
      <c r="B1595" s="6"/>
      <c r="C1595" s="6"/>
      <c r="D1595" s="6"/>
      <c r="E1595" s="233"/>
      <c r="F1595" s="6"/>
      <c r="G1595" s="6"/>
      <c r="H1595" s="6"/>
    </row>
    <row r="1596" spans="2:8" x14ac:dyDescent="0.3">
      <c r="B1596" s="6"/>
      <c r="C1596" s="6"/>
      <c r="D1596" s="6"/>
      <c r="E1596" s="233"/>
      <c r="F1596" s="6"/>
      <c r="G1596" s="6"/>
      <c r="H1596" s="6"/>
    </row>
    <row r="1597" spans="2:8" x14ac:dyDescent="0.3">
      <c r="B1597" s="6"/>
      <c r="C1597" s="6"/>
      <c r="D1597" s="6"/>
      <c r="E1597" s="233"/>
      <c r="F1597" s="6"/>
      <c r="G1597" s="6"/>
      <c r="H1597" s="6"/>
    </row>
    <row r="1598" spans="2:8" x14ac:dyDescent="0.3">
      <c r="B1598" s="6"/>
      <c r="C1598" s="6"/>
      <c r="D1598" s="6"/>
      <c r="E1598" s="233"/>
      <c r="F1598" s="6"/>
      <c r="G1598" s="6"/>
      <c r="H1598" s="6"/>
    </row>
    <row r="1599" spans="2:8" x14ac:dyDescent="0.3">
      <c r="B1599" s="6"/>
      <c r="C1599" s="6"/>
      <c r="D1599" s="6"/>
      <c r="E1599" s="233"/>
      <c r="F1599" s="6"/>
      <c r="G1599" s="6"/>
      <c r="H1599" s="6"/>
    </row>
    <row r="1600" spans="2:8" x14ac:dyDescent="0.3">
      <c r="B1600" s="6"/>
      <c r="C1600" s="6"/>
      <c r="D1600" s="6"/>
      <c r="E1600" s="233"/>
      <c r="F1600" s="6"/>
      <c r="G1600" s="6"/>
      <c r="H1600" s="6"/>
    </row>
    <row r="1601" spans="2:8" x14ac:dyDescent="0.3">
      <c r="B1601" s="6"/>
      <c r="C1601" s="6"/>
      <c r="D1601" s="6"/>
      <c r="E1601" s="233"/>
      <c r="F1601" s="6"/>
      <c r="G1601" s="6"/>
      <c r="H1601" s="6"/>
    </row>
    <row r="1602" spans="2:8" x14ac:dyDescent="0.3">
      <c r="B1602" s="6"/>
      <c r="C1602" s="6"/>
      <c r="D1602" s="6"/>
      <c r="E1602" s="233"/>
      <c r="F1602" s="6"/>
      <c r="G1602" s="6"/>
      <c r="H1602" s="6"/>
    </row>
    <row r="1603" spans="2:8" x14ac:dyDescent="0.3">
      <c r="B1603" s="6"/>
      <c r="C1603" s="6"/>
      <c r="D1603" s="6"/>
      <c r="E1603" s="233"/>
      <c r="F1603" s="6"/>
      <c r="G1603" s="6"/>
      <c r="H1603" s="6"/>
    </row>
    <row r="1604" spans="2:8" x14ac:dyDescent="0.3">
      <c r="B1604" s="6"/>
      <c r="C1604" s="6"/>
      <c r="D1604" s="6"/>
      <c r="E1604" s="233"/>
      <c r="F1604" s="6"/>
      <c r="G1604" s="6"/>
      <c r="H1604" s="6"/>
    </row>
    <row r="1605" spans="2:8" x14ac:dyDescent="0.3">
      <c r="B1605" s="6"/>
      <c r="C1605" s="6"/>
      <c r="D1605" s="6"/>
      <c r="E1605" s="233"/>
      <c r="F1605" s="6"/>
      <c r="G1605" s="6"/>
      <c r="H1605" s="6"/>
    </row>
    <row r="1606" spans="2:8" x14ac:dyDescent="0.3">
      <c r="B1606" s="6"/>
      <c r="C1606" s="6"/>
      <c r="D1606" s="6"/>
      <c r="E1606" s="233"/>
      <c r="F1606" s="6"/>
      <c r="G1606" s="6"/>
      <c r="H1606" s="6"/>
    </row>
    <row r="1607" spans="2:8" x14ac:dyDescent="0.3">
      <c r="B1607" s="6"/>
      <c r="C1607" s="6"/>
      <c r="D1607" s="6"/>
      <c r="E1607" s="233"/>
      <c r="F1607" s="6"/>
      <c r="G1607" s="6"/>
      <c r="H1607" s="6"/>
    </row>
    <row r="1608" spans="2:8" x14ac:dyDescent="0.3">
      <c r="B1608" s="6"/>
      <c r="C1608" s="6"/>
      <c r="D1608" s="6"/>
      <c r="E1608" s="233"/>
      <c r="F1608" s="6"/>
      <c r="G1608" s="6"/>
      <c r="H1608" s="6"/>
    </row>
    <row r="1609" spans="2:8" x14ac:dyDescent="0.3">
      <c r="B1609" s="6"/>
      <c r="C1609" s="6"/>
      <c r="D1609" s="6"/>
      <c r="E1609" s="233"/>
      <c r="F1609" s="6"/>
      <c r="G1609" s="6"/>
      <c r="H1609" s="6"/>
    </row>
    <row r="1610" spans="2:8" x14ac:dyDescent="0.3">
      <c r="B1610" s="6"/>
      <c r="C1610" s="6"/>
      <c r="D1610" s="6"/>
      <c r="E1610" s="233"/>
      <c r="F1610" s="6"/>
      <c r="G1610" s="6"/>
      <c r="H1610" s="6"/>
    </row>
    <row r="1611" spans="2:8" x14ac:dyDescent="0.3">
      <c r="B1611" s="6"/>
      <c r="C1611" s="6"/>
      <c r="D1611" s="6"/>
      <c r="E1611" s="233"/>
      <c r="F1611" s="6"/>
      <c r="G1611" s="6"/>
      <c r="H1611" s="6"/>
    </row>
    <row r="1612" spans="2:8" x14ac:dyDescent="0.3">
      <c r="B1612" s="6"/>
      <c r="C1612" s="6"/>
      <c r="D1612" s="6"/>
      <c r="E1612" s="233"/>
      <c r="F1612" s="6"/>
      <c r="G1612" s="6"/>
      <c r="H1612" s="6"/>
    </row>
    <row r="1613" spans="2:8" x14ac:dyDescent="0.3">
      <c r="B1613" s="6"/>
      <c r="C1613" s="6"/>
      <c r="D1613" s="6"/>
      <c r="E1613" s="233"/>
      <c r="F1613" s="6"/>
      <c r="G1613" s="6"/>
      <c r="H1613" s="6"/>
    </row>
    <row r="1614" spans="2:8" x14ac:dyDescent="0.3">
      <c r="B1614" s="6"/>
      <c r="C1614" s="6"/>
      <c r="D1614" s="6"/>
      <c r="E1614" s="233"/>
      <c r="F1614" s="6"/>
      <c r="G1614" s="6"/>
      <c r="H1614" s="6"/>
    </row>
    <row r="1615" spans="2:8" x14ac:dyDescent="0.3">
      <c r="B1615" s="6"/>
      <c r="C1615" s="6"/>
      <c r="D1615" s="6"/>
      <c r="E1615" s="233"/>
      <c r="F1615" s="6"/>
      <c r="G1615" s="6"/>
      <c r="H1615" s="6"/>
    </row>
    <row r="1616" spans="2:8" x14ac:dyDescent="0.3">
      <c r="B1616" s="6"/>
      <c r="C1616" s="6"/>
      <c r="D1616" s="6"/>
      <c r="E1616" s="233"/>
      <c r="F1616" s="6"/>
      <c r="G1616" s="6"/>
      <c r="H1616" s="6"/>
    </row>
    <row r="1617" spans="2:8" x14ac:dyDescent="0.3">
      <c r="B1617" s="6"/>
      <c r="C1617" s="6"/>
      <c r="D1617" s="6"/>
      <c r="E1617" s="233"/>
      <c r="F1617" s="6"/>
      <c r="G1617" s="6"/>
      <c r="H1617" s="6"/>
    </row>
    <row r="1618" spans="2:8" x14ac:dyDescent="0.3">
      <c r="B1618" s="6"/>
      <c r="C1618" s="6"/>
      <c r="D1618" s="6"/>
      <c r="E1618" s="233"/>
      <c r="F1618" s="6"/>
      <c r="G1618" s="6"/>
      <c r="H1618" s="6"/>
    </row>
    <row r="1619" spans="2:8" x14ac:dyDescent="0.3">
      <c r="B1619" s="6"/>
      <c r="C1619" s="6"/>
      <c r="D1619" s="6"/>
      <c r="E1619" s="233"/>
      <c r="F1619" s="6"/>
      <c r="G1619" s="6"/>
      <c r="H1619" s="6"/>
    </row>
    <row r="1620" spans="2:8" x14ac:dyDescent="0.3">
      <c r="B1620" s="6"/>
      <c r="C1620" s="6"/>
      <c r="D1620" s="6"/>
      <c r="E1620" s="233"/>
      <c r="F1620" s="6"/>
      <c r="G1620" s="6"/>
      <c r="H1620" s="6"/>
    </row>
    <row r="1621" spans="2:8" x14ac:dyDescent="0.3">
      <c r="B1621" s="6"/>
      <c r="C1621" s="6"/>
      <c r="D1621" s="6"/>
      <c r="E1621" s="233"/>
      <c r="F1621" s="6"/>
      <c r="G1621" s="6"/>
      <c r="H1621" s="6"/>
    </row>
    <row r="1622" spans="2:8" x14ac:dyDescent="0.3">
      <c r="B1622" s="6"/>
      <c r="C1622" s="6"/>
      <c r="D1622" s="6"/>
      <c r="E1622" s="233"/>
      <c r="F1622" s="6"/>
      <c r="G1622" s="6"/>
      <c r="H1622" s="6"/>
    </row>
    <row r="1623" spans="2:8" x14ac:dyDescent="0.3">
      <c r="B1623" s="6"/>
      <c r="C1623" s="6"/>
      <c r="D1623" s="6"/>
      <c r="E1623" s="233"/>
      <c r="F1623" s="6"/>
      <c r="G1623" s="6"/>
      <c r="H1623" s="6"/>
    </row>
    <row r="1624" spans="2:8" x14ac:dyDescent="0.3">
      <c r="B1624" s="6"/>
      <c r="C1624" s="6"/>
      <c r="D1624" s="6"/>
      <c r="E1624" s="233"/>
      <c r="F1624" s="6"/>
      <c r="G1624" s="6"/>
      <c r="H1624" s="6"/>
    </row>
    <row r="1625" spans="2:8" x14ac:dyDescent="0.3">
      <c r="B1625" s="6"/>
      <c r="C1625" s="6"/>
      <c r="D1625" s="6"/>
      <c r="E1625" s="233"/>
      <c r="F1625" s="6"/>
      <c r="G1625" s="6"/>
      <c r="H1625" s="6"/>
    </row>
    <row r="1626" spans="2:8" x14ac:dyDescent="0.3">
      <c r="B1626" s="6"/>
      <c r="C1626" s="6"/>
      <c r="D1626" s="6"/>
      <c r="E1626" s="233"/>
      <c r="F1626" s="6"/>
      <c r="G1626" s="6"/>
      <c r="H1626" s="6"/>
    </row>
    <row r="1627" spans="2:8" x14ac:dyDescent="0.3">
      <c r="B1627" s="6"/>
      <c r="C1627" s="6"/>
      <c r="D1627" s="6"/>
      <c r="E1627" s="233"/>
      <c r="F1627" s="6"/>
      <c r="G1627" s="6"/>
      <c r="H1627" s="6"/>
    </row>
    <row r="1628" spans="2:8" x14ac:dyDescent="0.3">
      <c r="B1628" s="6"/>
      <c r="C1628" s="6"/>
      <c r="D1628" s="6"/>
      <c r="E1628" s="233"/>
      <c r="F1628" s="6"/>
      <c r="G1628" s="6"/>
      <c r="H1628" s="6"/>
    </row>
    <row r="1629" spans="2:8" x14ac:dyDescent="0.3">
      <c r="B1629" s="6"/>
      <c r="C1629" s="6"/>
      <c r="D1629" s="6"/>
      <c r="E1629" s="233"/>
      <c r="F1629" s="6"/>
      <c r="G1629" s="6"/>
      <c r="H1629" s="6"/>
    </row>
    <row r="1630" spans="2:8" x14ac:dyDescent="0.3">
      <c r="B1630" s="6"/>
      <c r="C1630" s="6"/>
      <c r="D1630" s="6"/>
      <c r="E1630" s="233"/>
      <c r="F1630" s="6"/>
      <c r="G1630" s="6"/>
      <c r="H1630" s="6"/>
    </row>
    <row r="1631" spans="2:8" x14ac:dyDescent="0.3">
      <c r="B1631" s="6"/>
      <c r="C1631" s="6"/>
      <c r="D1631" s="6"/>
      <c r="E1631" s="233"/>
      <c r="F1631" s="6"/>
      <c r="G1631" s="6"/>
      <c r="H1631" s="6"/>
    </row>
    <row r="1632" spans="2:8" x14ac:dyDescent="0.3">
      <c r="B1632" s="6"/>
      <c r="C1632" s="6"/>
      <c r="D1632" s="6"/>
      <c r="E1632" s="233"/>
      <c r="F1632" s="6"/>
      <c r="G1632" s="6"/>
      <c r="H1632" s="6"/>
    </row>
    <row r="1633" spans="2:8" x14ac:dyDescent="0.3">
      <c r="B1633" s="6"/>
      <c r="C1633" s="6"/>
      <c r="D1633" s="6"/>
      <c r="E1633" s="233"/>
      <c r="F1633" s="6"/>
      <c r="G1633" s="6"/>
      <c r="H1633" s="6"/>
    </row>
    <row r="1634" spans="2:8" x14ac:dyDescent="0.3">
      <c r="B1634" s="6"/>
      <c r="C1634" s="6"/>
      <c r="D1634" s="6"/>
      <c r="E1634" s="233"/>
      <c r="F1634" s="6"/>
      <c r="G1634" s="6"/>
      <c r="H1634" s="6"/>
    </row>
    <row r="1635" spans="2:8" x14ac:dyDescent="0.3">
      <c r="B1635" s="6"/>
      <c r="C1635" s="6"/>
      <c r="D1635" s="6"/>
      <c r="E1635" s="233"/>
      <c r="F1635" s="6"/>
      <c r="G1635" s="6"/>
      <c r="H1635" s="6"/>
    </row>
    <row r="1636" spans="2:8" x14ac:dyDescent="0.3">
      <c r="B1636" s="6"/>
      <c r="C1636" s="6"/>
      <c r="D1636" s="6"/>
      <c r="E1636" s="233"/>
      <c r="F1636" s="6"/>
      <c r="G1636" s="6"/>
      <c r="H1636" s="6"/>
    </row>
    <row r="1637" spans="2:8" x14ac:dyDescent="0.3">
      <c r="B1637" s="6"/>
      <c r="C1637" s="6"/>
      <c r="D1637" s="6"/>
      <c r="E1637" s="233"/>
      <c r="F1637" s="6"/>
      <c r="G1637" s="6"/>
      <c r="H1637" s="6"/>
    </row>
    <row r="1638" spans="2:8" x14ac:dyDescent="0.3">
      <c r="B1638" s="6"/>
      <c r="C1638" s="6"/>
      <c r="D1638" s="6"/>
      <c r="E1638" s="233"/>
      <c r="F1638" s="6"/>
      <c r="G1638" s="6"/>
      <c r="H1638" s="6"/>
    </row>
    <row r="1639" spans="2:8" x14ac:dyDescent="0.3">
      <c r="B1639" s="6"/>
      <c r="C1639" s="6"/>
      <c r="D1639" s="6"/>
      <c r="E1639" s="233"/>
      <c r="F1639" s="6"/>
      <c r="G1639" s="6"/>
      <c r="H1639" s="6"/>
    </row>
    <row r="1640" spans="2:8" x14ac:dyDescent="0.3">
      <c r="B1640" s="6"/>
      <c r="C1640" s="6"/>
      <c r="D1640" s="6"/>
      <c r="E1640" s="233"/>
      <c r="F1640" s="6"/>
      <c r="G1640" s="6"/>
      <c r="H1640" s="6"/>
    </row>
    <row r="1641" spans="2:8" x14ac:dyDescent="0.3">
      <c r="B1641" s="6"/>
      <c r="C1641" s="6"/>
      <c r="D1641" s="6"/>
      <c r="E1641" s="233"/>
      <c r="F1641" s="6"/>
      <c r="G1641" s="6"/>
      <c r="H1641" s="6"/>
    </row>
    <row r="1642" spans="2:8" x14ac:dyDescent="0.3">
      <c r="B1642" s="6"/>
      <c r="C1642" s="6"/>
      <c r="D1642" s="6"/>
      <c r="E1642" s="233"/>
      <c r="F1642" s="6"/>
      <c r="G1642" s="6"/>
      <c r="H1642" s="6"/>
    </row>
    <row r="1643" spans="2:8" x14ac:dyDescent="0.3">
      <c r="B1643" s="6"/>
      <c r="C1643" s="6"/>
      <c r="D1643" s="6"/>
      <c r="E1643" s="233"/>
      <c r="F1643" s="6"/>
      <c r="G1643" s="6"/>
      <c r="H1643" s="6"/>
    </row>
    <row r="1644" spans="2:8" x14ac:dyDescent="0.3">
      <c r="B1644" s="6"/>
      <c r="C1644" s="6"/>
      <c r="D1644" s="6"/>
      <c r="E1644" s="233"/>
      <c r="F1644" s="6"/>
      <c r="G1644" s="6"/>
      <c r="H1644" s="6"/>
    </row>
    <row r="1645" spans="2:8" x14ac:dyDescent="0.3">
      <c r="B1645" s="6"/>
      <c r="C1645" s="6"/>
      <c r="D1645" s="6"/>
      <c r="E1645" s="233"/>
      <c r="F1645" s="6"/>
      <c r="G1645" s="6"/>
      <c r="H1645" s="6"/>
    </row>
    <row r="1646" spans="2:8" x14ac:dyDescent="0.3">
      <c r="B1646" s="6"/>
      <c r="C1646" s="6"/>
      <c r="D1646" s="6"/>
      <c r="E1646" s="233"/>
      <c r="F1646" s="6"/>
      <c r="G1646" s="6"/>
      <c r="H1646" s="6"/>
    </row>
    <row r="1647" spans="2:8" x14ac:dyDescent="0.3">
      <c r="B1647" s="6"/>
      <c r="C1647" s="6"/>
      <c r="D1647" s="6"/>
      <c r="E1647" s="233"/>
      <c r="F1647" s="6"/>
      <c r="G1647" s="6"/>
      <c r="H1647" s="6"/>
    </row>
    <row r="1648" spans="2:8" x14ac:dyDescent="0.3">
      <c r="B1648" s="6"/>
      <c r="C1648" s="6"/>
      <c r="D1648" s="6"/>
      <c r="E1648" s="233"/>
      <c r="F1648" s="6"/>
      <c r="G1648" s="6"/>
      <c r="H1648" s="6"/>
    </row>
    <row r="1649" spans="2:8" x14ac:dyDescent="0.3">
      <c r="B1649" s="6"/>
      <c r="C1649" s="6"/>
      <c r="D1649" s="6"/>
      <c r="E1649" s="233"/>
      <c r="F1649" s="6"/>
      <c r="G1649" s="6"/>
      <c r="H1649" s="6"/>
    </row>
    <row r="1650" spans="2:8" x14ac:dyDescent="0.3">
      <c r="B1650" s="6"/>
      <c r="C1650" s="6"/>
      <c r="D1650" s="6"/>
      <c r="E1650" s="233"/>
      <c r="F1650" s="6"/>
      <c r="G1650" s="6"/>
      <c r="H1650" s="6"/>
    </row>
    <row r="1651" spans="2:8" x14ac:dyDescent="0.3">
      <c r="B1651" s="6"/>
      <c r="C1651" s="6"/>
      <c r="D1651" s="6"/>
      <c r="E1651" s="233"/>
      <c r="F1651" s="6"/>
      <c r="G1651" s="6"/>
      <c r="H1651" s="6"/>
    </row>
    <row r="1652" spans="2:8" x14ac:dyDescent="0.3">
      <c r="B1652" s="6"/>
      <c r="C1652" s="6"/>
      <c r="D1652" s="6"/>
      <c r="E1652" s="233"/>
      <c r="F1652" s="6"/>
      <c r="G1652" s="6"/>
      <c r="H1652" s="6"/>
    </row>
    <row r="1653" spans="2:8" x14ac:dyDescent="0.3">
      <c r="B1653" s="6"/>
      <c r="C1653" s="6"/>
      <c r="D1653" s="6"/>
      <c r="E1653" s="233"/>
      <c r="F1653" s="6"/>
      <c r="G1653" s="6"/>
      <c r="H1653" s="6"/>
    </row>
    <row r="1654" spans="2:8" x14ac:dyDescent="0.3">
      <c r="B1654" s="6"/>
      <c r="C1654" s="6"/>
      <c r="D1654" s="6"/>
      <c r="E1654" s="233"/>
      <c r="F1654" s="6"/>
      <c r="G1654" s="6"/>
      <c r="H1654" s="6"/>
    </row>
    <row r="1655" spans="2:8" x14ac:dyDescent="0.3">
      <c r="B1655" s="6"/>
      <c r="C1655" s="6"/>
      <c r="D1655" s="6"/>
      <c r="E1655" s="233"/>
      <c r="F1655" s="6"/>
      <c r="G1655" s="6"/>
      <c r="H1655" s="6"/>
    </row>
    <row r="1656" spans="2:8" x14ac:dyDescent="0.3">
      <c r="B1656" s="6"/>
      <c r="C1656" s="6"/>
      <c r="D1656" s="6"/>
      <c r="E1656" s="233"/>
      <c r="F1656" s="6"/>
      <c r="G1656" s="6"/>
      <c r="H1656" s="6"/>
    </row>
    <row r="1657" spans="2:8" x14ac:dyDescent="0.3">
      <c r="B1657" s="6"/>
      <c r="C1657" s="6"/>
      <c r="D1657" s="6"/>
      <c r="E1657" s="233"/>
      <c r="F1657" s="6"/>
      <c r="G1657" s="6"/>
      <c r="H1657" s="6"/>
    </row>
    <row r="1658" spans="2:8" x14ac:dyDescent="0.3">
      <c r="B1658" s="6"/>
      <c r="C1658" s="6"/>
      <c r="D1658" s="6"/>
      <c r="E1658" s="233"/>
      <c r="F1658" s="6"/>
      <c r="G1658" s="6"/>
      <c r="H1658" s="6"/>
    </row>
    <row r="1659" spans="2:8" x14ac:dyDescent="0.3">
      <c r="B1659" s="6"/>
      <c r="C1659" s="6"/>
      <c r="D1659" s="6"/>
      <c r="E1659" s="233"/>
      <c r="F1659" s="6"/>
      <c r="G1659" s="6"/>
      <c r="H1659" s="6"/>
    </row>
    <row r="1660" spans="2:8" x14ac:dyDescent="0.3">
      <c r="B1660" s="6"/>
      <c r="C1660" s="6"/>
      <c r="D1660" s="6"/>
      <c r="E1660" s="233"/>
      <c r="F1660" s="6"/>
      <c r="G1660" s="6"/>
      <c r="H1660" s="6"/>
    </row>
    <row r="1661" spans="2:8" x14ac:dyDescent="0.3">
      <c r="B1661" s="6"/>
      <c r="C1661" s="6"/>
      <c r="D1661" s="6"/>
      <c r="E1661" s="233"/>
      <c r="F1661" s="6"/>
      <c r="G1661" s="6"/>
      <c r="H1661" s="6"/>
    </row>
    <row r="1662" spans="2:8" x14ac:dyDescent="0.3">
      <c r="B1662" s="6"/>
      <c r="C1662" s="6"/>
      <c r="D1662" s="6"/>
      <c r="E1662" s="233"/>
      <c r="F1662" s="6"/>
      <c r="G1662" s="6"/>
      <c r="H1662" s="6"/>
    </row>
    <row r="1663" spans="2:8" x14ac:dyDescent="0.3">
      <c r="B1663" s="6"/>
      <c r="C1663" s="6"/>
      <c r="D1663" s="6"/>
      <c r="E1663" s="233"/>
      <c r="F1663" s="6"/>
      <c r="G1663" s="6"/>
      <c r="H1663" s="6"/>
    </row>
    <row r="1664" spans="2:8" x14ac:dyDescent="0.3">
      <c r="B1664" s="6"/>
      <c r="C1664" s="6"/>
      <c r="D1664" s="6"/>
      <c r="E1664" s="233"/>
      <c r="F1664" s="6"/>
      <c r="G1664" s="6"/>
      <c r="H1664" s="6"/>
    </row>
    <row r="1665" spans="2:8" x14ac:dyDescent="0.3">
      <c r="B1665" s="6"/>
      <c r="C1665" s="6"/>
      <c r="D1665" s="6"/>
      <c r="E1665" s="233"/>
      <c r="F1665" s="6"/>
      <c r="G1665" s="6"/>
      <c r="H1665" s="6"/>
    </row>
    <row r="1666" spans="2:8" x14ac:dyDescent="0.3">
      <c r="B1666" s="6"/>
      <c r="C1666" s="6"/>
      <c r="D1666" s="6"/>
      <c r="E1666" s="233"/>
      <c r="F1666" s="6"/>
      <c r="G1666" s="6"/>
      <c r="H1666" s="6"/>
    </row>
    <row r="1667" spans="2:8" x14ac:dyDescent="0.3">
      <c r="B1667" s="6"/>
      <c r="C1667" s="6"/>
      <c r="D1667" s="6"/>
      <c r="E1667" s="233"/>
      <c r="F1667" s="6"/>
      <c r="G1667" s="6"/>
      <c r="H1667" s="6"/>
    </row>
    <row r="1668" spans="2:8" x14ac:dyDescent="0.3">
      <c r="B1668" s="6"/>
      <c r="C1668" s="6"/>
      <c r="D1668" s="6"/>
      <c r="E1668" s="233"/>
      <c r="F1668" s="6"/>
      <c r="G1668" s="6"/>
      <c r="H1668" s="6"/>
    </row>
    <row r="1669" spans="2:8" x14ac:dyDescent="0.3">
      <c r="B1669" s="6"/>
      <c r="C1669" s="6"/>
      <c r="D1669" s="6"/>
      <c r="E1669" s="233"/>
      <c r="F1669" s="6"/>
      <c r="G1669" s="6"/>
      <c r="H1669" s="6"/>
    </row>
    <row r="1670" spans="2:8" x14ac:dyDescent="0.3">
      <c r="B1670" s="6"/>
      <c r="C1670" s="6"/>
      <c r="D1670" s="6"/>
      <c r="E1670" s="233"/>
      <c r="F1670" s="6"/>
      <c r="G1670" s="6"/>
      <c r="H1670" s="6"/>
    </row>
    <row r="1671" spans="2:8" x14ac:dyDescent="0.3">
      <c r="B1671" s="6"/>
      <c r="C1671" s="6"/>
      <c r="D1671" s="6"/>
      <c r="E1671" s="233"/>
      <c r="F1671" s="6"/>
      <c r="G1671" s="6"/>
      <c r="H1671" s="6"/>
    </row>
    <row r="1672" spans="2:8" x14ac:dyDescent="0.3">
      <c r="B1672" s="6"/>
      <c r="C1672" s="6"/>
      <c r="D1672" s="6"/>
      <c r="E1672" s="233"/>
      <c r="F1672" s="6"/>
      <c r="G1672" s="6"/>
      <c r="H1672" s="6"/>
    </row>
    <row r="1673" spans="2:8" x14ac:dyDescent="0.3">
      <c r="B1673" s="6"/>
      <c r="C1673" s="6"/>
      <c r="D1673" s="6"/>
      <c r="E1673" s="233"/>
      <c r="F1673" s="6"/>
      <c r="G1673" s="6"/>
      <c r="H1673" s="6"/>
    </row>
    <row r="1674" spans="2:8" x14ac:dyDescent="0.3">
      <c r="B1674" s="6"/>
      <c r="C1674" s="6"/>
      <c r="D1674" s="6"/>
      <c r="E1674" s="233"/>
      <c r="F1674" s="6"/>
      <c r="G1674" s="6"/>
      <c r="H1674" s="6"/>
    </row>
    <row r="1675" spans="2:8" x14ac:dyDescent="0.3">
      <c r="B1675" s="6"/>
      <c r="C1675" s="6"/>
      <c r="D1675" s="6"/>
      <c r="E1675" s="233"/>
      <c r="F1675" s="6"/>
      <c r="G1675" s="6"/>
      <c r="H1675" s="6"/>
    </row>
    <row r="1676" spans="2:8" x14ac:dyDescent="0.3">
      <c r="B1676" s="6"/>
      <c r="C1676" s="6"/>
      <c r="D1676" s="6"/>
      <c r="E1676" s="233"/>
      <c r="F1676" s="6"/>
      <c r="G1676" s="6"/>
      <c r="H1676" s="6"/>
    </row>
    <row r="1677" spans="2:8" x14ac:dyDescent="0.3">
      <c r="B1677" s="6"/>
      <c r="C1677" s="6"/>
      <c r="D1677" s="6"/>
      <c r="E1677" s="233"/>
      <c r="F1677" s="6"/>
      <c r="G1677" s="6"/>
      <c r="H1677" s="6"/>
    </row>
    <row r="1678" spans="2:8" x14ac:dyDescent="0.3">
      <c r="B1678" s="6"/>
      <c r="C1678" s="6"/>
      <c r="D1678" s="6"/>
      <c r="E1678" s="233"/>
      <c r="F1678" s="6"/>
      <c r="G1678" s="6"/>
      <c r="H1678" s="6"/>
    </row>
    <row r="1679" spans="2:8" x14ac:dyDescent="0.3">
      <c r="B1679" s="6"/>
      <c r="C1679" s="6"/>
      <c r="D1679" s="6"/>
      <c r="E1679" s="233"/>
      <c r="F1679" s="6"/>
      <c r="G1679" s="6"/>
      <c r="H1679" s="6"/>
    </row>
    <row r="1680" spans="2:8" x14ac:dyDescent="0.3">
      <c r="B1680" s="6"/>
      <c r="C1680" s="6"/>
      <c r="D1680" s="6"/>
      <c r="E1680" s="233"/>
      <c r="F1680" s="6"/>
      <c r="G1680" s="6"/>
      <c r="H1680" s="6"/>
    </row>
    <row r="1681" spans="2:8" x14ac:dyDescent="0.3">
      <c r="B1681" s="6"/>
      <c r="C1681" s="6"/>
      <c r="D1681" s="6"/>
      <c r="E1681" s="233"/>
      <c r="F1681" s="6"/>
      <c r="G1681" s="6"/>
      <c r="H1681" s="6"/>
    </row>
    <row r="1682" spans="2:8" x14ac:dyDescent="0.3">
      <c r="B1682" s="6"/>
      <c r="C1682" s="6"/>
      <c r="D1682" s="6"/>
      <c r="E1682" s="233"/>
      <c r="F1682" s="6"/>
      <c r="G1682" s="6"/>
      <c r="H1682" s="6"/>
    </row>
    <row r="1683" spans="2:8" x14ac:dyDescent="0.3">
      <c r="B1683" s="6"/>
      <c r="C1683" s="6"/>
      <c r="D1683" s="6"/>
      <c r="E1683" s="233"/>
      <c r="F1683" s="6"/>
      <c r="G1683" s="6"/>
      <c r="H1683" s="6"/>
    </row>
    <row r="1684" spans="2:8" x14ac:dyDescent="0.3">
      <c r="B1684" s="6"/>
      <c r="C1684" s="6"/>
      <c r="D1684" s="6"/>
      <c r="E1684" s="233"/>
      <c r="F1684" s="6"/>
      <c r="G1684" s="6"/>
      <c r="H1684" s="6"/>
    </row>
    <row r="1685" spans="2:8" x14ac:dyDescent="0.3">
      <c r="B1685" s="6"/>
      <c r="C1685" s="6"/>
      <c r="D1685" s="6"/>
      <c r="E1685" s="233"/>
      <c r="F1685" s="6"/>
      <c r="G1685" s="6"/>
      <c r="H1685" s="6"/>
    </row>
    <row r="1686" spans="2:8" x14ac:dyDescent="0.3">
      <c r="B1686" s="6"/>
      <c r="C1686" s="6"/>
      <c r="D1686" s="6"/>
      <c r="E1686" s="233"/>
      <c r="F1686" s="6"/>
      <c r="G1686" s="6"/>
      <c r="H1686" s="6"/>
    </row>
    <row r="1687" spans="2:8" x14ac:dyDescent="0.3">
      <c r="B1687" s="6"/>
      <c r="C1687" s="6"/>
      <c r="D1687" s="6"/>
      <c r="E1687" s="233"/>
      <c r="F1687" s="6"/>
      <c r="G1687" s="6"/>
      <c r="H1687" s="6"/>
    </row>
    <row r="1688" spans="2:8" x14ac:dyDescent="0.3">
      <c r="B1688" s="6"/>
      <c r="C1688" s="6"/>
      <c r="D1688" s="6"/>
      <c r="E1688" s="233"/>
      <c r="F1688" s="6"/>
      <c r="G1688" s="6"/>
      <c r="H1688" s="6"/>
    </row>
    <row r="1689" spans="2:8" x14ac:dyDescent="0.3">
      <c r="B1689" s="6"/>
      <c r="C1689" s="6"/>
      <c r="D1689" s="6"/>
      <c r="E1689" s="233"/>
      <c r="F1689" s="6"/>
      <c r="G1689" s="6"/>
      <c r="H1689" s="6"/>
    </row>
    <row r="1690" spans="2:8" x14ac:dyDescent="0.3">
      <c r="B1690" s="6"/>
      <c r="C1690" s="6"/>
      <c r="D1690" s="6"/>
      <c r="E1690" s="233"/>
      <c r="F1690" s="6"/>
      <c r="G1690" s="6"/>
      <c r="H1690" s="6"/>
    </row>
    <row r="1691" spans="2:8" x14ac:dyDescent="0.3">
      <c r="B1691" s="6"/>
      <c r="C1691" s="6"/>
      <c r="D1691" s="6"/>
      <c r="E1691" s="233"/>
      <c r="F1691" s="6"/>
      <c r="G1691" s="6"/>
      <c r="H1691" s="6"/>
    </row>
    <row r="1692" spans="2:8" x14ac:dyDescent="0.3">
      <c r="B1692" s="6"/>
      <c r="C1692" s="6"/>
      <c r="D1692" s="6"/>
      <c r="E1692" s="233"/>
      <c r="F1692" s="6"/>
      <c r="G1692" s="6"/>
      <c r="H1692" s="6"/>
    </row>
    <row r="1693" spans="2:8" x14ac:dyDescent="0.3">
      <c r="B1693" s="6"/>
      <c r="C1693" s="6"/>
      <c r="D1693" s="6"/>
      <c r="E1693" s="233"/>
      <c r="F1693" s="6"/>
      <c r="G1693" s="6"/>
      <c r="H1693" s="6"/>
    </row>
    <row r="1694" spans="2:8" x14ac:dyDescent="0.3">
      <c r="B1694" s="6"/>
      <c r="C1694" s="6"/>
      <c r="D1694" s="6"/>
      <c r="E1694" s="233"/>
      <c r="F1694" s="6"/>
      <c r="G1694" s="6"/>
      <c r="H1694" s="6"/>
    </row>
    <row r="1695" spans="2:8" x14ac:dyDescent="0.3">
      <c r="B1695" s="6"/>
      <c r="C1695" s="6"/>
      <c r="D1695" s="6"/>
      <c r="E1695" s="233"/>
      <c r="F1695" s="6"/>
      <c r="G1695" s="6"/>
      <c r="H1695" s="6"/>
    </row>
    <row r="1696" spans="2:8" x14ac:dyDescent="0.3">
      <c r="B1696" s="6"/>
      <c r="C1696" s="6"/>
      <c r="D1696" s="6"/>
      <c r="E1696" s="233"/>
      <c r="F1696" s="6"/>
      <c r="G1696" s="6"/>
      <c r="H1696" s="6"/>
    </row>
    <row r="1697" spans="2:8" x14ac:dyDescent="0.3">
      <c r="B1697" s="6"/>
      <c r="C1697" s="6"/>
      <c r="D1697" s="6"/>
      <c r="E1697" s="233"/>
      <c r="F1697" s="6"/>
      <c r="G1697" s="6"/>
      <c r="H1697" s="6"/>
    </row>
    <row r="1698" spans="2:8" x14ac:dyDescent="0.3">
      <c r="B1698" s="6"/>
      <c r="C1698" s="6"/>
      <c r="D1698" s="6"/>
      <c r="E1698" s="233"/>
      <c r="F1698" s="6"/>
      <c r="G1698" s="6"/>
      <c r="H1698" s="6"/>
    </row>
    <row r="1699" spans="2:8" x14ac:dyDescent="0.3">
      <c r="B1699" s="6"/>
      <c r="C1699" s="6"/>
      <c r="D1699" s="6"/>
      <c r="E1699" s="233"/>
      <c r="F1699" s="6"/>
      <c r="G1699" s="6"/>
      <c r="H1699" s="6"/>
    </row>
    <row r="1700" spans="2:8" x14ac:dyDescent="0.3">
      <c r="B1700" s="6"/>
      <c r="C1700" s="6"/>
      <c r="D1700" s="6"/>
      <c r="E1700" s="233"/>
      <c r="F1700" s="6"/>
      <c r="G1700" s="6"/>
      <c r="H1700" s="6"/>
    </row>
    <row r="1701" spans="2:8" x14ac:dyDescent="0.3">
      <c r="B1701" s="6"/>
      <c r="C1701" s="6"/>
      <c r="D1701" s="6"/>
      <c r="E1701" s="233"/>
      <c r="F1701" s="6"/>
      <c r="G1701" s="6"/>
      <c r="H1701" s="6"/>
    </row>
    <row r="1702" spans="2:8" x14ac:dyDescent="0.3">
      <c r="B1702" s="6"/>
      <c r="C1702" s="6"/>
      <c r="D1702" s="6"/>
      <c r="E1702" s="233"/>
      <c r="F1702" s="6"/>
      <c r="G1702" s="6"/>
      <c r="H1702" s="6"/>
    </row>
    <row r="1703" spans="2:8" x14ac:dyDescent="0.3">
      <c r="B1703" s="6"/>
      <c r="C1703" s="6"/>
      <c r="D1703" s="6"/>
      <c r="E1703" s="233"/>
      <c r="F1703" s="6"/>
      <c r="G1703" s="6"/>
      <c r="H1703" s="6"/>
    </row>
    <row r="1704" spans="2:8" x14ac:dyDescent="0.3">
      <c r="B1704" s="6"/>
      <c r="C1704" s="6"/>
      <c r="D1704" s="6"/>
      <c r="E1704" s="233"/>
      <c r="F1704" s="6"/>
      <c r="G1704" s="6"/>
      <c r="H1704" s="6"/>
    </row>
    <row r="1705" spans="2:8" x14ac:dyDescent="0.3">
      <c r="B1705" s="6"/>
      <c r="C1705" s="6"/>
      <c r="D1705" s="6"/>
      <c r="E1705" s="233"/>
      <c r="F1705" s="6"/>
      <c r="G1705" s="6"/>
      <c r="H1705" s="6"/>
    </row>
    <row r="1706" spans="2:8" x14ac:dyDescent="0.3">
      <c r="B1706" s="6"/>
      <c r="C1706" s="6"/>
      <c r="D1706" s="6"/>
      <c r="E1706" s="233"/>
      <c r="F1706" s="6"/>
      <c r="G1706" s="6"/>
      <c r="H1706" s="6"/>
    </row>
    <row r="1707" spans="2:8" x14ac:dyDescent="0.3">
      <c r="B1707" s="6"/>
      <c r="C1707" s="6"/>
      <c r="D1707" s="6"/>
      <c r="E1707" s="233"/>
      <c r="F1707" s="6"/>
      <c r="G1707" s="6"/>
      <c r="H1707" s="6"/>
    </row>
    <row r="1708" spans="2:8" x14ac:dyDescent="0.3">
      <c r="B1708" s="6"/>
      <c r="C1708" s="6"/>
      <c r="D1708" s="6"/>
      <c r="E1708" s="233"/>
      <c r="F1708" s="6"/>
      <c r="G1708" s="6"/>
      <c r="H1708" s="6"/>
    </row>
    <row r="1709" spans="2:8" x14ac:dyDescent="0.3">
      <c r="B1709" s="6"/>
      <c r="C1709" s="6"/>
      <c r="D1709" s="6"/>
      <c r="E1709" s="233"/>
      <c r="F1709" s="6"/>
      <c r="G1709" s="6"/>
      <c r="H1709" s="6"/>
    </row>
    <row r="1710" spans="2:8" x14ac:dyDescent="0.3">
      <c r="B1710" s="6"/>
      <c r="C1710" s="6"/>
      <c r="D1710" s="6"/>
      <c r="E1710" s="233"/>
      <c r="F1710" s="6"/>
      <c r="G1710" s="6"/>
      <c r="H1710" s="6"/>
    </row>
    <row r="1711" spans="2:8" x14ac:dyDescent="0.3">
      <c r="B1711" s="6"/>
      <c r="C1711" s="6"/>
      <c r="D1711" s="6"/>
      <c r="E1711" s="233"/>
      <c r="F1711" s="6"/>
      <c r="G1711" s="6"/>
      <c r="H1711" s="6"/>
    </row>
    <row r="1712" spans="2:8" x14ac:dyDescent="0.3">
      <c r="B1712" s="6"/>
      <c r="C1712" s="6"/>
      <c r="D1712" s="6"/>
      <c r="E1712" s="233"/>
      <c r="F1712" s="6"/>
      <c r="G1712" s="6"/>
      <c r="H1712" s="6"/>
    </row>
    <row r="1713" spans="2:8" x14ac:dyDescent="0.3">
      <c r="B1713" s="6"/>
      <c r="C1713" s="6"/>
      <c r="D1713" s="6"/>
      <c r="E1713" s="233"/>
      <c r="F1713" s="6"/>
      <c r="G1713" s="6"/>
      <c r="H1713" s="6"/>
    </row>
    <row r="1714" spans="2:8" x14ac:dyDescent="0.3">
      <c r="B1714" s="6"/>
      <c r="C1714" s="6"/>
      <c r="D1714" s="6"/>
      <c r="E1714" s="233"/>
      <c r="F1714" s="6"/>
      <c r="G1714" s="6"/>
      <c r="H1714" s="6"/>
    </row>
    <row r="1715" spans="2:8" x14ac:dyDescent="0.3">
      <c r="B1715" s="6"/>
      <c r="C1715" s="6"/>
      <c r="D1715" s="6"/>
      <c r="E1715" s="233"/>
      <c r="F1715" s="6"/>
      <c r="G1715" s="6"/>
      <c r="H1715" s="6"/>
    </row>
    <row r="1716" spans="2:8" x14ac:dyDescent="0.3">
      <c r="B1716" s="6"/>
      <c r="C1716" s="6"/>
      <c r="D1716" s="6"/>
      <c r="E1716" s="233"/>
      <c r="F1716" s="6"/>
      <c r="G1716" s="6"/>
      <c r="H1716" s="6"/>
    </row>
    <row r="1717" spans="2:8" x14ac:dyDescent="0.3">
      <c r="B1717" s="6"/>
      <c r="C1717" s="6"/>
      <c r="D1717" s="6"/>
      <c r="E1717" s="233"/>
      <c r="F1717" s="6"/>
      <c r="G1717" s="6"/>
      <c r="H1717" s="6"/>
    </row>
    <row r="1718" spans="2:8" x14ac:dyDescent="0.3">
      <c r="B1718" s="6"/>
      <c r="C1718" s="6"/>
      <c r="D1718" s="6"/>
      <c r="E1718" s="233"/>
      <c r="F1718" s="6"/>
      <c r="G1718" s="6"/>
      <c r="H1718" s="6"/>
    </row>
    <row r="1719" spans="2:8" x14ac:dyDescent="0.3">
      <c r="B1719" s="6"/>
      <c r="C1719" s="6"/>
      <c r="D1719" s="6"/>
      <c r="E1719" s="233"/>
      <c r="F1719" s="6"/>
      <c r="G1719" s="6"/>
      <c r="H1719" s="6"/>
    </row>
    <row r="1720" spans="2:8" x14ac:dyDescent="0.3">
      <c r="B1720" s="6"/>
      <c r="C1720" s="6"/>
      <c r="D1720" s="6"/>
      <c r="E1720" s="233"/>
      <c r="F1720" s="6"/>
      <c r="G1720" s="6"/>
      <c r="H1720" s="6"/>
    </row>
    <row r="1721" spans="2:8" x14ac:dyDescent="0.3">
      <c r="B1721" s="6"/>
      <c r="C1721" s="6"/>
      <c r="D1721" s="6"/>
      <c r="E1721" s="233"/>
      <c r="F1721" s="6"/>
      <c r="G1721" s="6"/>
      <c r="H1721" s="6"/>
    </row>
    <row r="1722" spans="2:8" x14ac:dyDescent="0.3">
      <c r="B1722" s="6"/>
      <c r="C1722" s="6"/>
      <c r="D1722" s="6"/>
      <c r="E1722" s="233"/>
      <c r="F1722" s="6"/>
      <c r="G1722" s="6"/>
      <c r="H1722" s="6"/>
    </row>
    <row r="1723" spans="2:8" x14ac:dyDescent="0.3">
      <c r="B1723" s="6"/>
      <c r="C1723" s="6"/>
      <c r="D1723" s="6"/>
      <c r="E1723" s="233"/>
      <c r="F1723" s="6"/>
      <c r="G1723" s="6"/>
      <c r="H1723" s="6"/>
    </row>
    <row r="1724" spans="2:8" x14ac:dyDescent="0.3">
      <c r="B1724" s="6"/>
      <c r="C1724" s="6"/>
      <c r="D1724" s="6"/>
      <c r="E1724" s="233"/>
      <c r="F1724" s="6"/>
      <c r="G1724" s="6"/>
      <c r="H1724" s="6"/>
    </row>
    <row r="1725" spans="2:8" x14ac:dyDescent="0.3">
      <c r="B1725" s="6"/>
      <c r="C1725" s="6"/>
      <c r="D1725" s="6"/>
      <c r="E1725" s="233"/>
      <c r="F1725" s="6"/>
      <c r="G1725" s="6"/>
      <c r="H1725" s="6"/>
    </row>
    <row r="1726" spans="2:8" x14ac:dyDescent="0.3">
      <c r="B1726" s="6"/>
      <c r="C1726" s="6"/>
      <c r="D1726" s="6"/>
      <c r="E1726" s="233"/>
      <c r="F1726" s="6"/>
      <c r="G1726" s="6"/>
      <c r="H1726" s="6"/>
    </row>
    <row r="1727" spans="2:8" x14ac:dyDescent="0.3">
      <c r="B1727" s="6"/>
      <c r="C1727" s="6"/>
      <c r="D1727" s="6"/>
      <c r="E1727" s="233"/>
      <c r="F1727" s="6"/>
      <c r="G1727" s="6"/>
      <c r="H1727" s="6"/>
    </row>
    <row r="1728" spans="2:8" x14ac:dyDescent="0.3">
      <c r="B1728" s="6"/>
      <c r="C1728" s="6"/>
      <c r="D1728" s="6"/>
      <c r="E1728" s="233"/>
      <c r="F1728" s="6"/>
      <c r="G1728" s="6"/>
      <c r="H1728" s="6"/>
    </row>
    <row r="1729" spans="2:8" x14ac:dyDescent="0.3">
      <c r="B1729" s="6"/>
      <c r="C1729" s="6"/>
      <c r="D1729" s="6"/>
      <c r="E1729" s="233"/>
      <c r="F1729" s="6"/>
      <c r="G1729" s="6"/>
      <c r="H1729" s="6"/>
    </row>
    <row r="1730" spans="2:8" x14ac:dyDescent="0.3">
      <c r="B1730" s="6"/>
      <c r="C1730" s="6"/>
      <c r="D1730" s="6"/>
      <c r="E1730" s="233"/>
      <c r="F1730" s="6"/>
      <c r="G1730" s="6"/>
      <c r="H1730" s="6"/>
    </row>
    <row r="1731" spans="2:8" x14ac:dyDescent="0.3">
      <c r="B1731" s="6"/>
      <c r="C1731" s="6"/>
      <c r="D1731" s="6"/>
      <c r="E1731" s="233"/>
      <c r="F1731" s="6"/>
      <c r="G1731" s="6"/>
      <c r="H1731" s="6"/>
    </row>
    <row r="1732" spans="2:8" x14ac:dyDescent="0.3">
      <c r="B1732" s="6"/>
      <c r="C1732" s="6"/>
      <c r="D1732" s="6"/>
      <c r="E1732" s="233"/>
      <c r="F1732" s="6"/>
      <c r="G1732" s="6"/>
      <c r="H1732" s="6"/>
    </row>
    <row r="1733" spans="2:8" x14ac:dyDescent="0.3">
      <c r="B1733" s="6"/>
      <c r="C1733" s="6"/>
      <c r="D1733" s="6"/>
      <c r="E1733" s="233"/>
      <c r="F1733" s="6"/>
      <c r="G1733" s="6"/>
      <c r="H1733" s="6"/>
    </row>
    <row r="1734" spans="2:8" x14ac:dyDescent="0.3">
      <c r="B1734" s="6"/>
      <c r="C1734" s="6"/>
      <c r="D1734" s="6"/>
      <c r="E1734" s="233"/>
      <c r="F1734" s="6"/>
      <c r="G1734" s="6"/>
      <c r="H1734" s="6"/>
    </row>
    <row r="1735" spans="2:8" x14ac:dyDescent="0.3">
      <c r="B1735" s="6"/>
      <c r="C1735" s="6"/>
      <c r="D1735" s="6"/>
      <c r="E1735" s="233"/>
      <c r="F1735" s="6"/>
      <c r="G1735" s="6"/>
      <c r="H1735" s="6"/>
    </row>
    <row r="1736" spans="2:8" x14ac:dyDescent="0.3">
      <c r="B1736" s="6"/>
      <c r="C1736" s="6"/>
      <c r="D1736" s="6"/>
      <c r="E1736" s="233"/>
      <c r="F1736" s="6"/>
      <c r="G1736" s="6"/>
      <c r="H1736" s="6"/>
    </row>
    <row r="1737" spans="2:8" x14ac:dyDescent="0.3">
      <c r="B1737" s="6"/>
      <c r="C1737" s="6"/>
      <c r="D1737" s="6"/>
      <c r="E1737" s="233"/>
      <c r="F1737" s="6"/>
      <c r="G1737" s="6"/>
      <c r="H1737" s="6"/>
    </row>
    <row r="1738" spans="2:8" x14ac:dyDescent="0.3">
      <c r="B1738" s="6"/>
      <c r="C1738" s="6"/>
      <c r="D1738" s="6"/>
      <c r="E1738" s="233"/>
      <c r="F1738" s="6"/>
      <c r="G1738" s="6"/>
      <c r="H1738" s="6"/>
    </row>
    <row r="1739" spans="2:8" x14ac:dyDescent="0.3">
      <c r="B1739" s="6"/>
      <c r="C1739" s="6"/>
      <c r="D1739" s="6"/>
      <c r="E1739" s="233"/>
      <c r="F1739" s="6"/>
      <c r="G1739" s="6"/>
      <c r="H1739" s="6"/>
    </row>
    <row r="1740" spans="2:8" x14ac:dyDescent="0.3">
      <c r="B1740" s="6"/>
      <c r="C1740" s="6"/>
      <c r="D1740" s="6"/>
      <c r="E1740" s="233"/>
      <c r="F1740" s="6"/>
      <c r="G1740" s="6"/>
      <c r="H1740" s="6"/>
    </row>
    <row r="1741" spans="2:8" x14ac:dyDescent="0.3">
      <c r="B1741" s="6"/>
      <c r="C1741" s="6"/>
      <c r="D1741" s="6"/>
      <c r="E1741" s="233"/>
      <c r="F1741" s="6"/>
      <c r="G1741" s="6"/>
      <c r="H1741" s="6"/>
    </row>
    <row r="1742" spans="2:8" x14ac:dyDescent="0.3">
      <c r="B1742" s="6"/>
      <c r="C1742" s="6"/>
      <c r="D1742" s="6"/>
      <c r="E1742" s="233"/>
      <c r="F1742" s="6"/>
      <c r="G1742" s="6"/>
      <c r="H1742" s="6"/>
    </row>
    <row r="1743" spans="2:8" x14ac:dyDescent="0.3">
      <c r="B1743" s="6"/>
      <c r="C1743" s="6"/>
      <c r="D1743" s="6"/>
      <c r="E1743" s="233"/>
      <c r="F1743" s="6"/>
      <c r="G1743" s="6"/>
      <c r="H1743" s="6"/>
    </row>
    <row r="1744" spans="2:8" x14ac:dyDescent="0.3">
      <c r="B1744" s="6"/>
      <c r="C1744" s="6"/>
      <c r="D1744" s="6"/>
      <c r="E1744" s="233"/>
      <c r="F1744" s="6"/>
      <c r="G1744" s="6"/>
      <c r="H1744" s="6"/>
    </row>
  </sheetData>
  <mergeCells count="15">
    <mergeCell ref="C148:C156"/>
    <mergeCell ref="C130:C147"/>
    <mergeCell ref="T2:V2"/>
    <mergeCell ref="C52:C60"/>
    <mergeCell ref="C37:C48"/>
    <mergeCell ref="C67:C75"/>
    <mergeCell ref="C4:C15"/>
    <mergeCell ref="C16:C24"/>
    <mergeCell ref="C25:C36"/>
    <mergeCell ref="C61:C66"/>
    <mergeCell ref="C121:C129"/>
    <mergeCell ref="C88:C99"/>
    <mergeCell ref="C76:C87"/>
    <mergeCell ref="B2:H2"/>
    <mergeCell ref="C100:C120"/>
  </mergeCells>
  <phoneticPr fontId="91" type="noConversion"/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AJ179"/>
  <sheetViews>
    <sheetView zoomScale="98" zoomScaleNormal="70" workbookViewId="0">
      <pane ySplit="4" topLeftCell="A64" activePane="bottomLeft" state="frozen"/>
      <selection pane="bottomLeft" activeCell="E75" sqref="E75"/>
    </sheetView>
  </sheetViews>
  <sheetFormatPr defaultColWidth="8.77734375" defaultRowHeight="14.4" x14ac:dyDescent="0.3"/>
  <cols>
    <col min="1" max="3" width="8.77734375" style="1"/>
    <col min="4" max="4" width="11.5546875" style="12" bestFit="1" customWidth="1"/>
    <col min="5" max="5" width="11.33203125" style="12" bestFit="1" customWidth="1"/>
    <col min="6" max="6" width="10.33203125" style="12" bestFit="1" customWidth="1"/>
    <col min="7" max="7" width="17.44140625" style="1" bestFit="1" customWidth="1"/>
    <col min="8" max="8" width="52.44140625" style="437" customWidth="1"/>
    <col min="9" max="9" width="8.77734375" style="137"/>
    <col min="10" max="10" width="14.77734375" style="432" customWidth="1"/>
    <col min="11" max="11" width="17.886718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7" width="22.109375" style="1" customWidth="1"/>
    <col min="18" max="18" width="21.109375" style="1" customWidth="1"/>
    <col min="19" max="19" width="25.6640625" style="1" customWidth="1"/>
    <col min="20" max="20" width="37.5546875" style="1" customWidth="1"/>
    <col min="21" max="24" width="8.77734375" style="1"/>
    <col min="25" max="25" width="13" style="1" bestFit="1" customWidth="1"/>
    <col min="26" max="33" width="8.77734375" style="1"/>
    <col min="34" max="34" width="18.109375" style="1" bestFit="1" customWidth="1"/>
    <col min="35" max="35" width="18.6640625" style="1" bestFit="1" customWidth="1"/>
    <col min="36" max="36" width="14.5546875" style="1" bestFit="1" customWidth="1"/>
    <col min="37" max="16384" width="8.77734375" style="1"/>
  </cols>
  <sheetData>
    <row r="3" spans="1:36" x14ac:dyDescent="0.3">
      <c r="A3" s="1220" t="s">
        <v>63</v>
      </c>
      <c r="B3" s="1221"/>
      <c r="C3" s="1221"/>
      <c r="D3" s="1221"/>
      <c r="E3" s="1221"/>
      <c r="F3" s="1221"/>
      <c r="G3" s="1221"/>
      <c r="H3" s="1221"/>
      <c r="I3" s="1221"/>
      <c r="J3" s="1221"/>
      <c r="K3" s="1221"/>
      <c r="L3" s="1221"/>
    </row>
    <row r="4" spans="1:36" ht="28.8" x14ac:dyDescent="0.3">
      <c r="A4" s="1228" t="s">
        <v>0</v>
      </c>
      <c r="B4" s="1228"/>
      <c r="C4" s="899" t="s">
        <v>26</v>
      </c>
      <c r="D4" s="899" t="s">
        <v>1</v>
      </c>
      <c r="E4" s="899" t="s">
        <v>60</v>
      </c>
      <c r="F4" s="899" t="s">
        <v>61</v>
      </c>
      <c r="G4" s="899" t="s">
        <v>62</v>
      </c>
      <c r="H4" s="899" t="s">
        <v>64</v>
      </c>
      <c r="I4" s="899" t="s">
        <v>544</v>
      </c>
      <c r="J4" s="905" t="s">
        <v>596</v>
      </c>
      <c r="K4" s="899" t="s">
        <v>597</v>
      </c>
      <c r="L4" s="899" t="s">
        <v>625</v>
      </c>
      <c r="O4" s="15" t="s">
        <v>0</v>
      </c>
      <c r="P4" s="15" t="s">
        <v>65</v>
      </c>
      <c r="Q4" s="15" t="s">
        <v>66</v>
      </c>
      <c r="R4" s="15" t="s">
        <v>67</v>
      </c>
      <c r="S4" s="143" t="s">
        <v>298</v>
      </c>
      <c r="T4" s="131" t="s">
        <v>64</v>
      </c>
    </row>
    <row r="5" spans="1:36" ht="43.8" thickBot="1" x14ac:dyDescent="0.35">
      <c r="A5" s="1222">
        <v>46265</v>
      </c>
      <c r="B5" s="1223"/>
      <c r="C5" s="906" t="s">
        <v>12</v>
      </c>
      <c r="D5" s="900" t="s">
        <v>169</v>
      </c>
      <c r="E5" s="901">
        <v>6.9444444444444447E-4</v>
      </c>
      <c r="F5" s="738">
        <v>6.5972222222222224E-2</v>
      </c>
      <c r="G5" s="739">
        <f>(F5-E5)*1440</f>
        <v>94</v>
      </c>
      <c r="H5" s="902" t="s">
        <v>446</v>
      </c>
      <c r="I5" s="1232">
        <v>1</v>
      </c>
      <c r="J5" s="903">
        <f>(720-G5)/60</f>
        <v>10.433333333333334</v>
      </c>
      <c r="K5" s="904">
        <f>J5/12</f>
        <v>0.86944444444444446</v>
      </c>
      <c r="L5" s="1217">
        <f>SUM(J5:J6)/24</f>
        <v>0.93472222222222223</v>
      </c>
      <c r="O5" s="62">
        <v>46265</v>
      </c>
      <c r="P5" s="66">
        <f>SUM(G5:G6)</f>
        <v>94</v>
      </c>
      <c r="Q5" s="66">
        <f>(1440-P5)/60</f>
        <v>22.433333333333334</v>
      </c>
      <c r="R5" s="63">
        <f>Q5/24</f>
        <v>0.93472222222222223</v>
      </c>
      <c r="S5" s="39">
        <f t="shared" ref="S5:S14" si="0">P5/60</f>
        <v>1.5666666666666667</v>
      </c>
      <c r="T5" s="442" t="str">
        <f>H5</f>
        <v>Start Ball Mill 1 08:35, start ball mill 2 13:15, start ball mill 3 16:50, ball mill 1,2 dan 3 ada trouble kebocoran dan baud bermasalah</v>
      </c>
      <c r="V5" s="1" t="s">
        <v>12</v>
      </c>
    </row>
    <row r="6" spans="1:36" ht="61.2" customHeight="1" thickBot="1" x14ac:dyDescent="0.35">
      <c r="A6" s="1224">
        <v>46265</v>
      </c>
      <c r="B6" s="1225"/>
      <c r="C6" s="769" t="s">
        <v>13</v>
      </c>
      <c r="D6" s="592"/>
      <c r="E6" s="586"/>
      <c r="F6" s="501"/>
      <c r="G6" s="502">
        <f>(F6-E6)*1440</f>
        <v>0</v>
      </c>
      <c r="H6" s="587"/>
      <c r="I6" s="1232"/>
      <c r="J6" s="809">
        <f>(720-G6)/60</f>
        <v>12</v>
      </c>
      <c r="K6" s="812">
        <f t="shared" ref="K6:K8" si="1">J6/12</f>
        <v>1</v>
      </c>
      <c r="L6" s="1217"/>
      <c r="O6" s="62">
        <v>46266</v>
      </c>
      <c r="P6" s="66">
        <f>SUM(G7:G8)</f>
        <v>66</v>
      </c>
      <c r="Q6" s="66">
        <f>(1440-P6)/60</f>
        <v>22.9</v>
      </c>
      <c r="R6" s="63">
        <f>Q6/24</f>
        <v>0.95416666666666661</v>
      </c>
      <c r="S6" s="39">
        <f t="shared" si="0"/>
        <v>1.1000000000000001</v>
      </c>
      <c r="T6" s="360" t="str">
        <f>H8</f>
        <v>shift malam jam 20:59-21:40 stop thicekener tank bermasalah, jam 06:00-07:00 houskepping ball mill 3 meluap</v>
      </c>
      <c r="V6" s="1" t="s">
        <v>13</v>
      </c>
      <c r="AH6" s="951">
        <f>Q59</f>
        <v>438.86666666666662</v>
      </c>
      <c r="AI6" s="952">
        <f>S59</f>
        <v>245.46666666666667</v>
      </c>
      <c r="AJ6" s="953">
        <f>R59</f>
        <v>0.64130540672187042</v>
      </c>
    </row>
    <row r="7" spans="1:36" ht="44.4" customHeight="1" thickBot="1" x14ac:dyDescent="0.45">
      <c r="A7" s="1224">
        <v>46266</v>
      </c>
      <c r="B7" s="1225"/>
      <c r="C7" s="769" t="s">
        <v>12</v>
      </c>
      <c r="D7" s="592"/>
      <c r="E7" s="586"/>
      <c r="F7" s="501"/>
      <c r="G7" s="502">
        <f>(F7-E7)*1440</f>
        <v>0</v>
      </c>
      <c r="H7" s="587"/>
      <c r="I7" s="1232"/>
      <c r="J7" s="809">
        <f>(720-G7)/60</f>
        <v>12</v>
      </c>
      <c r="K7" s="812">
        <f t="shared" si="1"/>
        <v>1</v>
      </c>
      <c r="L7" s="1217">
        <f>SUM(J7:J8)/24</f>
        <v>0.95416666666666661</v>
      </c>
      <c r="O7" s="62">
        <v>46267</v>
      </c>
      <c r="P7" s="66">
        <f>SUM(G9:G10)</f>
        <v>120.00000000000001</v>
      </c>
      <c r="Q7" s="66">
        <f t="shared" ref="Q7:Q21" si="2">(1440-P7)/60</f>
        <v>22</v>
      </c>
      <c r="R7" s="63">
        <f t="shared" ref="R7:R58" si="3">Q7/24</f>
        <v>0.91666666666666663</v>
      </c>
      <c r="S7" s="39">
        <f t="shared" si="0"/>
        <v>2.0000000000000004</v>
      </c>
      <c r="T7" s="360" t="str">
        <f>H9</f>
        <v>Ball mill sampai jam 12 Cuma berjalan 1, housekepping material meluap dari ball mill 3 hingga jam 9</v>
      </c>
      <c r="AH7" s="950" t="s">
        <v>636</v>
      </c>
      <c r="AI7" s="950" t="s">
        <v>637</v>
      </c>
      <c r="AJ7" s="950" t="s">
        <v>638</v>
      </c>
    </row>
    <row r="8" spans="1:36" ht="54" customHeight="1" x14ac:dyDescent="0.3">
      <c r="A8" s="1224">
        <v>46266</v>
      </c>
      <c r="B8" s="1225"/>
      <c r="C8" s="769" t="s">
        <v>13</v>
      </c>
      <c r="D8" s="593" t="s">
        <v>169</v>
      </c>
      <c r="E8" s="501">
        <v>6.9444444444444447E-4</v>
      </c>
      <c r="F8" s="501">
        <v>4.6527777777777779E-2</v>
      </c>
      <c r="G8" s="502">
        <f t="shared" ref="G8:G45" si="4">(F8-E8)*1440</f>
        <v>66</v>
      </c>
      <c r="H8" s="588" t="s">
        <v>477</v>
      </c>
      <c r="I8" s="1233"/>
      <c r="J8" s="809">
        <f t="shared" ref="J8:J14" si="5">(720-G8)/60</f>
        <v>10.9</v>
      </c>
      <c r="K8" s="812">
        <f t="shared" si="1"/>
        <v>0.90833333333333333</v>
      </c>
      <c r="L8" s="1217"/>
      <c r="O8" s="62">
        <v>46268</v>
      </c>
      <c r="P8" s="66">
        <f>SUM(G11:G12)</f>
        <v>60.000000000000007</v>
      </c>
      <c r="Q8" s="66">
        <f t="shared" si="2"/>
        <v>23</v>
      </c>
      <c r="R8" s="63">
        <f t="shared" si="3"/>
        <v>0.95833333333333337</v>
      </c>
      <c r="S8" s="39">
        <f t="shared" si="0"/>
        <v>1.0000000000000002</v>
      </c>
      <c r="T8" s="360" t="str">
        <f>H12</f>
        <v>Stop ball mill jam 18:00 material finish pump ke tank 3, shift malam drain slurry tank 2</v>
      </c>
    </row>
    <row r="9" spans="1:36" ht="28.8" x14ac:dyDescent="0.3">
      <c r="A9" s="1226">
        <v>46267</v>
      </c>
      <c r="B9" s="1227"/>
      <c r="C9" s="826" t="s">
        <v>12</v>
      </c>
      <c r="D9" s="594" t="s">
        <v>222</v>
      </c>
      <c r="E9" s="498">
        <v>6.9444444444444447E-4</v>
      </c>
      <c r="F9" s="498">
        <v>8.4027777777777785E-2</v>
      </c>
      <c r="G9" s="499">
        <f t="shared" si="4"/>
        <v>120.00000000000001</v>
      </c>
      <c r="H9" s="939" t="s">
        <v>478</v>
      </c>
      <c r="I9" s="1229">
        <v>2</v>
      </c>
      <c r="J9" s="810">
        <f t="shared" si="5"/>
        <v>10</v>
      </c>
      <c r="K9" s="813">
        <f>J9/12</f>
        <v>0.83333333333333337</v>
      </c>
      <c r="L9" s="1215">
        <f>SUM(J9:J10)/24</f>
        <v>0.91666666666666663</v>
      </c>
      <c r="O9" s="62">
        <v>46269</v>
      </c>
      <c r="P9" s="66">
        <f>SUM(G13:G14)</f>
        <v>1440</v>
      </c>
      <c r="Q9" s="66">
        <f t="shared" si="2"/>
        <v>0</v>
      </c>
      <c r="R9" s="63">
        <f t="shared" si="3"/>
        <v>0</v>
      </c>
      <c r="S9" s="39">
        <f t="shared" si="0"/>
        <v>24</v>
      </c>
      <c r="T9" s="6" t="str">
        <f>H13</f>
        <v>drain slurry tank 2 dan 3, batch process 1 dan 2</v>
      </c>
    </row>
    <row r="10" spans="1:36" ht="61.8" customHeight="1" x14ac:dyDescent="0.3">
      <c r="A10" s="1226">
        <v>46267</v>
      </c>
      <c r="B10" s="1227"/>
      <c r="C10" s="826" t="s">
        <v>13</v>
      </c>
      <c r="D10" s="594"/>
      <c r="E10" s="498"/>
      <c r="F10" s="498"/>
      <c r="G10" s="499">
        <f t="shared" si="4"/>
        <v>0</v>
      </c>
      <c r="H10" s="589"/>
      <c r="I10" s="1230"/>
      <c r="J10" s="810">
        <f t="shared" si="5"/>
        <v>12</v>
      </c>
      <c r="K10" s="813">
        <f t="shared" ref="K10:K14" si="6">J10/12</f>
        <v>1</v>
      </c>
      <c r="L10" s="1215"/>
      <c r="O10" s="62">
        <v>46270</v>
      </c>
      <c r="P10" s="66">
        <f>SUM(G15:G16)</f>
        <v>780</v>
      </c>
      <c r="Q10" s="66">
        <f t="shared" si="2"/>
        <v>11</v>
      </c>
      <c r="R10" s="63">
        <f t="shared" si="3"/>
        <v>0.45833333333333331</v>
      </c>
      <c r="S10" s="39">
        <f t="shared" si="0"/>
        <v>13</v>
      </c>
      <c r="T10" s="360" t="str">
        <f>H16</f>
        <v xml:space="preserve">Drain Slurry tank 3, genset 600 dan 750 rusak, ball mill baru mulai shift malam, hanya 1 ball milll dikarenakan genset pakai 300 </v>
      </c>
    </row>
    <row r="11" spans="1:36" ht="14.4" customHeight="1" x14ac:dyDescent="0.3">
      <c r="A11" s="1226">
        <v>46268</v>
      </c>
      <c r="B11" s="1227"/>
      <c r="C11" s="826" t="s">
        <v>12</v>
      </c>
      <c r="D11" s="594"/>
      <c r="E11" s="498"/>
      <c r="F11" s="498"/>
      <c r="G11" s="499">
        <f t="shared" si="4"/>
        <v>0</v>
      </c>
      <c r="H11" s="589"/>
      <c r="I11" s="1230"/>
      <c r="J11" s="810">
        <f t="shared" si="5"/>
        <v>12</v>
      </c>
      <c r="K11" s="813">
        <f t="shared" si="6"/>
        <v>1</v>
      </c>
      <c r="L11" s="1215">
        <f>SUM(J11:J12)/24</f>
        <v>0.95833333333333337</v>
      </c>
      <c r="O11" s="62">
        <v>46271</v>
      </c>
      <c r="P11" s="66">
        <f>SUM(G17:G18)</f>
        <v>130</v>
      </c>
      <c r="Q11" s="66">
        <f t="shared" si="2"/>
        <v>21.833333333333332</v>
      </c>
      <c r="R11" s="63">
        <f t="shared" si="3"/>
        <v>0.90972222222222221</v>
      </c>
      <c r="S11" s="66">
        <f t="shared" si="0"/>
        <v>2.1666666666666665</v>
      </c>
      <c r="T11" s="6"/>
      <c r="AI11" s="136"/>
    </row>
    <row r="12" spans="1:36" ht="43.2" x14ac:dyDescent="0.3">
      <c r="A12" s="1226">
        <v>46268</v>
      </c>
      <c r="B12" s="1227"/>
      <c r="C12" s="826" t="s">
        <v>13</v>
      </c>
      <c r="D12" s="595" t="s">
        <v>169</v>
      </c>
      <c r="E12" s="498">
        <v>6.9444444444444447E-4</v>
      </c>
      <c r="F12" s="498">
        <v>4.2361111111111113E-2</v>
      </c>
      <c r="G12" s="499">
        <f t="shared" si="4"/>
        <v>60.000000000000007</v>
      </c>
      <c r="H12" s="589" t="s">
        <v>468</v>
      </c>
      <c r="I12" s="1230"/>
      <c r="J12" s="810">
        <f t="shared" si="5"/>
        <v>11</v>
      </c>
      <c r="K12" s="813">
        <f t="shared" si="6"/>
        <v>0.91666666666666663</v>
      </c>
      <c r="L12" s="1215"/>
      <c r="O12" s="62">
        <v>46272</v>
      </c>
      <c r="P12" s="66">
        <f>SUM(G19:G20)</f>
        <v>93</v>
      </c>
      <c r="Q12" s="66">
        <f t="shared" si="2"/>
        <v>22.45</v>
      </c>
      <c r="R12" s="63">
        <f t="shared" si="3"/>
        <v>0.93541666666666667</v>
      </c>
      <c r="S12" s="66">
        <f t="shared" si="0"/>
        <v>1.55</v>
      </c>
      <c r="T12" s="360" t="s">
        <v>525</v>
      </c>
      <c r="V12" s="10">
        <f>SUM(S17:S19)</f>
        <v>62</v>
      </c>
    </row>
    <row r="13" spans="1:36" ht="72" x14ac:dyDescent="0.3">
      <c r="A13" s="1226">
        <v>46269</v>
      </c>
      <c r="B13" s="1227"/>
      <c r="C13" s="826" t="s">
        <v>12</v>
      </c>
      <c r="D13" s="596" t="s">
        <v>222</v>
      </c>
      <c r="E13" s="590">
        <v>6.9444444444444447E-4</v>
      </c>
      <c r="F13" s="498">
        <v>0.50069444444444444</v>
      </c>
      <c r="G13" s="499">
        <f t="shared" si="4"/>
        <v>720</v>
      </c>
      <c r="H13" s="591" t="s">
        <v>476</v>
      </c>
      <c r="I13" s="1230"/>
      <c r="J13" s="810">
        <f t="shared" si="5"/>
        <v>0</v>
      </c>
      <c r="K13" s="813">
        <f t="shared" si="6"/>
        <v>0</v>
      </c>
      <c r="L13" s="1215">
        <f>SUM(J13:J14)/24</f>
        <v>0</v>
      </c>
      <c r="O13" s="62">
        <v>46273</v>
      </c>
      <c r="P13" s="66">
        <f>SUM(G21:G22)</f>
        <v>253</v>
      </c>
      <c r="Q13" s="66">
        <f>(1440-P13)/60</f>
        <v>19.783333333333335</v>
      </c>
      <c r="R13" s="63">
        <f t="shared" si="3"/>
        <v>0.82430555555555562</v>
      </c>
      <c r="S13" s="66">
        <f t="shared" si="0"/>
        <v>4.2166666666666668</v>
      </c>
      <c r="T13" s="360" t="str">
        <f>H20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36" ht="63.6" customHeight="1" x14ac:dyDescent="0.3">
      <c r="A14" s="1226">
        <v>46269</v>
      </c>
      <c r="B14" s="1227"/>
      <c r="C14" s="826" t="s">
        <v>13</v>
      </c>
      <c r="D14" s="834" t="s">
        <v>169</v>
      </c>
      <c r="E14" s="590">
        <v>6.9444444444444447E-4</v>
      </c>
      <c r="F14" s="498">
        <v>0.50069444444444444</v>
      </c>
      <c r="G14" s="499">
        <f t="shared" si="4"/>
        <v>720</v>
      </c>
      <c r="H14" s="835" t="s">
        <v>476</v>
      </c>
      <c r="I14" s="1231"/>
      <c r="J14" s="810">
        <f t="shared" si="5"/>
        <v>0</v>
      </c>
      <c r="K14" s="813">
        <f t="shared" si="6"/>
        <v>0</v>
      </c>
      <c r="L14" s="1215"/>
      <c r="O14" s="62">
        <v>46274</v>
      </c>
      <c r="P14" s="66">
        <f>SUM(G22:G23)</f>
        <v>693</v>
      </c>
      <c r="Q14" s="66">
        <f>(1440-P14)/60</f>
        <v>12.45</v>
      </c>
      <c r="R14" s="63">
        <f t="shared" si="3"/>
        <v>0.51874999999999993</v>
      </c>
      <c r="S14" s="66">
        <f t="shared" si="0"/>
        <v>11.55</v>
      </c>
      <c r="T14" s="360" t="s">
        <v>532</v>
      </c>
    </row>
    <row r="15" spans="1:36" ht="65.400000000000006" customHeight="1" x14ac:dyDescent="0.3">
      <c r="A15" s="1224">
        <v>46270</v>
      </c>
      <c r="B15" s="1225"/>
      <c r="C15" s="769" t="s">
        <v>12</v>
      </c>
      <c r="D15" s="783"/>
      <c r="E15" s="784">
        <v>6.9444444444444447E-4</v>
      </c>
      <c r="F15" s="501">
        <v>0.50069444444444444</v>
      </c>
      <c r="G15" s="502">
        <f t="shared" si="4"/>
        <v>720</v>
      </c>
      <c r="H15" s="785" t="s">
        <v>589</v>
      </c>
      <c r="I15" s="1244">
        <v>3</v>
      </c>
      <c r="J15" s="809">
        <f>(720-G15)/60</f>
        <v>0</v>
      </c>
      <c r="K15" s="812">
        <f>J15/12</f>
        <v>0</v>
      </c>
      <c r="L15" s="1217">
        <f>SUM(J15:J16)/24</f>
        <v>0.45833333333333331</v>
      </c>
      <c r="O15" s="62">
        <v>46275</v>
      </c>
      <c r="P15" s="66">
        <f>SUM(G25:G26)</f>
        <v>178</v>
      </c>
      <c r="Q15" s="66">
        <f t="shared" si="2"/>
        <v>21.033333333333335</v>
      </c>
      <c r="R15" s="63">
        <f t="shared" si="3"/>
        <v>0.87638888888888899</v>
      </c>
      <c r="S15" s="66">
        <f t="shared" ref="S15:S34" si="7">P15/60</f>
        <v>2.9666666666666668</v>
      </c>
      <c r="T15" s="360"/>
    </row>
    <row r="16" spans="1:36" ht="43.2" x14ac:dyDescent="0.3">
      <c r="A16" s="1224">
        <v>46270</v>
      </c>
      <c r="B16" s="1225"/>
      <c r="C16" s="769" t="s">
        <v>13</v>
      </c>
      <c r="D16" s="601" t="s">
        <v>169</v>
      </c>
      <c r="E16" s="501">
        <v>6.9444444444444447E-4</v>
      </c>
      <c r="F16" s="501">
        <v>4.2361111111111113E-2</v>
      </c>
      <c r="G16" s="502">
        <f>(F16-E16)*1440</f>
        <v>60.000000000000007</v>
      </c>
      <c r="H16" s="602" t="s">
        <v>488</v>
      </c>
      <c r="I16" s="1232"/>
      <c r="J16" s="809">
        <f t="shared" ref="J16:J19" si="8">(720-G16)/60</f>
        <v>11</v>
      </c>
      <c r="K16" s="812">
        <f t="shared" ref="K16:K19" si="9">J16/12</f>
        <v>0.91666666666666663</v>
      </c>
      <c r="L16" s="1217"/>
      <c r="O16" s="62">
        <v>46276</v>
      </c>
      <c r="P16" s="66">
        <f>SUM(G27:G28)</f>
        <v>661</v>
      </c>
      <c r="Q16" s="66">
        <f t="shared" si="2"/>
        <v>12.983333333333333</v>
      </c>
      <c r="R16" s="63">
        <f t="shared" si="3"/>
        <v>0.54097222222222219</v>
      </c>
      <c r="S16" s="66">
        <f t="shared" si="7"/>
        <v>11.016666666666667</v>
      </c>
      <c r="T16" s="6"/>
    </row>
    <row r="17" spans="1:20" x14ac:dyDescent="0.3">
      <c r="A17" s="1224">
        <v>46271</v>
      </c>
      <c r="B17" s="1225"/>
      <c r="C17" s="769" t="s">
        <v>12</v>
      </c>
      <c r="D17" s="603" t="s">
        <v>508</v>
      </c>
      <c r="E17" s="501">
        <v>6.9444444444444447E-4</v>
      </c>
      <c r="F17" s="501">
        <v>0.18124999999999999</v>
      </c>
      <c r="G17" s="502">
        <f>(F17-E17)*720</f>
        <v>130</v>
      </c>
      <c r="H17" s="604" t="s">
        <v>510</v>
      </c>
      <c r="I17" s="1232"/>
      <c r="J17" s="809">
        <f t="shared" si="8"/>
        <v>9.8333333333333339</v>
      </c>
      <c r="K17" s="812">
        <f t="shared" si="9"/>
        <v>0.81944444444444453</v>
      </c>
      <c r="L17" s="1217">
        <f>SUM(J17:J18)/24</f>
        <v>0.90972222222222232</v>
      </c>
      <c r="O17" s="62">
        <v>46277</v>
      </c>
      <c r="P17" s="66">
        <f>SUM(G29:G30)</f>
        <v>1440</v>
      </c>
      <c r="Q17" s="66">
        <f t="shared" si="2"/>
        <v>0</v>
      </c>
      <c r="R17" s="63">
        <f t="shared" si="3"/>
        <v>0</v>
      </c>
      <c r="S17" s="66">
        <f t="shared" si="7"/>
        <v>24</v>
      </c>
      <c r="T17" s="6"/>
    </row>
    <row r="18" spans="1:20" ht="28.8" x14ac:dyDescent="0.3">
      <c r="A18" s="1224">
        <v>46271</v>
      </c>
      <c r="B18" s="1225"/>
      <c r="C18" s="769" t="s">
        <v>13</v>
      </c>
      <c r="D18" s="603" t="s">
        <v>509</v>
      </c>
      <c r="E18" s="501"/>
      <c r="F18" s="501"/>
      <c r="G18" s="502">
        <f t="shared" si="4"/>
        <v>0</v>
      </c>
      <c r="H18" s="604" t="s">
        <v>517</v>
      </c>
      <c r="I18" s="1232"/>
      <c r="J18" s="809">
        <f t="shared" si="8"/>
        <v>12</v>
      </c>
      <c r="K18" s="812">
        <f t="shared" si="9"/>
        <v>1</v>
      </c>
      <c r="L18" s="1217"/>
      <c r="O18" s="62">
        <v>46278</v>
      </c>
      <c r="P18" s="66">
        <f>SUM(G31:G32)</f>
        <v>1440</v>
      </c>
      <c r="Q18" s="66">
        <f t="shared" si="2"/>
        <v>0</v>
      </c>
      <c r="R18" s="63">
        <f t="shared" si="3"/>
        <v>0</v>
      </c>
      <c r="S18" s="66">
        <f t="shared" si="7"/>
        <v>24</v>
      </c>
      <c r="T18" s="6"/>
    </row>
    <row r="19" spans="1:20" ht="28.8" x14ac:dyDescent="0.3">
      <c r="A19" s="1224">
        <v>46272</v>
      </c>
      <c r="B19" s="1225"/>
      <c r="C19" s="769" t="s">
        <v>12</v>
      </c>
      <c r="D19" s="605" t="s">
        <v>169</v>
      </c>
      <c r="E19" s="501">
        <v>6.9444444444444447E-4</v>
      </c>
      <c r="F19" s="501">
        <v>1.3888888888888888E-2</v>
      </c>
      <c r="G19" s="502">
        <f t="shared" si="4"/>
        <v>19</v>
      </c>
      <c r="H19" s="606" t="s">
        <v>526</v>
      </c>
      <c r="I19" s="1233"/>
      <c r="J19" s="809">
        <f t="shared" si="8"/>
        <v>11.683333333333334</v>
      </c>
      <c r="K19" s="812">
        <f t="shared" si="9"/>
        <v>0.97361111111111109</v>
      </c>
      <c r="L19" s="1218">
        <f>SUM(J19:J20)/24</f>
        <v>0.93541666666666679</v>
      </c>
      <c r="O19" s="62">
        <v>46279</v>
      </c>
      <c r="P19" s="66">
        <f>SUM(G33:G34)</f>
        <v>840</v>
      </c>
      <c r="Q19" s="66">
        <f t="shared" si="2"/>
        <v>10</v>
      </c>
      <c r="R19" s="63">
        <f t="shared" si="3"/>
        <v>0.41666666666666669</v>
      </c>
      <c r="S19" s="66">
        <f t="shared" si="7"/>
        <v>14</v>
      </c>
      <c r="T19" s="6"/>
    </row>
    <row r="20" spans="1:20" ht="57.6" x14ac:dyDescent="0.3">
      <c r="A20" s="1226">
        <v>46272</v>
      </c>
      <c r="B20" s="1227"/>
      <c r="C20" s="826" t="s">
        <v>13</v>
      </c>
      <c r="D20" s="607" t="s">
        <v>169</v>
      </c>
      <c r="E20" s="498">
        <v>6.9444444444444447E-4</v>
      </c>
      <c r="F20" s="498">
        <v>5.2083333333333336E-2</v>
      </c>
      <c r="G20" s="499">
        <f t="shared" si="4"/>
        <v>74</v>
      </c>
      <c r="H20" s="503" t="s">
        <v>527</v>
      </c>
      <c r="I20" s="1248">
        <v>4</v>
      </c>
      <c r="J20" s="810">
        <f>(720-G20)/60</f>
        <v>10.766666666666667</v>
      </c>
      <c r="K20" s="813">
        <f>J20/12</f>
        <v>0.89722222222222225</v>
      </c>
      <c r="L20" s="1218"/>
      <c r="O20" s="62">
        <v>46280</v>
      </c>
      <c r="P20" s="66">
        <f>SUM(G35:G36)</f>
        <v>0</v>
      </c>
      <c r="Q20" s="6">
        <f t="shared" si="2"/>
        <v>24</v>
      </c>
      <c r="R20" s="63">
        <f t="shared" si="3"/>
        <v>1</v>
      </c>
      <c r="S20" s="66">
        <f t="shared" si="7"/>
        <v>0</v>
      </c>
      <c r="T20" s="6"/>
    </row>
    <row r="21" spans="1:20" ht="72" x14ac:dyDescent="0.3">
      <c r="A21" s="1226">
        <v>46273</v>
      </c>
      <c r="B21" s="1227"/>
      <c r="C21" s="826" t="s">
        <v>12</v>
      </c>
      <c r="D21" s="607" t="s">
        <v>169</v>
      </c>
      <c r="E21" s="498">
        <v>6.9444444444444447E-4</v>
      </c>
      <c r="F21" s="498">
        <v>7.013888888888889E-2</v>
      </c>
      <c r="G21" s="499">
        <f>(F21-E21)*1440</f>
        <v>100</v>
      </c>
      <c r="H21" s="608" t="s">
        <v>520</v>
      </c>
      <c r="I21" s="1249"/>
      <c r="J21" s="810">
        <f t="shared" ref="J21:J23" si="10">(720-G21)/60</f>
        <v>10.333333333333334</v>
      </c>
      <c r="K21" s="813">
        <f t="shared" ref="K21:K23" si="11">J21/12</f>
        <v>0.86111111111111116</v>
      </c>
      <c r="L21" s="1215">
        <f>SUM(J21:J22)/24</f>
        <v>0.82430555555555551</v>
      </c>
      <c r="O21" s="62">
        <v>46281</v>
      </c>
      <c r="P21" s="66">
        <f>SUM(G37:G38)</f>
        <v>64</v>
      </c>
      <c r="Q21" s="66">
        <f t="shared" si="2"/>
        <v>22.933333333333334</v>
      </c>
      <c r="R21" s="63">
        <f t="shared" si="3"/>
        <v>0.9555555555555556</v>
      </c>
      <c r="S21" s="66">
        <f t="shared" si="7"/>
        <v>1.0666666666666667</v>
      </c>
      <c r="T21" s="6"/>
    </row>
    <row r="22" spans="1:20" ht="28.8" x14ac:dyDescent="0.3">
      <c r="A22" s="1226">
        <v>46273</v>
      </c>
      <c r="B22" s="1227"/>
      <c r="C22" s="826" t="s">
        <v>13</v>
      </c>
      <c r="D22" s="609" t="s">
        <v>524</v>
      </c>
      <c r="E22" s="498">
        <v>6.9444444444444447E-4</v>
      </c>
      <c r="F22" s="498">
        <v>0.10694444444444444</v>
      </c>
      <c r="G22" s="499">
        <f>(F22-E22)*1440</f>
        <v>153</v>
      </c>
      <c r="H22" s="503" t="s">
        <v>528</v>
      </c>
      <c r="I22" s="1249"/>
      <c r="J22" s="810">
        <f t="shared" si="10"/>
        <v>9.4499999999999993</v>
      </c>
      <c r="K22" s="813">
        <f t="shared" si="11"/>
        <v>0.78749999999999998</v>
      </c>
      <c r="L22" s="1215"/>
      <c r="O22" s="62">
        <v>46282</v>
      </c>
      <c r="P22" s="66">
        <f>SUM(G39:G40)</f>
        <v>0</v>
      </c>
      <c r="Q22" s="66">
        <f>(1440-P22)/60</f>
        <v>24</v>
      </c>
      <c r="R22" s="63">
        <f t="shared" si="3"/>
        <v>1</v>
      </c>
      <c r="S22" s="66">
        <f>P22/60</f>
        <v>0</v>
      </c>
      <c r="T22" s="6"/>
    </row>
    <row r="23" spans="1:20" ht="42.6" customHeight="1" x14ac:dyDescent="0.3">
      <c r="A23" s="1226">
        <v>46274</v>
      </c>
      <c r="B23" s="1227"/>
      <c r="C23" s="826" t="s">
        <v>12</v>
      </c>
      <c r="D23" s="598" t="s">
        <v>169</v>
      </c>
      <c r="E23" s="498">
        <v>6.9444444444444447E-4</v>
      </c>
      <c r="F23" s="498">
        <v>0.37569444444444444</v>
      </c>
      <c r="G23" s="499">
        <f t="shared" si="4"/>
        <v>540</v>
      </c>
      <c r="H23" s="503" t="s">
        <v>531</v>
      </c>
      <c r="I23" s="1250"/>
      <c r="J23" s="810">
        <f t="shared" si="10"/>
        <v>3</v>
      </c>
      <c r="K23" s="813">
        <f t="shared" si="11"/>
        <v>0.25</v>
      </c>
      <c r="L23" s="1215">
        <f>SUM(J23:J24)/24</f>
        <v>0.125</v>
      </c>
      <c r="O23" s="62">
        <v>46283</v>
      </c>
      <c r="P23" s="66">
        <f>SUM(G41:G42)</f>
        <v>175</v>
      </c>
      <c r="Q23" s="66">
        <f t="shared" ref="Q23:Q31" si="12">(1440-P23)/60</f>
        <v>21.083333333333332</v>
      </c>
      <c r="R23" s="63">
        <f t="shared" si="3"/>
        <v>0.87847222222222221</v>
      </c>
      <c r="S23" s="66">
        <f t="shared" si="7"/>
        <v>2.9166666666666665</v>
      </c>
      <c r="T23" s="6"/>
    </row>
    <row r="24" spans="1:20" x14ac:dyDescent="0.3">
      <c r="A24" s="1238">
        <v>46274</v>
      </c>
      <c r="B24" s="1239"/>
      <c r="C24" s="907" t="s">
        <v>13</v>
      </c>
      <c r="D24" s="597" t="s">
        <v>169</v>
      </c>
      <c r="E24" s="495">
        <v>6.9444444444444447E-4</v>
      </c>
      <c r="F24" s="495">
        <v>0.50069444444444444</v>
      </c>
      <c r="G24" s="496">
        <f t="shared" si="4"/>
        <v>720</v>
      </c>
      <c r="H24" s="454" t="s">
        <v>530</v>
      </c>
      <c r="I24" s="782"/>
      <c r="J24" s="418">
        <f>(720-G24)/60</f>
        <v>0</v>
      </c>
      <c r="K24" s="811">
        <f>J24/12</f>
        <v>0</v>
      </c>
      <c r="L24" s="1215"/>
      <c r="O24" s="62">
        <v>46284</v>
      </c>
      <c r="P24" s="66">
        <f>SUM(G43:G44)</f>
        <v>360</v>
      </c>
      <c r="Q24" s="66">
        <f t="shared" si="12"/>
        <v>18</v>
      </c>
      <c r="R24" s="63">
        <f t="shared" si="3"/>
        <v>0.75</v>
      </c>
      <c r="S24" s="66">
        <f t="shared" si="7"/>
        <v>6</v>
      </c>
      <c r="T24" s="6"/>
    </row>
    <row r="25" spans="1:20" ht="28.8" x14ac:dyDescent="0.3">
      <c r="A25" s="1224">
        <v>46275</v>
      </c>
      <c r="B25" s="1225"/>
      <c r="C25" s="769" t="s">
        <v>12</v>
      </c>
      <c r="D25" s="610" t="s">
        <v>169</v>
      </c>
      <c r="E25" s="501">
        <v>6.9444444444444447E-4</v>
      </c>
      <c r="F25" s="501">
        <v>6.0416666666666667E-2</v>
      </c>
      <c r="G25" s="502">
        <f t="shared" si="4"/>
        <v>86</v>
      </c>
      <c r="H25" s="606" t="s">
        <v>536</v>
      </c>
      <c r="I25" s="1202">
        <v>5</v>
      </c>
      <c r="J25" s="809">
        <f>(720-G25)/60</f>
        <v>10.566666666666666</v>
      </c>
      <c r="K25" s="812">
        <f>J25/12</f>
        <v>0.88055555555555554</v>
      </c>
      <c r="L25" s="1217">
        <f>SUM(J25:J26)/24</f>
        <v>0.87638888888888877</v>
      </c>
      <c r="O25" s="62">
        <v>46285</v>
      </c>
      <c r="P25" s="66">
        <f>SUM(G45:G46)</f>
        <v>1440</v>
      </c>
      <c r="Q25" s="66">
        <f t="shared" si="12"/>
        <v>0</v>
      </c>
      <c r="R25" s="63">
        <f t="shared" si="3"/>
        <v>0</v>
      </c>
      <c r="S25" s="66">
        <f t="shared" si="7"/>
        <v>24</v>
      </c>
      <c r="T25" s="6" t="s">
        <v>658</v>
      </c>
    </row>
    <row r="26" spans="1:20" ht="29.4" thickBot="1" x14ac:dyDescent="0.35">
      <c r="A26" s="1224">
        <v>46275</v>
      </c>
      <c r="B26" s="1225"/>
      <c r="C26" s="769" t="s">
        <v>13</v>
      </c>
      <c r="D26" s="611" t="s">
        <v>542</v>
      </c>
      <c r="E26" s="612">
        <v>6.9444444444444447E-4</v>
      </c>
      <c r="F26" s="612">
        <v>6.458333333333334E-2</v>
      </c>
      <c r="G26" s="482">
        <f t="shared" si="4"/>
        <v>92.000000000000014</v>
      </c>
      <c r="H26" s="634" t="s">
        <v>543</v>
      </c>
      <c r="I26" s="1203"/>
      <c r="J26" s="809">
        <f t="shared" ref="J26:J27" si="13">(720-G26)/60</f>
        <v>10.466666666666667</v>
      </c>
      <c r="K26" s="812">
        <f t="shared" ref="K26:K27" si="14">J26/12</f>
        <v>0.87222222222222223</v>
      </c>
      <c r="L26" s="1217"/>
      <c r="O26" s="62">
        <v>46286</v>
      </c>
      <c r="P26" s="66">
        <f>SUM(G47:G48)</f>
        <v>605</v>
      </c>
      <c r="Q26" s="66">
        <f t="shared" si="12"/>
        <v>13.916666666666666</v>
      </c>
      <c r="R26" s="63">
        <f t="shared" si="3"/>
        <v>0.57986111111111105</v>
      </c>
      <c r="S26" s="66">
        <f t="shared" si="7"/>
        <v>10.083333333333334</v>
      </c>
      <c r="T26" s="360" t="s">
        <v>692</v>
      </c>
    </row>
    <row r="27" spans="1:20" ht="58.2" thickBot="1" x14ac:dyDescent="0.35">
      <c r="A27" s="1224">
        <v>46276</v>
      </c>
      <c r="B27" s="1225"/>
      <c r="C27" s="769" t="s">
        <v>12</v>
      </c>
      <c r="D27" s="613" t="s">
        <v>169</v>
      </c>
      <c r="E27" s="501">
        <v>6.9444444444444447E-4</v>
      </c>
      <c r="F27" s="501">
        <v>4.3055555555555555E-2</v>
      </c>
      <c r="G27" s="633">
        <f>(F27-E27)*1440</f>
        <v>61</v>
      </c>
      <c r="H27" s="635" t="s">
        <v>546</v>
      </c>
      <c r="I27" s="1204"/>
      <c r="J27" s="809">
        <f t="shared" si="13"/>
        <v>10.983333333333333</v>
      </c>
      <c r="K27" s="812">
        <f t="shared" si="14"/>
        <v>0.91527777777777775</v>
      </c>
      <c r="L27" s="1218">
        <f>SUM(J27:J28)/24</f>
        <v>0.54097222222222219</v>
      </c>
      <c r="O27" s="62">
        <v>46287</v>
      </c>
      <c r="P27" s="66">
        <f>SUM(G49:G50)</f>
        <v>165</v>
      </c>
      <c r="Q27" s="66">
        <f t="shared" si="12"/>
        <v>21.25</v>
      </c>
      <c r="R27" s="63">
        <f t="shared" si="3"/>
        <v>0.88541666666666663</v>
      </c>
      <c r="S27" s="66">
        <f t="shared" si="7"/>
        <v>2.75</v>
      </c>
      <c r="T27" s="6"/>
    </row>
    <row r="28" spans="1:20" ht="72.599999999999994" thickBot="1" x14ac:dyDescent="0.35">
      <c r="A28" s="1240">
        <v>46276</v>
      </c>
      <c r="B28" s="1241"/>
      <c r="C28" s="826" t="s">
        <v>13</v>
      </c>
      <c r="D28" s="625" t="s">
        <v>169</v>
      </c>
      <c r="E28" s="626">
        <v>6.9444444444444447E-4</v>
      </c>
      <c r="F28" s="626">
        <v>0.41736111111111113</v>
      </c>
      <c r="G28" s="636">
        <f t="shared" si="4"/>
        <v>600</v>
      </c>
      <c r="H28" s="640" t="s">
        <v>555</v>
      </c>
      <c r="I28" s="1245">
        <v>6</v>
      </c>
      <c r="J28" s="810">
        <f>(720-G28)/60</f>
        <v>2</v>
      </c>
      <c r="K28" s="813">
        <f>J28/12</f>
        <v>0.16666666666666666</v>
      </c>
      <c r="L28" s="1218"/>
      <c r="O28" s="62">
        <v>46288</v>
      </c>
      <c r="P28" s="66">
        <f>SUM(G51:G52)</f>
        <v>270</v>
      </c>
      <c r="Q28" s="66">
        <f t="shared" si="12"/>
        <v>19.5</v>
      </c>
      <c r="R28" s="63">
        <f t="shared" si="3"/>
        <v>0.8125</v>
      </c>
      <c r="S28" s="66">
        <f t="shared" si="7"/>
        <v>4.5</v>
      </c>
      <c r="T28" s="6"/>
    </row>
    <row r="29" spans="1:20" ht="29.4" thickBot="1" x14ac:dyDescent="0.35">
      <c r="A29" s="1251">
        <v>46277</v>
      </c>
      <c r="B29" s="1252"/>
      <c r="C29" s="826" t="s">
        <v>12</v>
      </c>
      <c r="D29" s="629" t="s">
        <v>169</v>
      </c>
      <c r="E29" s="630">
        <v>6.9444444444444447E-4</v>
      </c>
      <c r="F29" s="630">
        <v>0.50069444444444444</v>
      </c>
      <c r="G29" s="631">
        <f t="shared" si="4"/>
        <v>720</v>
      </c>
      <c r="H29" s="632" t="s">
        <v>545</v>
      </c>
      <c r="I29" s="1246"/>
      <c r="J29" s="810">
        <f t="shared" ref="J29:J33" si="15">(720-G29)/60</f>
        <v>0</v>
      </c>
      <c r="K29" s="813">
        <f t="shared" ref="K29:K33" si="16">J29/12</f>
        <v>0</v>
      </c>
      <c r="L29" s="1215">
        <f>SUM(J29:J30)/24</f>
        <v>0</v>
      </c>
      <c r="O29" s="62">
        <v>46289</v>
      </c>
      <c r="P29" s="66">
        <f>SUM(G53:G54)</f>
        <v>0</v>
      </c>
      <c r="Q29" s="66">
        <f t="shared" si="12"/>
        <v>24</v>
      </c>
      <c r="R29" s="63">
        <f t="shared" si="3"/>
        <v>1</v>
      </c>
      <c r="S29" s="66">
        <f t="shared" si="7"/>
        <v>0</v>
      </c>
      <c r="T29" s="6"/>
    </row>
    <row r="30" spans="1:20" ht="28.8" x14ac:dyDescent="0.3">
      <c r="A30" s="1253">
        <v>46277</v>
      </c>
      <c r="B30" s="1254"/>
      <c r="C30" s="826" t="s">
        <v>13</v>
      </c>
      <c r="D30" s="627" t="s">
        <v>169</v>
      </c>
      <c r="E30" s="628">
        <v>6.9444444444444447E-4</v>
      </c>
      <c r="F30" s="628">
        <v>0.50069444444444444</v>
      </c>
      <c r="G30" s="624">
        <f t="shared" si="4"/>
        <v>720</v>
      </c>
      <c r="H30" s="641" t="s">
        <v>556</v>
      </c>
      <c r="I30" s="1246"/>
      <c r="J30" s="810">
        <f t="shared" si="15"/>
        <v>0</v>
      </c>
      <c r="K30" s="813">
        <f t="shared" si="16"/>
        <v>0</v>
      </c>
      <c r="L30" s="1215"/>
      <c r="O30" s="62">
        <v>46290</v>
      </c>
      <c r="P30" s="66">
        <f>SUM(G55:G56)</f>
        <v>881</v>
      </c>
      <c r="Q30" s="66">
        <f t="shared" si="12"/>
        <v>9.3166666666666664</v>
      </c>
      <c r="R30" s="63">
        <f t="shared" si="3"/>
        <v>0.38819444444444445</v>
      </c>
      <c r="S30" s="66">
        <f t="shared" si="7"/>
        <v>14.683333333333334</v>
      </c>
      <c r="T30" s="6"/>
    </row>
    <row r="31" spans="1:20" ht="15" thickBot="1" x14ac:dyDescent="0.35">
      <c r="A31" s="1240">
        <v>46278</v>
      </c>
      <c r="B31" s="1241"/>
      <c r="C31" s="826" t="s">
        <v>12</v>
      </c>
      <c r="D31" s="757" t="s">
        <v>222</v>
      </c>
      <c r="E31" s="626">
        <v>6.9444444444444447E-4</v>
      </c>
      <c r="F31" s="626">
        <v>0.50069444444444444</v>
      </c>
      <c r="G31" s="728">
        <f t="shared" si="4"/>
        <v>720</v>
      </c>
      <c r="H31" s="729" t="s">
        <v>557</v>
      </c>
      <c r="I31" s="1246"/>
      <c r="J31" s="810">
        <f t="shared" si="15"/>
        <v>0</v>
      </c>
      <c r="K31" s="813">
        <f t="shared" si="16"/>
        <v>0</v>
      </c>
      <c r="L31" s="1215">
        <f>SUM(J31:J32)/24</f>
        <v>0</v>
      </c>
      <c r="O31" s="62">
        <v>46291</v>
      </c>
      <c r="P31" s="66">
        <f>SUM(G57:G58)</f>
        <v>1440</v>
      </c>
      <c r="Q31" s="66">
        <f t="shared" si="12"/>
        <v>0</v>
      </c>
      <c r="R31" s="63">
        <f t="shared" si="3"/>
        <v>0</v>
      </c>
      <c r="S31" s="66">
        <f t="shared" si="7"/>
        <v>24</v>
      </c>
      <c r="T31" s="6"/>
    </row>
    <row r="32" spans="1:20" x14ac:dyDescent="0.3">
      <c r="A32" s="1256">
        <v>46278</v>
      </c>
      <c r="B32" s="1257"/>
      <c r="C32" s="826" t="s">
        <v>13</v>
      </c>
      <c r="D32" s="758" t="s">
        <v>169</v>
      </c>
      <c r="E32" s="731">
        <v>6.9444444444444447E-4</v>
      </c>
      <c r="F32" s="731">
        <v>0.50069444444444444</v>
      </c>
      <c r="G32" s="732">
        <f t="shared" si="4"/>
        <v>720</v>
      </c>
      <c r="H32" s="733"/>
      <c r="I32" s="1246"/>
      <c r="J32" s="810">
        <f t="shared" si="15"/>
        <v>0</v>
      </c>
      <c r="K32" s="813">
        <f t="shared" si="16"/>
        <v>0</v>
      </c>
      <c r="L32" s="1215"/>
      <c r="O32" s="62">
        <v>46292</v>
      </c>
      <c r="P32" s="66">
        <f>SUM(G59:G60)</f>
        <v>300</v>
      </c>
      <c r="Q32" s="66">
        <f t="shared" ref="Q32" si="17">(1440-P32)/60</f>
        <v>19</v>
      </c>
      <c r="R32" s="63">
        <f t="shared" ref="R32" si="18">Q32/24</f>
        <v>0.79166666666666663</v>
      </c>
      <c r="S32" s="66">
        <f t="shared" ref="S32" si="19">P32/60</f>
        <v>5</v>
      </c>
      <c r="T32" s="6"/>
    </row>
    <row r="33" spans="1:20" ht="15" thickBot="1" x14ac:dyDescent="0.35">
      <c r="A33" s="1242">
        <v>46279</v>
      </c>
      <c r="B33" s="1243"/>
      <c r="C33" s="826" t="s">
        <v>12</v>
      </c>
      <c r="D33" s="734" t="s">
        <v>169</v>
      </c>
      <c r="E33" s="735">
        <v>6.9444444444444447E-4</v>
      </c>
      <c r="F33" s="735">
        <v>0.50069444444444444</v>
      </c>
      <c r="G33" s="736">
        <f t="shared" si="4"/>
        <v>720</v>
      </c>
      <c r="H33" s="737"/>
      <c r="I33" s="1247"/>
      <c r="J33" s="810">
        <f t="shared" si="15"/>
        <v>0</v>
      </c>
      <c r="K33" s="813">
        <f t="shared" si="16"/>
        <v>0</v>
      </c>
      <c r="L33" s="1218">
        <f>SUM(J33:J34)/24</f>
        <v>0.41666666666666669</v>
      </c>
      <c r="O33" s="62">
        <v>46293</v>
      </c>
      <c r="P33" s="66">
        <f>SUM(G61:G62)</f>
        <v>0</v>
      </c>
      <c r="Q33" s="66"/>
      <c r="R33" s="63">
        <f t="shared" si="3"/>
        <v>0</v>
      </c>
      <c r="S33" s="66">
        <f t="shared" si="7"/>
        <v>0</v>
      </c>
      <c r="T33" s="6"/>
    </row>
    <row r="34" spans="1:20" x14ac:dyDescent="0.3">
      <c r="A34" s="1222">
        <v>46279</v>
      </c>
      <c r="B34" s="1223"/>
      <c r="C34" s="769" t="s">
        <v>13</v>
      </c>
      <c r="D34" s="740" t="s">
        <v>584</v>
      </c>
      <c r="E34" s="738">
        <v>6.9444444444444447E-4</v>
      </c>
      <c r="F34" s="738">
        <v>8.4027777777777785E-2</v>
      </c>
      <c r="G34" s="739">
        <f t="shared" si="4"/>
        <v>120.00000000000001</v>
      </c>
      <c r="H34" s="759" t="s">
        <v>585</v>
      </c>
      <c r="I34" s="1261">
        <v>7</v>
      </c>
      <c r="J34" s="809">
        <f>(720-G34)/60</f>
        <v>10</v>
      </c>
      <c r="K34" s="812">
        <f>J34/12</f>
        <v>0.83333333333333337</v>
      </c>
      <c r="L34" s="1218"/>
      <c r="O34" s="62">
        <v>46294</v>
      </c>
      <c r="P34" s="66">
        <f>SUM(G63:G64)</f>
        <v>740</v>
      </c>
      <c r="Q34" s="66"/>
      <c r="R34" s="63">
        <f t="shared" si="3"/>
        <v>0</v>
      </c>
      <c r="S34" s="66">
        <f t="shared" si="7"/>
        <v>12.333333333333334</v>
      </c>
      <c r="T34" s="6"/>
    </row>
    <row r="35" spans="1:20" ht="36.6" customHeight="1" x14ac:dyDescent="0.3">
      <c r="A35" s="1224">
        <v>46280</v>
      </c>
      <c r="B35" s="1225"/>
      <c r="C35" s="769" t="s">
        <v>12</v>
      </c>
      <c r="D35" s="814" t="s">
        <v>524</v>
      </c>
      <c r="E35" s="501"/>
      <c r="F35" s="501"/>
      <c r="G35" s="502">
        <f t="shared" si="4"/>
        <v>0</v>
      </c>
      <c r="H35" s="815" t="s">
        <v>591</v>
      </c>
      <c r="I35" s="1232"/>
      <c r="J35" s="809">
        <f t="shared" ref="J35:J36" si="20">(720-G35)/60</f>
        <v>12</v>
      </c>
      <c r="K35" s="812">
        <f t="shared" ref="K35:K36" si="21">J35/12</f>
        <v>1</v>
      </c>
      <c r="L35" s="1217">
        <f>SUM(J35:J36)/24</f>
        <v>1</v>
      </c>
      <c r="O35" s="62">
        <v>46295</v>
      </c>
      <c r="P35" s="66">
        <f>SUM(G65:G66)</f>
        <v>1440</v>
      </c>
      <c r="Q35" s="66"/>
      <c r="R35" s="63">
        <f t="shared" si="3"/>
        <v>0</v>
      </c>
      <c r="S35" s="6"/>
      <c r="T35" s="6"/>
    </row>
    <row r="36" spans="1:20" ht="28.8" x14ac:dyDescent="0.3">
      <c r="A36" s="1224">
        <v>46280</v>
      </c>
      <c r="B36" s="1225"/>
      <c r="C36" s="769" t="s">
        <v>13</v>
      </c>
      <c r="D36" s="828" t="s">
        <v>584</v>
      </c>
      <c r="E36" s="501"/>
      <c r="F36" s="501"/>
      <c r="G36" s="502">
        <f t="shared" si="4"/>
        <v>0</v>
      </c>
      <c r="H36" s="833" t="s">
        <v>595</v>
      </c>
      <c r="I36" s="1233"/>
      <c r="J36" s="809">
        <f t="shared" si="20"/>
        <v>12</v>
      </c>
      <c r="K36" s="812">
        <f t="shared" si="21"/>
        <v>1</v>
      </c>
      <c r="L36" s="1217"/>
      <c r="O36" s="62">
        <v>46296</v>
      </c>
      <c r="P36" s="66">
        <f>SUM(G67:G68)</f>
        <v>1440</v>
      </c>
      <c r="Q36" s="66"/>
      <c r="R36" s="63">
        <f t="shared" si="3"/>
        <v>0</v>
      </c>
      <c r="S36" s="6"/>
      <c r="T36" s="6"/>
    </row>
    <row r="37" spans="1:20" ht="14.4" customHeight="1" x14ac:dyDescent="0.3">
      <c r="A37" s="1226">
        <v>46281</v>
      </c>
      <c r="B37" s="1227"/>
      <c r="C37" s="826" t="s">
        <v>12</v>
      </c>
      <c r="D37" s="830" t="s">
        <v>524</v>
      </c>
      <c r="E37" s="829"/>
      <c r="F37" s="829"/>
      <c r="G37" s="499">
        <f t="shared" si="4"/>
        <v>0</v>
      </c>
      <c r="H37" s="831" t="s">
        <v>593</v>
      </c>
      <c r="I37" s="1212">
        <v>8</v>
      </c>
      <c r="J37" s="810">
        <f>(720-G37)/60</f>
        <v>12</v>
      </c>
      <c r="K37" s="813">
        <f>J37/12</f>
        <v>1</v>
      </c>
      <c r="L37" s="1215">
        <f>SUM(J37:J38)/24</f>
        <v>0.9555555555555556</v>
      </c>
      <c r="O37" s="62">
        <v>46297</v>
      </c>
      <c r="P37" s="66">
        <f>SUM(G69:G70)</f>
        <v>1440</v>
      </c>
      <c r="Q37" s="66"/>
      <c r="R37" s="63">
        <f t="shared" si="3"/>
        <v>0</v>
      </c>
      <c r="S37" s="6"/>
      <c r="T37" s="6"/>
    </row>
    <row r="38" spans="1:20" ht="26.4" customHeight="1" x14ac:dyDescent="0.3">
      <c r="A38" s="1226">
        <v>46281</v>
      </c>
      <c r="B38" s="1227"/>
      <c r="C38" s="826" t="s">
        <v>13</v>
      </c>
      <c r="D38" s="839" t="s">
        <v>598</v>
      </c>
      <c r="E38" s="829">
        <v>6.9444444444444447E-4</v>
      </c>
      <c r="F38" s="829">
        <v>4.5138888888888888E-2</v>
      </c>
      <c r="G38" s="499">
        <f t="shared" si="4"/>
        <v>64</v>
      </c>
      <c r="H38" s="840" t="s">
        <v>600</v>
      </c>
      <c r="I38" s="1213"/>
      <c r="J38" s="810">
        <f t="shared" ref="J38:J69" si="22">(720-G38)/60</f>
        <v>10.933333333333334</v>
      </c>
      <c r="K38" s="813">
        <f t="shared" ref="K38:K69" si="23">J38/12</f>
        <v>0.91111111111111109</v>
      </c>
      <c r="L38" s="1215"/>
      <c r="O38" s="62">
        <v>46298</v>
      </c>
      <c r="P38" s="66">
        <f>SUM(G73:G74)</f>
        <v>10</v>
      </c>
      <c r="Q38" s="66"/>
      <c r="R38" s="63">
        <f t="shared" si="3"/>
        <v>0</v>
      </c>
      <c r="S38" s="6"/>
      <c r="T38" s="6"/>
    </row>
    <row r="39" spans="1:20" ht="43.2" customHeight="1" x14ac:dyDescent="0.3">
      <c r="A39" s="1226">
        <v>46282</v>
      </c>
      <c r="B39" s="1227"/>
      <c r="C39" s="497" t="s">
        <v>12</v>
      </c>
      <c r="D39" s="922" t="s">
        <v>628</v>
      </c>
      <c r="E39" s="829"/>
      <c r="F39" s="829"/>
      <c r="G39" s="499">
        <f t="shared" si="4"/>
        <v>0</v>
      </c>
      <c r="H39" s="923" t="s">
        <v>629</v>
      </c>
      <c r="I39" s="1213"/>
      <c r="J39" s="810">
        <f t="shared" si="22"/>
        <v>12</v>
      </c>
      <c r="K39" s="813">
        <f t="shared" si="23"/>
        <v>1</v>
      </c>
      <c r="L39" s="1215">
        <f>SUM(J39:J40)/24</f>
        <v>1</v>
      </c>
      <c r="O39" s="62">
        <v>46299</v>
      </c>
      <c r="P39" s="66"/>
      <c r="Q39" s="66"/>
      <c r="R39" s="63">
        <f t="shared" si="3"/>
        <v>0</v>
      </c>
      <c r="S39" s="6"/>
      <c r="T39" s="6"/>
    </row>
    <row r="40" spans="1:20" ht="32.4" customHeight="1" x14ac:dyDescent="0.3">
      <c r="A40" s="1234">
        <v>46282</v>
      </c>
      <c r="B40" s="1235"/>
      <c r="C40" s="910" t="s">
        <v>13</v>
      </c>
      <c r="D40" s="944" t="s">
        <v>598</v>
      </c>
      <c r="E40" s="940"/>
      <c r="F40" s="940"/>
      <c r="G40" s="941">
        <f t="shared" si="4"/>
        <v>0</v>
      </c>
      <c r="H40" s="945" t="s">
        <v>635</v>
      </c>
      <c r="I40" s="1214"/>
      <c r="J40" s="942">
        <f t="shared" si="22"/>
        <v>12</v>
      </c>
      <c r="K40" s="943">
        <f t="shared" si="23"/>
        <v>1</v>
      </c>
      <c r="L40" s="1215"/>
      <c r="O40" s="62">
        <v>46300</v>
      </c>
      <c r="P40" s="66"/>
      <c r="Q40" s="66"/>
      <c r="R40" s="63">
        <f t="shared" si="3"/>
        <v>0</v>
      </c>
      <c r="S40" s="6"/>
      <c r="T40" s="6"/>
    </row>
    <row r="41" spans="1:20" ht="28.8" x14ac:dyDescent="0.3">
      <c r="A41" s="1236">
        <v>46283</v>
      </c>
      <c r="B41" s="1237"/>
      <c r="C41" s="969" t="s">
        <v>12</v>
      </c>
      <c r="D41" s="993" t="s">
        <v>542</v>
      </c>
      <c r="E41" s="994">
        <v>6.9444444444444447E-4</v>
      </c>
      <c r="F41" s="994">
        <v>0.12222222222222222</v>
      </c>
      <c r="G41" s="995">
        <f t="shared" si="4"/>
        <v>175</v>
      </c>
      <c r="H41" s="996" t="s">
        <v>648</v>
      </c>
      <c r="I41" s="1209">
        <v>9</v>
      </c>
      <c r="J41" s="997">
        <f t="shared" si="22"/>
        <v>9.0833333333333339</v>
      </c>
      <c r="K41" s="998">
        <f t="shared" si="23"/>
        <v>0.75694444444444453</v>
      </c>
      <c r="L41" s="1205">
        <f>SUM(J41:J42)/24</f>
        <v>0.87847222222222232</v>
      </c>
      <c r="O41" s="62">
        <v>46301</v>
      </c>
      <c r="P41" s="66"/>
      <c r="Q41" s="66"/>
      <c r="R41" s="63">
        <f t="shared" si="3"/>
        <v>0</v>
      </c>
      <c r="S41" s="6"/>
      <c r="T41" s="6"/>
    </row>
    <row r="42" spans="1:20" x14ac:dyDescent="0.3">
      <c r="A42" s="1236">
        <v>46283</v>
      </c>
      <c r="B42" s="1237"/>
      <c r="C42" s="969" t="s">
        <v>13</v>
      </c>
      <c r="D42" s="999" t="s">
        <v>649</v>
      </c>
      <c r="E42" s="994">
        <v>6.9444444444444447E-4</v>
      </c>
      <c r="F42" s="994">
        <v>6.9444444444444447E-4</v>
      </c>
      <c r="G42" s="995">
        <f t="shared" si="4"/>
        <v>0</v>
      </c>
      <c r="H42" s="1024" t="s">
        <v>650</v>
      </c>
      <c r="I42" s="1210"/>
      <c r="J42" s="997">
        <f t="shared" si="22"/>
        <v>12</v>
      </c>
      <c r="K42" s="998">
        <f t="shared" si="23"/>
        <v>1</v>
      </c>
      <c r="L42" s="1205"/>
      <c r="O42" s="62">
        <v>46302</v>
      </c>
      <c r="P42" s="66"/>
      <c r="Q42" s="66"/>
      <c r="R42" s="63">
        <f t="shared" si="3"/>
        <v>0</v>
      </c>
      <c r="S42" s="6"/>
      <c r="T42" s="6"/>
    </row>
    <row r="43" spans="1:20" x14ac:dyDescent="0.3">
      <c r="A43" s="1236">
        <v>46284</v>
      </c>
      <c r="B43" s="1237"/>
      <c r="C43" s="969" t="s">
        <v>12</v>
      </c>
      <c r="D43" s="1025" t="s">
        <v>509</v>
      </c>
      <c r="E43" s="994">
        <v>6.9444444444444447E-4</v>
      </c>
      <c r="F43" s="994">
        <v>6.9444444444444447E-4</v>
      </c>
      <c r="G43" s="995">
        <f t="shared" si="4"/>
        <v>0</v>
      </c>
      <c r="H43" s="1000" t="s">
        <v>650</v>
      </c>
      <c r="I43" s="1210"/>
      <c r="J43" s="997">
        <f t="shared" si="22"/>
        <v>12</v>
      </c>
      <c r="K43" s="998">
        <f t="shared" si="23"/>
        <v>1</v>
      </c>
      <c r="L43" s="1205">
        <f>SUM(J43:J44)/24</f>
        <v>0.75</v>
      </c>
      <c r="O43" s="62">
        <v>46303</v>
      </c>
      <c r="P43" s="66"/>
      <c r="Q43" s="66"/>
      <c r="R43" s="63">
        <f t="shared" si="3"/>
        <v>0</v>
      </c>
      <c r="S43" s="6"/>
      <c r="T43" s="6"/>
    </row>
    <row r="44" spans="1:20" ht="28.8" x14ac:dyDescent="0.3">
      <c r="A44" s="1236">
        <v>46284</v>
      </c>
      <c r="B44" s="1237"/>
      <c r="C44" s="969" t="s">
        <v>13</v>
      </c>
      <c r="D44" s="1025" t="s">
        <v>652</v>
      </c>
      <c r="E44" s="994">
        <v>6.9444444444444447E-4</v>
      </c>
      <c r="F44" s="994">
        <v>0.25069444444444444</v>
      </c>
      <c r="G44" s="995">
        <f t="shared" si="4"/>
        <v>360</v>
      </c>
      <c r="H44" s="1024" t="s">
        <v>651</v>
      </c>
      <c r="I44" s="1211"/>
      <c r="J44" s="997">
        <f t="shared" si="22"/>
        <v>6</v>
      </c>
      <c r="K44" s="998">
        <f t="shared" si="23"/>
        <v>0.5</v>
      </c>
      <c r="L44" s="1205"/>
      <c r="O44" s="62">
        <v>46304</v>
      </c>
      <c r="P44" s="66"/>
      <c r="Q44" s="66"/>
      <c r="R44" s="63">
        <f t="shared" si="3"/>
        <v>0</v>
      </c>
      <c r="S44" s="6"/>
      <c r="T44" s="6"/>
    </row>
    <row r="45" spans="1:20" ht="28.8" x14ac:dyDescent="0.3">
      <c r="A45" s="1234">
        <v>46285</v>
      </c>
      <c r="B45" s="1235"/>
      <c r="C45" s="910" t="s">
        <v>12</v>
      </c>
      <c r="D45" s="1031" t="s">
        <v>169</v>
      </c>
      <c r="E45" s="940">
        <v>6.9444444444444447E-4</v>
      </c>
      <c r="F45" s="940">
        <v>0.50069444444444444</v>
      </c>
      <c r="G45" s="941">
        <f t="shared" si="4"/>
        <v>720</v>
      </c>
      <c r="H45" s="1032" t="s">
        <v>654</v>
      </c>
      <c r="I45" s="1258">
        <v>10</v>
      </c>
      <c r="J45" s="942">
        <f t="shared" si="22"/>
        <v>0</v>
      </c>
      <c r="K45" s="943">
        <f t="shared" si="23"/>
        <v>0</v>
      </c>
      <c r="L45" s="1219">
        <f t="shared" ref="L45" si="24">SUM(J45:J46)/24</f>
        <v>0</v>
      </c>
      <c r="O45" s="62">
        <v>46305</v>
      </c>
      <c r="P45" s="66"/>
      <c r="Q45" s="66"/>
      <c r="R45" s="63">
        <f t="shared" si="3"/>
        <v>0</v>
      </c>
      <c r="S45" s="6"/>
      <c r="T45" s="6"/>
    </row>
    <row r="46" spans="1:20" ht="14.4" customHeight="1" x14ac:dyDescent="0.3">
      <c r="A46" s="1234">
        <v>46285</v>
      </c>
      <c r="B46" s="1235"/>
      <c r="C46" s="910" t="s">
        <v>13</v>
      </c>
      <c r="D46" s="1058" t="s">
        <v>509</v>
      </c>
      <c r="E46" s="940">
        <v>6.9444444444444447E-4</v>
      </c>
      <c r="F46" s="940">
        <v>0.50069444444444444</v>
      </c>
      <c r="G46" s="941">
        <f t="shared" ref="G46:G47" si="25">(F46-E46)*1440</f>
        <v>720</v>
      </c>
      <c r="H46" s="1059" t="s">
        <v>657</v>
      </c>
      <c r="I46" s="1259"/>
      <c r="J46" s="942">
        <f t="shared" si="22"/>
        <v>0</v>
      </c>
      <c r="K46" s="943">
        <f t="shared" si="23"/>
        <v>0</v>
      </c>
      <c r="L46" s="1219"/>
      <c r="O46" s="62">
        <v>46306</v>
      </c>
      <c r="P46" s="66"/>
      <c r="Q46" s="66"/>
      <c r="R46" s="63">
        <f t="shared" si="3"/>
        <v>0</v>
      </c>
      <c r="S46" s="6"/>
      <c r="T46" s="6"/>
    </row>
    <row r="47" spans="1:20" ht="28.8" x14ac:dyDescent="0.3">
      <c r="A47" s="1234">
        <v>46286</v>
      </c>
      <c r="B47" s="1235"/>
      <c r="C47" s="910" t="s">
        <v>12</v>
      </c>
      <c r="D47" s="1071" t="s">
        <v>508</v>
      </c>
      <c r="E47" s="940">
        <v>6.9444444444444447E-4</v>
      </c>
      <c r="F47" s="940">
        <v>0.4</v>
      </c>
      <c r="G47" s="941">
        <f t="shared" si="25"/>
        <v>575</v>
      </c>
      <c r="H47" s="1073" t="s">
        <v>666</v>
      </c>
      <c r="I47" s="1259"/>
      <c r="J47" s="942">
        <f>(720-G47)/60</f>
        <v>2.4166666666666665</v>
      </c>
      <c r="K47" s="943">
        <f t="shared" si="23"/>
        <v>0.20138888888888887</v>
      </c>
      <c r="L47" s="1219">
        <f t="shared" ref="L47" si="26">SUM(J47:J48)/24</f>
        <v>0.57986111111111105</v>
      </c>
      <c r="O47" s="62">
        <v>46307</v>
      </c>
      <c r="P47" s="66"/>
      <c r="Q47" s="66"/>
      <c r="R47" s="63">
        <f t="shared" si="3"/>
        <v>0</v>
      </c>
      <c r="S47" s="6"/>
      <c r="T47" s="6"/>
    </row>
    <row r="48" spans="1:20" ht="14.4" customHeight="1" x14ac:dyDescent="0.3">
      <c r="A48" s="1234">
        <v>46286</v>
      </c>
      <c r="B48" s="1235"/>
      <c r="C48" s="910" t="s">
        <v>13</v>
      </c>
      <c r="D48" s="1077" t="s">
        <v>542</v>
      </c>
      <c r="E48" s="940">
        <v>6.9444444444444447E-4</v>
      </c>
      <c r="F48" s="1078">
        <v>2.1527777777777778E-2</v>
      </c>
      <c r="G48" s="941">
        <f t="shared" ref="G48" si="27">(F48-E48)*1440</f>
        <v>30</v>
      </c>
      <c r="H48" s="1079" t="s">
        <v>668</v>
      </c>
      <c r="I48" s="1259"/>
      <c r="J48" s="942">
        <f t="shared" si="22"/>
        <v>11.5</v>
      </c>
      <c r="K48" s="943">
        <f t="shared" si="23"/>
        <v>0.95833333333333337</v>
      </c>
      <c r="L48" s="1219"/>
      <c r="O48" s="62">
        <v>46308</v>
      </c>
      <c r="P48" s="66"/>
      <c r="Q48" s="66"/>
      <c r="R48" s="63">
        <f t="shared" si="3"/>
        <v>0</v>
      </c>
      <c r="S48" s="6"/>
      <c r="T48" s="6"/>
    </row>
    <row r="49" spans="1:20" ht="14.4" customHeight="1" x14ac:dyDescent="0.3">
      <c r="A49" s="1234">
        <v>46287</v>
      </c>
      <c r="B49" s="1235"/>
      <c r="C49" s="910" t="s">
        <v>12</v>
      </c>
      <c r="D49" s="1083" t="s">
        <v>508</v>
      </c>
      <c r="E49" s="940">
        <v>6.9444444444444447E-4</v>
      </c>
      <c r="F49" s="940">
        <v>6.9444444444444447E-4</v>
      </c>
      <c r="G49" s="941">
        <f t="shared" ref="G49:G51" si="28">(F49-E49)*1440</f>
        <v>0</v>
      </c>
      <c r="H49" s="1084" t="s">
        <v>691</v>
      </c>
      <c r="I49" s="1259"/>
      <c r="J49" s="942">
        <f t="shared" si="22"/>
        <v>12</v>
      </c>
      <c r="K49" s="943">
        <f t="shared" si="23"/>
        <v>1</v>
      </c>
      <c r="L49" s="1219">
        <f>SUM(J49:J50)/24</f>
        <v>0.88541666666666663</v>
      </c>
      <c r="O49" s="62">
        <v>46309</v>
      </c>
      <c r="P49" s="66"/>
      <c r="Q49" s="66"/>
      <c r="R49" s="63">
        <f t="shared" si="3"/>
        <v>0</v>
      </c>
      <c r="S49" s="6"/>
      <c r="T49" s="6"/>
    </row>
    <row r="50" spans="1:20" ht="28.8" x14ac:dyDescent="0.3">
      <c r="A50" s="1234">
        <v>46287</v>
      </c>
      <c r="B50" s="1235"/>
      <c r="C50" s="910" t="s">
        <v>13</v>
      </c>
      <c r="D50" s="1086" t="s">
        <v>694</v>
      </c>
      <c r="E50" s="940">
        <v>6.9444444444444447E-4</v>
      </c>
      <c r="F50" s="940">
        <v>0.11527777777777778</v>
      </c>
      <c r="G50" s="941">
        <f t="shared" si="28"/>
        <v>165</v>
      </c>
      <c r="H50" s="1087" t="s">
        <v>695</v>
      </c>
      <c r="I50" s="1259"/>
      <c r="J50" s="942">
        <f t="shared" si="22"/>
        <v>9.25</v>
      </c>
      <c r="K50" s="943">
        <f t="shared" si="23"/>
        <v>0.77083333333333337</v>
      </c>
      <c r="L50" s="1219"/>
      <c r="O50" s="62">
        <v>46310</v>
      </c>
      <c r="P50" s="66"/>
      <c r="Q50" s="66"/>
      <c r="R50" s="63">
        <f t="shared" si="3"/>
        <v>0</v>
      </c>
      <c r="S50" s="6"/>
      <c r="T50" s="6"/>
    </row>
    <row r="51" spans="1:20" ht="14.4" customHeight="1" x14ac:dyDescent="0.3">
      <c r="A51" s="1234">
        <v>46288</v>
      </c>
      <c r="B51" s="1235"/>
      <c r="C51" s="910" t="s">
        <v>12</v>
      </c>
      <c r="D51" s="1101" t="s">
        <v>508</v>
      </c>
      <c r="E51" s="1102">
        <v>6.9444444444444447E-4</v>
      </c>
      <c r="F51" s="940">
        <v>0.18819444444444444</v>
      </c>
      <c r="G51" s="941">
        <f t="shared" si="28"/>
        <v>270</v>
      </c>
      <c r="H51" s="1103" t="s">
        <v>700</v>
      </c>
      <c r="I51" s="1259"/>
      <c r="J51" s="942">
        <f t="shared" si="22"/>
        <v>7.5</v>
      </c>
      <c r="K51" s="943">
        <f t="shared" si="23"/>
        <v>0.625</v>
      </c>
      <c r="L51" s="1219">
        <f>SUM(J51:J52)/24</f>
        <v>0.8125</v>
      </c>
      <c r="O51" s="62">
        <v>46311</v>
      </c>
      <c r="P51" s="66"/>
      <c r="Q51" s="66"/>
      <c r="R51" s="63">
        <f t="shared" si="3"/>
        <v>0</v>
      </c>
      <c r="S51" s="6"/>
      <c r="T51" s="6"/>
    </row>
    <row r="52" spans="1:20" ht="14.4" customHeight="1" x14ac:dyDescent="0.3">
      <c r="A52" s="1234">
        <v>46288</v>
      </c>
      <c r="B52" s="1235"/>
      <c r="C52" s="910" t="s">
        <v>13</v>
      </c>
      <c r="D52" s="1101" t="s">
        <v>542</v>
      </c>
      <c r="E52" s="940">
        <v>6.9444444444444447E-4</v>
      </c>
      <c r="F52" s="940">
        <v>6.9444444444444447E-4</v>
      </c>
      <c r="G52" s="941">
        <f>(F52-E52)*1440</f>
        <v>0</v>
      </c>
      <c r="H52" s="1103" t="s">
        <v>701</v>
      </c>
      <c r="I52" s="1259"/>
      <c r="J52" s="942">
        <f t="shared" si="22"/>
        <v>12</v>
      </c>
      <c r="K52" s="943">
        <f t="shared" si="23"/>
        <v>1</v>
      </c>
      <c r="L52" s="1219"/>
      <c r="O52" s="62">
        <v>46312</v>
      </c>
      <c r="P52" s="66"/>
      <c r="Q52" s="66"/>
      <c r="R52" s="63">
        <f t="shared" si="3"/>
        <v>0</v>
      </c>
      <c r="S52" s="6"/>
      <c r="T52" s="6"/>
    </row>
    <row r="53" spans="1:20" x14ac:dyDescent="0.3">
      <c r="A53" s="1234">
        <v>46289</v>
      </c>
      <c r="B53" s="1235"/>
      <c r="C53" s="910" t="s">
        <v>12</v>
      </c>
      <c r="D53" s="1101" t="s">
        <v>508</v>
      </c>
      <c r="E53" s="940">
        <v>6.9444444444444447E-4</v>
      </c>
      <c r="F53" s="940">
        <v>6.9444444444444447E-4</v>
      </c>
      <c r="G53" s="941">
        <f t="shared" ref="G53:G57" si="29">(F53-E53)*1440</f>
        <v>0</v>
      </c>
      <c r="H53" s="1103" t="s">
        <v>704</v>
      </c>
      <c r="I53" s="1260"/>
      <c r="J53" s="942">
        <f t="shared" si="22"/>
        <v>12</v>
      </c>
      <c r="K53" s="943">
        <f t="shared" si="23"/>
        <v>1</v>
      </c>
      <c r="L53" s="1219">
        <f>SUM(J53:J54)/24</f>
        <v>1</v>
      </c>
      <c r="O53" s="62">
        <v>46313</v>
      </c>
      <c r="P53" s="66"/>
      <c r="Q53" s="66"/>
      <c r="R53" s="63">
        <f t="shared" si="3"/>
        <v>0</v>
      </c>
      <c r="S53" s="6"/>
      <c r="T53" s="6"/>
    </row>
    <row r="54" spans="1:20" x14ac:dyDescent="0.3">
      <c r="A54" s="1236">
        <v>46289</v>
      </c>
      <c r="B54" s="1237"/>
      <c r="C54" s="969" t="s">
        <v>13</v>
      </c>
      <c r="D54" s="1112" t="s">
        <v>169</v>
      </c>
      <c r="E54" s="994">
        <v>6.9444444444444447E-4</v>
      </c>
      <c r="F54" s="1113">
        <v>6.9444444444444447E-4</v>
      </c>
      <c r="G54" s="995">
        <f t="shared" si="29"/>
        <v>0</v>
      </c>
      <c r="H54" s="1114" t="s">
        <v>705</v>
      </c>
      <c r="I54" s="1206">
        <v>11</v>
      </c>
      <c r="J54" s="997">
        <f t="shared" si="22"/>
        <v>12</v>
      </c>
      <c r="K54" s="998">
        <f t="shared" si="23"/>
        <v>1</v>
      </c>
      <c r="L54" s="1219"/>
      <c r="O54" s="62">
        <v>46314</v>
      </c>
      <c r="P54" s="66"/>
      <c r="Q54" s="66"/>
      <c r="R54" s="63">
        <f t="shared" si="3"/>
        <v>0</v>
      </c>
      <c r="S54" s="6"/>
      <c r="T54" s="6"/>
    </row>
    <row r="55" spans="1:20" ht="28.8" x14ac:dyDescent="0.3">
      <c r="A55" s="1236">
        <v>46290</v>
      </c>
      <c r="B55" s="1237"/>
      <c r="C55" s="969" t="s">
        <v>12</v>
      </c>
      <c r="D55" s="1124" t="s">
        <v>508</v>
      </c>
      <c r="E55" s="994">
        <v>6.9444444444444447E-4</v>
      </c>
      <c r="F55" s="994">
        <v>0.1125</v>
      </c>
      <c r="G55" s="995">
        <f t="shared" si="29"/>
        <v>161</v>
      </c>
      <c r="H55" s="1125" t="s">
        <v>709</v>
      </c>
      <c r="I55" s="1207"/>
      <c r="J55" s="997">
        <f t="shared" si="22"/>
        <v>9.3166666666666664</v>
      </c>
      <c r="K55" s="998">
        <f t="shared" si="23"/>
        <v>0.77638888888888891</v>
      </c>
      <c r="L55" s="1216">
        <f>SUM(J55:J56)/24</f>
        <v>0.38819444444444445</v>
      </c>
      <c r="O55" s="62">
        <v>46315</v>
      </c>
      <c r="P55" s="66"/>
      <c r="Q55" s="66"/>
      <c r="R55" s="63">
        <f t="shared" si="3"/>
        <v>0</v>
      </c>
      <c r="S55" s="6"/>
      <c r="T55" s="6"/>
    </row>
    <row r="56" spans="1:20" ht="28.8" x14ac:dyDescent="0.3">
      <c r="A56" s="1236">
        <v>46290</v>
      </c>
      <c r="B56" s="1237"/>
      <c r="C56" s="969" t="s">
        <v>13</v>
      </c>
      <c r="D56" s="1132" t="s">
        <v>741</v>
      </c>
      <c r="E56" s="994">
        <v>6.9444444444444447E-4</v>
      </c>
      <c r="F56" s="994">
        <v>0.50069444444444444</v>
      </c>
      <c r="G56" s="995">
        <f t="shared" si="29"/>
        <v>720</v>
      </c>
      <c r="H56" s="1133" t="s">
        <v>742</v>
      </c>
      <c r="I56" s="1208"/>
      <c r="J56" s="997">
        <f t="shared" si="22"/>
        <v>0</v>
      </c>
      <c r="K56" s="998">
        <f t="shared" si="23"/>
        <v>0</v>
      </c>
      <c r="L56" s="1216"/>
      <c r="O56" s="62">
        <v>46316</v>
      </c>
      <c r="P56" s="66"/>
      <c r="Q56" s="66"/>
      <c r="R56" s="63">
        <f t="shared" si="3"/>
        <v>0</v>
      </c>
      <c r="S56" s="6"/>
      <c r="T56" s="6"/>
    </row>
    <row r="57" spans="1:20" ht="30" customHeight="1" x14ac:dyDescent="0.3">
      <c r="A57" s="1236">
        <v>46291</v>
      </c>
      <c r="B57" s="1237"/>
      <c r="C57" s="969" t="s">
        <v>12</v>
      </c>
      <c r="D57" s="1160" t="s">
        <v>542</v>
      </c>
      <c r="E57" s="994">
        <v>6.9444444444444447E-4</v>
      </c>
      <c r="F57" s="994">
        <v>0.50069444444444444</v>
      </c>
      <c r="G57" s="995">
        <f t="shared" si="29"/>
        <v>720</v>
      </c>
      <c r="H57" s="1162" t="s">
        <v>750</v>
      </c>
      <c r="I57" s="122"/>
      <c r="J57" s="997">
        <f t="shared" si="22"/>
        <v>0</v>
      </c>
      <c r="K57" s="998">
        <f t="shared" si="23"/>
        <v>0</v>
      </c>
      <c r="L57" s="1216">
        <f>SUM(J57:J58)/24</f>
        <v>0</v>
      </c>
      <c r="O57" s="62">
        <v>46317</v>
      </c>
      <c r="P57" s="66"/>
      <c r="Q57" s="66"/>
      <c r="R57" s="63">
        <f t="shared" si="3"/>
        <v>0</v>
      </c>
      <c r="S57" s="6"/>
      <c r="T57" s="6"/>
    </row>
    <row r="58" spans="1:20" x14ac:dyDescent="0.3">
      <c r="A58" s="1236">
        <v>46291</v>
      </c>
      <c r="B58" s="1237"/>
      <c r="C58" s="969" t="s">
        <v>13</v>
      </c>
      <c r="D58" s="1160" t="s">
        <v>508</v>
      </c>
      <c r="E58" s="994">
        <v>6.9444444444444447E-4</v>
      </c>
      <c r="F58" s="994">
        <v>0.50069444444444444</v>
      </c>
      <c r="G58" s="995">
        <f t="shared" ref="G58:G69" si="30">(F58-E58)*1440</f>
        <v>720</v>
      </c>
      <c r="H58" s="1161" t="s">
        <v>751</v>
      </c>
      <c r="I58" s="122"/>
      <c r="J58" s="997">
        <f t="shared" si="22"/>
        <v>0</v>
      </c>
      <c r="K58" s="998">
        <f t="shared" si="23"/>
        <v>0</v>
      </c>
      <c r="L58" s="1216"/>
      <c r="O58" s="62">
        <v>46318</v>
      </c>
      <c r="P58" s="66"/>
      <c r="Q58" s="66"/>
      <c r="R58" s="63">
        <f t="shared" si="3"/>
        <v>0</v>
      </c>
      <c r="S58" s="6"/>
      <c r="T58" s="6"/>
    </row>
    <row r="59" spans="1:20" ht="28.8" x14ac:dyDescent="0.3">
      <c r="A59" s="1234">
        <v>46292</v>
      </c>
      <c r="B59" s="1235"/>
      <c r="C59" s="910" t="s">
        <v>12</v>
      </c>
      <c r="D59" s="1163" t="s">
        <v>542</v>
      </c>
      <c r="E59" s="940">
        <v>6.9444444444444447E-4</v>
      </c>
      <c r="F59" s="940">
        <v>0.1673611111111111</v>
      </c>
      <c r="G59" s="941">
        <f t="shared" si="30"/>
        <v>240</v>
      </c>
      <c r="H59" s="1164" t="s">
        <v>750</v>
      </c>
      <c r="I59" s="106">
        <v>12</v>
      </c>
      <c r="J59" s="942">
        <f t="shared" si="22"/>
        <v>8</v>
      </c>
      <c r="K59" s="943">
        <f t="shared" si="23"/>
        <v>0.66666666666666663</v>
      </c>
      <c r="L59" s="1255">
        <f>SUM(J59:J60)/24</f>
        <v>0.79166666666666663</v>
      </c>
      <c r="O59" s="62"/>
      <c r="P59" s="69">
        <f>SUM(P5:P58)</f>
        <v>19058</v>
      </c>
      <c r="Q59" s="69">
        <f>SUM(Q5:Q58)</f>
        <v>438.86666666666662</v>
      </c>
      <c r="R59" s="70">
        <f>Q59/(Q59+S59)</f>
        <v>0.64130540672187042</v>
      </c>
      <c r="S59" s="66">
        <f>SUM(S5:S58)</f>
        <v>245.46666666666667</v>
      </c>
      <c r="T59" s="6"/>
    </row>
    <row r="60" spans="1:20" x14ac:dyDescent="0.3">
      <c r="A60" s="1234">
        <v>46292</v>
      </c>
      <c r="B60" s="1235"/>
      <c r="C60" s="910" t="s">
        <v>13</v>
      </c>
      <c r="D60" s="1163" t="s">
        <v>508</v>
      </c>
      <c r="E60" s="940">
        <v>6.9444444444444447E-4</v>
      </c>
      <c r="F60" s="940">
        <v>4.2361111111111113E-2</v>
      </c>
      <c r="G60" s="941">
        <f t="shared" ref="G60" si="31">(F60-E60)*1440</f>
        <v>60.000000000000007</v>
      </c>
      <c r="H60" s="1165" t="s">
        <v>752</v>
      </c>
      <c r="I60" s="106">
        <v>12</v>
      </c>
      <c r="J60" s="942">
        <f t="shared" si="22"/>
        <v>11</v>
      </c>
      <c r="K60" s="943">
        <f t="shared" si="23"/>
        <v>0.91666666666666663</v>
      </c>
      <c r="L60" s="1255"/>
      <c r="O60" s="62"/>
      <c r="P60" s="71">
        <f>P59/60</f>
        <v>317.63333333333333</v>
      </c>
      <c r="Q60" s="43">
        <f>Q59/24</f>
        <v>18.286111111111108</v>
      </c>
      <c r="R60" s="949">
        <f>Q60+S60</f>
        <v>28.513888888888886</v>
      </c>
      <c r="S60" s="43">
        <f>S59/24</f>
        <v>10.227777777777778</v>
      </c>
    </row>
    <row r="61" spans="1:20" x14ac:dyDescent="0.3">
      <c r="A61" s="1234">
        <v>46293</v>
      </c>
      <c r="B61" s="1235"/>
      <c r="C61" s="910" t="s">
        <v>12</v>
      </c>
      <c r="D61" s="1168" t="s">
        <v>741</v>
      </c>
      <c r="E61" s="940">
        <v>6.9444444444444447E-4</v>
      </c>
      <c r="F61" s="940">
        <v>6.9444444444444447E-4</v>
      </c>
      <c r="G61" s="941">
        <f t="shared" si="30"/>
        <v>0</v>
      </c>
      <c r="H61" s="1169" t="s">
        <v>758</v>
      </c>
      <c r="I61" s="106">
        <v>12</v>
      </c>
      <c r="J61" s="942">
        <f t="shared" si="22"/>
        <v>12</v>
      </c>
      <c r="K61" s="943">
        <f t="shared" si="23"/>
        <v>1</v>
      </c>
      <c r="L61" s="1255">
        <f>SUM(J61:J62)/24</f>
        <v>1</v>
      </c>
      <c r="M61" s="43"/>
      <c r="Q61" s="10"/>
    </row>
    <row r="62" spans="1:20" ht="28.8" x14ac:dyDescent="0.3">
      <c r="A62" s="1234">
        <v>46293</v>
      </c>
      <c r="B62" s="1235"/>
      <c r="C62" s="910" t="s">
        <v>13</v>
      </c>
      <c r="D62" s="1168" t="s">
        <v>508</v>
      </c>
      <c r="E62" s="940">
        <v>6.9444444444444447E-4</v>
      </c>
      <c r="F62" s="940">
        <v>6.9444444444444447E-4</v>
      </c>
      <c r="G62" s="941">
        <f t="shared" si="30"/>
        <v>0</v>
      </c>
      <c r="H62" s="1170" t="s">
        <v>757</v>
      </c>
      <c r="I62" s="980">
        <v>12</v>
      </c>
      <c r="J62" s="942">
        <f t="shared" si="22"/>
        <v>12</v>
      </c>
      <c r="K62" s="943">
        <f t="shared" si="23"/>
        <v>1</v>
      </c>
      <c r="L62" s="1255"/>
      <c r="N62" s="10"/>
      <c r="P62" s="10"/>
    </row>
    <row r="63" spans="1:20" x14ac:dyDescent="0.3">
      <c r="A63" s="1234">
        <v>46294</v>
      </c>
      <c r="B63" s="1235"/>
      <c r="C63" s="910" t="s">
        <v>12</v>
      </c>
      <c r="D63" s="1171" t="s">
        <v>542</v>
      </c>
      <c r="E63" s="940">
        <v>6.9444444444444447E-4</v>
      </c>
      <c r="F63" s="940">
        <v>1.4583333333333334E-2</v>
      </c>
      <c r="G63" s="941">
        <f t="shared" si="30"/>
        <v>20</v>
      </c>
      <c r="H63" s="1172" t="s">
        <v>759</v>
      </c>
      <c r="I63" s="106">
        <v>12</v>
      </c>
      <c r="J63" s="942">
        <f t="shared" si="22"/>
        <v>11.666666666666666</v>
      </c>
      <c r="K63" s="943">
        <f t="shared" si="23"/>
        <v>0.97222222222222221</v>
      </c>
      <c r="L63" s="452"/>
    </row>
    <row r="64" spans="1:20" x14ac:dyDescent="0.3">
      <c r="A64" s="1238">
        <v>46294</v>
      </c>
      <c r="B64" s="1239"/>
      <c r="C64" s="36" t="s">
        <v>13</v>
      </c>
      <c r="D64" s="65"/>
      <c r="E64" s="67">
        <v>6.9444444444444447E-4</v>
      </c>
      <c r="F64" s="67">
        <v>0.50069444444444444</v>
      </c>
      <c r="G64" s="496">
        <f t="shared" si="30"/>
        <v>720</v>
      </c>
      <c r="H64" s="436"/>
      <c r="I64" s="417"/>
      <c r="J64" s="418">
        <f t="shared" si="22"/>
        <v>0</v>
      </c>
      <c r="K64" s="811">
        <f t="shared" si="23"/>
        <v>0</v>
      </c>
      <c r="L64" s="6"/>
    </row>
    <row r="65" spans="1:19" x14ac:dyDescent="0.3">
      <c r="A65" s="1238">
        <v>46295</v>
      </c>
      <c r="B65" s="1239"/>
      <c r="C65" s="36" t="s">
        <v>12</v>
      </c>
      <c r="D65" s="65"/>
      <c r="E65" s="67">
        <v>6.9444444444444447E-4</v>
      </c>
      <c r="F65" s="67">
        <v>0.50069444444444444</v>
      </c>
      <c r="G65" s="496">
        <f t="shared" si="30"/>
        <v>720</v>
      </c>
      <c r="H65" s="436"/>
      <c r="I65" s="417"/>
      <c r="J65" s="418">
        <f t="shared" si="22"/>
        <v>0</v>
      </c>
      <c r="K65" s="811">
        <f t="shared" si="23"/>
        <v>0</v>
      </c>
      <c r="L65" s="6"/>
      <c r="S65" s="136"/>
    </row>
    <row r="66" spans="1:19" x14ac:dyDescent="0.3">
      <c r="A66" s="1238">
        <v>46295</v>
      </c>
      <c r="B66" s="1239"/>
      <c r="C66" s="36" t="s">
        <v>13</v>
      </c>
      <c r="D66" s="65"/>
      <c r="E66" s="67">
        <v>6.9444444444444447E-4</v>
      </c>
      <c r="F66" s="67">
        <v>0.50069444444444444</v>
      </c>
      <c r="G66" s="496">
        <f t="shared" si="30"/>
        <v>720</v>
      </c>
      <c r="H66" s="436"/>
      <c r="I66" s="417"/>
      <c r="J66" s="418">
        <f t="shared" si="22"/>
        <v>0</v>
      </c>
      <c r="K66" s="811">
        <f t="shared" si="23"/>
        <v>0</v>
      </c>
      <c r="L66" s="6"/>
      <c r="Q66" s="1098"/>
      <c r="S66" s="136"/>
    </row>
    <row r="67" spans="1:19" x14ac:dyDescent="0.3">
      <c r="A67" s="1238">
        <v>46296</v>
      </c>
      <c r="B67" s="1239"/>
      <c r="C67" s="36" t="s">
        <v>12</v>
      </c>
      <c r="D67" s="65"/>
      <c r="E67" s="67">
        <v>6.9444444444444447E-4</v>
      </c>
      <c r="F67" s="67">
        <v>0.50069444444444444</v>
      </c>
      <c r="G67" s="496">
        <f t="shared" si="30"/>
        <v>720</v>
      </c>
      <c r="H67" s="436"/>
      <c r="I67" s="417"/>
      <c r="J67" s="418">
        <f t="shared" si="22"/>
        <v>0</v>
      </c>
      <c r="K67" s="811">
        <f t="shared" si="23"/>
        <v>0</v>
      </c>
      <c r="L67" s="6"/>
      <c r="M67" s="29"/>
    </row>
    <row r="68" spans="1:19" x14ac:dyDescent="0.3">
      <c r="A68" s="1238">
        <v>46296</v>
      </c>
      <c r="B68" s="1239"/>
      <c r="C68" s="36" t="s">
        <v>13</v>
      </c>
      <c r="D68" s="65"/>
      <c r="E68" s="67">
        <v>6.9444444444444447E-4</v>
      </c>
      <c r="F68" s="67">
        <v>0.50069444444444444</v>
      </c>
      <c r="G68" s="496">
        <f t="shared" si="30"/>
        <v>720</v>
      </c>
      <c r="H68" s="436"/>
      <c r="I68" s="417"/>
      <c r="J68" s="418">
        <f t="shared" si="22"/>
        <v>0</v>
      </c>
      <c r="K68" s="811">
        <f t="shared" si="23"/>
        <v>0</v>
      </c>
      <c r="L68" s="6"/>
      <c r="S68" s="1060" t="s">
        <v>659</v>
      </c>
    </row>
    <row r="69" spans="1:19" x14ac:dyDescent="0.3">
      <c r="A69" s="1238">
        <v>46297</v>
      </c>
      <c r="B69" s="1239"/>
      <c r="C69" s="36" t="s">
        <v>12</v>
      </c>
      <c r="D69" s="65"/>
      <c r="E69" s="67">
        <v>6.9444444444444447E-4</v>
      </c>
      <c r="F69" s="67">
        <v>0.50069444444444444</v>
      </c>
      <c r="G69" s="496">
        <f t="shared" si="30"/>
        <v>720</v>
      </c>
      <c r="H69" s="436"/>
      <c r="I69" s="417"/>
      <c r="J69" s="418">
        <f t="shared" si="22"/>
        <v>0</v>
      </c>
      <c r="K69" s="811">
        <f t="shared" si="23"/>
        <v>0</v>
      </c>
      <c r="L69" s="6"/>
    </row>
    <row r="70" spans="1:19" x14ac:dyDescent="0.3">
      <c r="A70" s="1238">
        <v>46297</v>
      </c>
      <c r="B70" s="1239"/>
      <c r="C70" s="36" t="s">
        <v>13</v>
      </c>
      <c r="D70" s="65"/>
      <c r="E70" s="67">
        <v>6.9444444444444447E-4</v>
      </c>
      <c r="F70" s="67">
        <v>0.50069444444444444</v>
      </c>
      <c r="G70" s="496">
        <f t="shared" ref="G70:G76" si="32">(F70-E70)*1440</f>
        <v>720</v>
      </c>
      <c r="H70" s="436"/>
      <c r="I70" s="417"/>
      <c r="J70" s="418">
        <f t="shared" ref="J70:J76" si="33">(720-G70)/60</f>
        <v>0</v>
      </c>
      <c r="K70" s="811">
        <f t="shared" ref="K70:K76" si="34">J70/12</f>
        <v>0</v>
      </c>
      <c r="L70" s="6"/>
    </row>
    <row r="71" spans="1:19" x14ac:dyDescent="0.3">
      <c r="A71" s="1238">
        <v>46298</v>
      </c>
      <c r="B71" s="1239"/>
      <c r="C71" s="36" t="s">
        <v>12</v>
      </c>
      <c r="D71" s="65"/>
      <c r="E71" s="67">
        <v>6.9444444444444447E-4</v>
      </c>
      <c r="F71" s="67">
        <v>0.50069444444444444</v>
      </c>
      <c r="G71" s="496">
        <f t="shared" si="32"/>
        <v>720</v>
      </c>
      <c r="H71" s="436"/>
      <c r="I71" s="417"/>
      <c r="J71" s="418">
        <f t="shared" si="33"/>
        <v>0</v>
      </c>
      <c r="K71" s="811">
        <f t="shared" si="34"/>
        <v>0</v>
      </c>
      <c r="L71" s="6"/>
    </row>
    <row r="72" spans="1:19" x14ac:dyDescent="0.3">
      <c r="A72" s="1238">
        <v>46298</v>
      </c>
      <c r="B72" s="1239"/>
      <c r="C72" s="36" t="s">
        <v>13</v>
      </c>
      <c r="D72" s="65"/>
      <c r="E72" s="67">
        <v>6.9444444444444447E-4</v>
      </c>
      <c r="F72" s="67">
        <v>0.50069444444444444</v>
      </c>
      <c r="G72" s="496">
        <f t="shared" si="32"/>
        <v>720</v>
      </c>
      <c r="H72" s="436"/>
      <c r="I72" s="417"/>
      <c r="J72" s="418">
        <f t="shared" si="33"/>
        <v>0</v>
      </c>
      <c r="K72" s="811">
        <f t="shared" si="34"/>
        <v>0</v>
      </c>
      <c r="L72" s="6"/>
    </row>
    <row r="73" spans="1:19" x14ac:dyDescent="0.3">
      <c r="A73" s="1238">
        <v>46299</v>
      </c>
      <c r="B73" s="1239"/>
      <c r="C73" s="36" t="s">
        <v>12</v>
      </c>
      <c r="D73" s="65"/>
      <c r="E73" s="67">
        <v>6.9444444444444447E-4</v>
      </c>
      <c r="F73" s="67">
        <v>6.9444444444444447E-4</v>
      </c>
      <c r="G73" s="496">
        <f t="shared" si="32"/>
        <v>0</v>
      </c>
      <c r="H73" s="436"/>
      <c r="I73" s="417"/>
      <c r="J73" s="418">
        <f t="shared" si="33"/>
        <v>12</v>
      </c>
      <c r="K73" s="811">
        <f t="shared" si="34"/>
        <v>1</v>
      </c>
      <c r="L73" s="6"/>
    </row>
    <row r="74" spans="1:19" x14ac:dyDescent="0.3">
      <c r="A74" s="1236">
        <v>46299</v>
      </c>
      <c r="B74" s="1237"/>
      <c r="C74" s="969" t="s">
        <v>13</v>
      </c>
      <c r="D74" s="1188"/>
      <c r="E74" s="994">
        <v>6.9444444444444447E-4</v>
      </c>
      <c r="F74" s="994">
        <v>7.6388888888888886E-3</v>
      </c>
      <c r="G74" s="995">
        <f t="shared" si="32"/>
        <v>10</v>
      </c>
      <c r="H74" s="1189" t="s">
        <v>771</v>
      </c>
      <c r="I74" s="122">
        <v>13</v>
      </c>
      <c r="J74" s="997">
        <f t="shared" si="33"/>
        <v>11.833333333333334</v>
      </c>
      <c r="K74" s="998">
        <f t="shared" si="34"/>
        <v>0.98611111111111116</v>
      </c>
      <c r="L74" s="1109"/>
    </row>
    <row r="75" spans="1:19" x14ac:dyDescent="0.3">
      <c r="A75" s="1236">
        <v>46300</v>
      </c>
      <c r="B75" s="1237"/>
      <c r="C75" s="969" t="s">
        <v>12</v>
      </c>
      <c r="D75" s="1188"/>
      <c r="E75" s="994">
        <v>6.9444444444444447E-4</v>
      </c>
      <c r="F75" s="994">
        <v>6.9444444444444447E-4</v>
      </c>
      <c r="G75" s="995">
        <f t="shared" si="32"/>
        <v>0</v>
      </c>
      <c r="H75" s="1190"/>
      <c r="I75" s="122">
        <v>13</v>
      </c>
      <c r="J75" s="997">
        <f t="shared" si="33"/>
        <v>12</v>
      </c>
      <c r="K75" s="998">
        <f t="shared" si="34"/>
        <v>1</v>
      </c>
      <c r="L75" s="1109"/>
    </row>
    <row r="76" spans="1:19" x14ac:dyDescent="0.3">
      <c r="A76" s="1236">
        <v>46300</v>
      </c>
      <c r="B76" s="1237"/>
      <c r="C76" s="969" t="s">
        <v>13</v>
      </c>
      <c r="D76" s="1188"/>
      <c r="E76" s="994">
        <v>6.9444444444444447E-4</v>
      </c>
      <c r="F76" s="994">
        <v>0.50069444444444444</v>
      </c>
      <c r="G76" s="995">
        <f t="shared" si="32"/>
        <v>720</v>
      </c>
      <c r="H76" s="1201" t="s">
        <v>779</v>
      </c>
      <c r="I76" s="122"/>
      <c r="J76" s="997">
        <f t="shared" si="33"/>
        <v>0</v>
      </c>
      <c r="K76" s="998">
        <f t="shared" si="34"/>
        <v>0</v>
      </c>
      <c r="L76" s="1109"/>
    </row>
    <row r="77" spans="1:19" x14ac:dyDescent="0.3">
      <c r="A77" s="1238">
        <v>46301</v>
      </c>
      <c r="B77" s="1239"/>
      <c r="C77" s="36" t="s">
        <v>12</v>
      </c>
      <c r="D77" s="65"/>
      <c r="E77" s="67"/>
      <c r="F77" s="67"/>
      <c r="G77" s="496">
        <f t="shared" ref="G77:G140" si="35">(F77-E77)*1440</f>
        <v>0</v>
      </c>
      <c r="H77" s="436"/>
      <c r="I77" s="417"/>
      <c r="J77" s="418">
        <f t="shared" ref="J77:J140" si="36">(720-G77)/60</f>
        <v>12</v>
      </c>
      <c r="K77" s="811">
        <f t="shared" ref="K77:K140" si="37">J77/12</f>
        <v>1</v>
      </c>
      <c r="L77" s="6"/>
    </row>
    <row r="78" spans="1:19" x14ac:dyDescent="0.3">
      <c r="A78" s="1238">
        <v>46301</v>
      </c>
      <c r="B78" s="1239"/>
      <c r="C78" s="36" t="s">
        <v>13</v>
      </c>
      <c r="D78" s="65"/>
      <c r="E78" s="67"/>
      <c r="F78" s="67"/>
      <c r="G78" s="496">
        <f t="shared" si="35"/>
        <v>0</v>
      </c>
      <c r="H78" s="436"/>
      <c r="I78" s="417"/>
      <c r="J78" s="418">
        <f t="shared" si="36"/>
        <v>12</v>
      </c>
      <c r="K78" s="811">
        <f t="shared" si="37"/>
        <v>1</v>
      </c>
      <c r="L78" s="6"/>
    </row>
    <row r="79" spans="1:19" x14ac:dyDescent="0.3">
      <c r="A79" s="1238">
        <v>46302</v>
      </c>
      <c r="B79" s="1239"/>
      <c r="C79" s="36" t="s">
        <v>12</v>
      </c>
      <c r="D79" s="65"/>
      <c r="E79" s="67"/>
      <c r="F79" s="67"/>
      <c r="G79" s="496">
        <f t="shared" si="35"/>
        <v>0</v>
      </c>
      <c r="H79" s="436"/>
      <c r="I79" s="417"/>
      <c r="J79" s="418">
        <f t="shared" si="36"/>
        <v>12</v>
      </c>
      <c r="K79" s="811">
        <f t="shared" si="37"/>
        <v>1</v>
      </c>
      <c r="L79" s="6"/>
    </row>
    <row r="80" spans="1:19" x14ac:dyDescent="0.3">
      <c r="A80" s="1238">
        <v>46302</v>
      </c>
      <c r="B80" s="1239"/>
      <c r="C80" s="36" t="s">
        <v>13</v>
      </c>
      <c r="D80" s="65"/>
      <c r="E80" s="67"/>
      <c r="F80" s="67"/>
      <c r="G80" s="496">
        <f t="shared" si="35"/>
        <v>0</v>
      </c>
      <c r="H80" s="436"/>
      <c r="I80" s="417"/>
      <c r="J80" s="418">
        <f t="shared" si="36"/>
        <v>12</v>
      </c>
      <c r="K80" s="811">
        <f t="shared" si="37"/>
        <v>1</v>
      </c>
      <c r="L80" s="6"/>
    </row>
    <row r="81" spans="1:12" x14ac:dyDescent="0.3">
      <c r="A81" s="1238">
        <v>46303</v>
      </c>
      <c r="B81" s="1239"/>
      <c r="C81" s="36" t="s">
        <v>12</v>
      </c>
      <c r="D81" s="65"/>
      <c r="E81" s="67"/>
      <c r="F81" s="67"/>
      <c r="G81" s="496">
        <f t="shared" si="35"/>
        <v>0</v>
      </c>
      <c r="H81" s="436"/>
      <c r="I81" s="417"/>
      <c r="J81" s="418">
        <f t="shared" si="36"/>
        <v>12</v>
      </c>
      <c r="K81" s="811">
        <f t="shared" si="37"/>
        <v>1</v>
      </c>
      <c r="L81" s="6"/>
    </row>
    <row r="82" spans="1:12" x14ac:dyDescent="0.3">
      <c r="A82" s="1238">
        <v>46303</v>
      </c>
      <c r="B82" s="1239"/>
      <c r="C82" s="36" t="s">
        <v>13</v>
      </c>
      <c r="D82" s="65"/>
      <c r="E82" s="67"/>
      <c r="F82" s="67"/>
      <c r="G82" s="496">
        <f t="shared" si="35"/>
        <v>0</v>
      </c>
      <c r="H82" s="436"/>
      <c r="I82" s="417"/>
      <c r="J82" s="418">
        <f t="shared" si="36"/>
        <v>12</v>
      </c>
      <c r="K82" s="811">
        <f t="shared" si="37"/>
        <v>1</v>
      </c>
      <c r="L82" s="6"/>
    </row>
    <row r="83" spans="1:12" x14ac:dyDescent="0.3">
      <c r="A83" s="1238">
        <v>46304</v>
      </c>
      <c r="B83" s="1239"/>
      <c r="C83" s="36" t="s">
        <v>12</v>
      </c>
      <c r="D83" s="65"/>
      <c r="E83" s="67"/>
      <c r="F83" s="67"/>
      <c r="G83" s="496">
        <f t="shared" si="35"/>
        <v>0</v>
      </c>
      <c r="H83" s="436"/>
      <c r="I83" s="417"/>
      <c r="J83" s="418">
        <f t="shared" si="36"/>
        <v>12</v>
      </c>
      <c r="K83" s="811">
        <f t="shared" si="37"/>
        <v>1</v>
      </c>
      <c r="L83" s="6"/>
    </row>
    <row r="84" spans="1:12" x14ac:dyDescent="0.3">
      <c r="A84" s="1238">
        <v>46304</v>
      </c>
      <c r="B84" s="1239"/>
      <c r="C84" s="36" t="s">
        <v>13</v>
      </c>
      <c r="D84" s="65"/>
      <c r="E84" s="67"/>
      <c r="F84" s="67"/>
      <c r="G84" s="496">
        <f t="shared" si="35"/>
        <v>0</v>
      </c>
      <c r="H84" s="436"/>
      <c r="I84" s="417"/>
      <c r="J84" s="418">
        <f t="shared" si="36"/>
        <v>12</v>
      </c>
      <c r="K84" s="811">
        <f t="shared" si="37"/>
        <v>1</v>
      </c>
      <c r="L84" s="6"/>
    </row>
    <row r="85" spans="1:12" x14ac:dyDescent="0.3">
      <c r="A85" s="1238">
        <v>46305</v>
      </c>
      <c r="B85" s="1239"/>
      <c r="C85" s="36" t="s">
        <v>12</v>
      </c>
      <c r="D85" s="65"/>
      <c r="E85" s="67"/>
      <c r="F85" s="67"/>
      <c r="G85" s="496">
        <f t="shared" si="35"/>
        <v>0</v>
      </c>
      <c r="H85" s="436"/>
      <c r="I85" s="417"/>
      <c r="J85" s="418">
        <f t="shared" si="36"/>
        <v>12</v>
      </c>
      <c r="K85" s="811">
        <f t="shared" si="37"/>
        <v>1</v>
      </c>
      <c r="L85" s="6"/>
    </row>
    <row r="86" spans="1:12" x14ac:dyDescent="0.3">
      <c r="A86" s="1238">
        <v>46305</v>
      </c>
      <c r="B86" s="1239"/>
      <c r="C86" s="36" t="s">
        <v>13</v>
      </c>
      <c r="D86" s="65"/>
      <c r="E86" s="67"/>
      <c r="F86" s="67"/>
      <c r="G86" s="496">
        <f t="shared" si="35"/>
        <v>0</v>
      </c>
      <c r="H86" s="436"/>
      <c r="I86" s="417"/>
      <c r="J86" s="418">
        <f t="shared" si="36"/>
        <v>12</v>
      </c>
      <c r="K86" s="811">
        <f t="shared" si="37"/>
        <v>1</v>
      </c>
      <c r="L86" s="6"/>
    </row>
    <row r="87" spans="1:12" x14ac:dyDescent="0.3">
      <c r="A87" s="1238">
        <v>46306</v>
      </c>
      <c r="B87" s="1239"/>
      <c r="C87" s="36" t="s">
        <v>12</v>
      </c>
      <c r="D87" s="65"/>
      <c r="E87" s="67"/>
      <c r="F87" s="67"/>
      <c r="G87" s="496">
        <f t="shared" si="35"/>
        <v>0</v>
      </c>
      <c r="H87" s="436"/>
      <c r="I87" s="417"/>
      <c r="J87" s="418">
        <f t="shared" si="36"/>
        <v>12</v>
      </c>
      <c r="K87" s="811">
        <f t="shared" si="37"/>
        <v>1</v>
      </c>
      <c r="L87" s="6"/>
    </row>
    <row r="88" spans="1:12" x14ac:dyDescent="0.3">
      <c r="A88" s="1238">
        <v>46306</v>
      </c>
      <c r="B88" s="1239"/>
      <c r="C88" s="36" t="s">
        <v>13</v>
      </c>
      <c r="D88" s="65"/>
      <c r="E88" s="67"/>
      <c r="F88" s="67"/>
      <c r="G88" s="496">
        <f t="shared" si="35"/>
        <v>0</v>
      </c>
      <c r="H88" s="436"/>
      <c r="I88" s="417"/>
      <c r="J88" s="418">
        <f t="shared" si="36"/>
        <v>12</v>
      </c>
      <c r="K88" s="811">
        <f t="shared" si="37"/>
        <v>1</v>
      </c>
      <c r="L88" s="6"/>
    </row>
    <row r="89" spans="1:12" x14ac:dyDescent="0.3">
      <c r="A89" s="1238">
        <v>46307</v>
      </c>
      <c r="B89" s="1239"/>
      <c r="C89" s="36" t="s">
        <v>12</v>
      </c>
      <c r="D89" s="65"/>
      <c r="E89" s="67"/>
      <c r="F89" s="67"/>
      <c r="G89" s="496">
        <f t="shared" si="35"/>
        <v>0</v>
      </c>
      <c r="H89" s="436"/>
      <c r="I89" s="417"/>
      <c r="J89" s="418">
        <f t="shared" si="36"/>
        <v>12</v>
      </c>
      <c r="K89" s="811">
        <f t="shared" si="37"/>
        <v>1</v>
      </c>
      <c r="L89" s="6"/>
    </row>
    <row r="90" spans="1:12" x14ac:dyDescent="0.3">
      <c r="A90" s="1238">
        <v>46307</v>
      </c>
      <c r="B90" s="1239"/>
      <c r="C90" s="36" t="s">
        <v>13</v>
      </c>
      <c r="D90" s="65"/>
      <c r="E90" s="67"/>
      <c r="F90" s="67"/>
      <c r="G90" s="496">
        <f t="shared" si="35"/>
        <v>0</v>
      </c>
      <c r="H90" s="436"/>
      <c r="I90" s="417"/>
      <c r="J90" s="418">
        <f t="shared" si="36"/>
        <v>12</v>
      </c>
      <c r="K90" s="811">
        <f t="shared" si="37"/>
        <v>1</v>
      </c>
      <c r="L90" s="6"/>
    </row>
    <row r="91" spans="1:12" x14ac:dyDescent="0.3">
      <c r="A91" s="1238">
        <v>46308</v>
      </c>
      <c r="B91" s="1239"/>
      <c r="C91" s="36" t="s">
        <v>12</v>
      </c>
      <c r="D91" s="65"/>
      <c r="E91" s="67"/>
      <c r="F91" s="67"/>
      <c r="G91" s="496">
        <f t="shared" si="35"/>
        <v>0</v>
      </c>
      <c r="H91" s="436"/>
      <c r="I91" s="417"/>
      <c r="J91" s="418">
        <f t="shared" si="36"/>
        <v>12</v>
      </c>
      <c r="K91" s="811">
        <f t="shared" si="37"/>
        <v>1</v>
      </c>
      <c r="L91" s="6"/>
    </row>
    <row r="92" spans="1:12" x14ac:dyDescent="0.3">
      <c r="A92" s="1238">
        <v>46308</v>
      </c>
      <c r="B92" s="1239"/>
      <c r="C92" s="36" t="s">
        <v>13</v>
      </c>
      <c r="D92" s="65"/>
      <c r="E92" s="67"/>
      <c r="F92" s="67"/>
      <c r="G92" s="496">
        <f t="shared" si="35"/>
        <v>0</v>
      </c>
      <c r="H92" s="436"/>
      <c r="I92" s="417"/>
      <c r="J92" s="418">
        <f t="shared" si="36"/>
        <v>12</v>
      </c>
      <c r="K92" s="811">
        <f t="shared" si="37"/>
        <v>1</v>
      </c>
      <c r="L92" s="6"/>
    </row>
    <row r="93" spans="1:12" x14ac:dyDescent="0.3">
      <c r="A93" s="1238">
        <v>46309</v>
      </c>
      <c r="B93" s="1239"/>
      <c r="C93" s="36" t="s">
        <v>12</v>
      </c>
      <c r="D93" s="65"/>
      <c r="E93" s="67"/>
      <c r="F93" s="67"/>
      <c r="G93" s="496">
        <f t="shared" si="35"/>
        <v>0</v>
      </c>
      <c r="H93" s="436"/>
      <c r="I93" s="417"/>
      <c r="J93" s="418">
        <f t="shared" si="36"/>
        <v>12</v>
      </c>
      <c r="K93" s="811">
        <f t="shared" si="37"/>
        <v>1</v>
      </c>
      <c r="L93" s="6"/>
    </row>
    <row r="94" spans="1:12" x14ac:dyDescent="0.3">
      <c r="A94" s="1238">
        <v>46309</v>
      </c>
      <c r="B94" s="1239"/>
      <c r="C94" s="36" t="s">
        <v>13</v>
      </c>
      <c r="D94" s="65"/>
      <c r="E94" s="67"/>
      <c r="F94" s="67"/>
      <c r="G94" s="496">
        <f t="shared" si="35"/>
        <v>0</v>
      </c>
      <c r="H94" s="436"/>
      <c r="I94" s="417"/>
      <c r="J94" s="418">
        <f t="shared" si="36"/>
        <v>12</v>
      </c>
      <c r="K94" s="811">
        <f t="shared" si="37"/>
        <v>1</v>
      </c>
      <c r="L94" s="6"/>
    </row>
    <row r="95" spans="1:12" x14ac:dyDescent="0.3">
      <c r="A95" s="1238">
        <v>46310</v>
      </c>
      <c r="B95" s="1239"/>
      <c r="C95" s="36" t="s">
        <v>12</v>
      </c>
      <c r="D95" s="65"/>
      <c r="E95" s="67"/>
      <c r="F95" s="67"/>
      <c r="G95" s="496">
        <f t="shared" si="35"/>
        <v>0</v>
      </c>
      <c r="H95" s="436"/>
      <c r="I95" s="417"/>
      <c r="J95" s="418">
        <f t="shared" si="36"/>
        <v>12</v>
      </c>
      <c r="K95" s="811">
        <f t="shared" si="37"/>
        <v>1</v>
      </c>
      <c r="L95" s="6"/>
    </row>
    <row r="96" spans="1:12" x14ac:dyDescent="0.3">
      <c r="A96" s="1238">
        <v>46310</v>
      </c>
      <c r="B96" s="1239"/>
      <c r="C96" s="36" t="s">
        <v>13</v>
      </c>
      <c r="D96" s="65"/>
      <c r="E96" s="67"/>
      <c r="F96" s="67"/>
      <c r="G96" s="496">
        <f t="shared" si="35"/>
        <v>0</v>
      </c>
      <c r="H96" s="436"/>
      <c r="I96" s="417"/>
      <c r="J96" s="418">
        <f t="shared" si="36"/>
        <v>12</v>
      </c>
      <c r="K96" s="811">
        <f t="shared" si="37"/>
        <v>1</v>
      </c>
      <c r="L96" s="6"/>
    </row>
    <row r="97" spans="1:12" x14ac:dyDescent="0.3">
      <c r="A97" s="1238">
        <v>46311</v>
      </c>
      <c r="B97" s="1239"/>
      <c r="C97" s="36" t="s">
        <v>12</v>
      </c>
      <c r="D97" s="65"/>
      <c r="E97" s="67"/>
      <c r="F97" s="67"/>
      <c r="G97" s="496">
        <f t="shared" si="35"/>
        <v>0</v>
      </c>
      <c r="H97" s="436"/>
      <c r="I97" s="417"/>
      <c r="J97" s="418">
        <f t="shared" si="36"/>
        <v>12</v>
      </c>
      <c r="K97" s="811">
        <f t="shared" si="37"/>
        <v>1</v>
      </c>
      <c r="L97" s="6"/>
    </row>
    <row r="98" spans="1:12" x14ac:dyDescent="0.3">
      <c r="A98" s="1238">
        <v>46311</v>
      </c>
      <c r="B98" s="1239"/>
      <c r="C98" s="36" t="s">
        <v>13</v>
      </c>
      <c r="D98" s="65"/>
      <c r="E98" s="67"/>
      <c r="F98" s="67"/>
      <c r="G98" s="496">
        <f t="shared" si="35"/>
        <v>0</v>
      </c>
      <c r="H98" s="436"/>
      <c r="I98" s="417"/>
      <c r="J98" s="418">
        <f t="shared" si="36"/>
        <v>12</v>
      </c>
      <c r="K98" s="811">
        <f t="shared" si="37"/>
        <v>1</v>
      </c>
      <c r="L98" s="6"/>
    </row>
    <row r="99" spans="1:12" x14ac:dyDescent="0.3">
      <c r="A99" s="1238">
        <v>46312</v>
      </c>
      <c r="B99" s="1239"/>
      <c r="C99" s="36" t="s">
        <v>12</v>
      </c>
      <c r="D99" s="65"/>
      <c r="E99" s="67"/>
      <c r="F99" s="67"/>
      <c r="G99" s="496">
        <f t="shared" si="35"/>
        <v>0</v>
      </c>
      <c r="H99" s="436"/>
      <c r="I99" s="417"/>
      <c r="J99" s="418">
        <f t="shared" si="36"/>
        <v>12</v>
      </c>
      <c r="K99" s="811">
        <f t="shared" si="37"/>
        <v>1</v>
      </c>
      <c r="L99" s="6"/>
    </row>
    <row r="100" spans="1:12" x14ac:dyDescent="0.3">
      <c r="A100" s="1238">
        <v>46312</v>
      </c>
      <c r="B100" s="1239"/>
      <c r="C100" s="36" t="s">
        <v>13</v>
      </c>
      <c r="D100" s="65"/>
      <c r="E100" s="67"/>
      <c r="F100" s="67"/>
      <c r="G100" s="496">
        <f t="shared" si="35"/>
        <v>0</v>
      </c>
      <c r="H100" s="436"/>
      <c r="I100" s="417"/>
      <c r="J100" s="418">
        <f t="shared" si="36"/>
        <v>12</v>
      </c>
      <c r="K100" s="811">
        <f t="shared" si="37"/>
        <v>1</v>
      </c>
      <c r="L100" s="6"/>
    </row>
    <row r="101" spans="1:12" x14ac:dyDescent="0.3">
      <c r="A101" s="1238">
        <v>46313</v>
      </c>
      <c r="B101" s="1239"/>
      <c r="C101" s="36" t="s">
        <v>12</v>
      </c>
      <c r="D101" s="65"/>
      <c r="E101" s="67"/>
      <c r="F101" s="67"/>
      <c r="G101" s="496">
        <f t="shared" si="35"/>
        <v>0</v>
      </c>
      <c r="H101" s="436"/>
      <c r="I101" s="417"/>
      <c r="J101" s="418">
        <f t="shared" si="36"/>
        <v>12</v>
      </c>
      <c r="K101" s="811">
        <f t="shared" si="37"/>
        <v>1</v>
      </c>
      <c r="L101" s="6"/>
    </row>
    <row r="102" spans="1:12" x14ac:dyDescent="0.3">
      <c r="A102" s="1238">
        <v>46313</v>
      </c>
      <c r="B102" s="1239"/>
      <c r="C102" s="36" t="s">
        <v>13</v>
      </c>
      <c r="D102" s="65"/>
      <c r="E102" s="67"/>
      <c r="F102" s="67"/>
      <c r="G102" s="496">
        <f t="shared" si="35"/>
        <v>0</v>
      </c>
      <c r="H102" s="436"/>
      <c r="I102" s="417"/>
      <c r="J102" s="418">
        <f t="shared" si="36"/>
        <v>12</v>
      </c>
      <c r="K102" s="811">
        <f t="shared" si="37"/>
        <v>1</v>
      </c>
      <c r="L102" s="6"/>
    </row>
    <row r="103" spans="1:12" x14ac:dyDescent="0.3">
      <c r="A103" s="1238">
        <v>46314</v>
      </c>
      <c r="B103" s="1239"/>
      <c r="C103" s="36" t="s">
        <v>12</v>
      </c>
      <c r="D103" s="65"/>
      <c r="E103" s="67"/>
      <c r="F103" s="67"/>
      <c r="G103" s="496">
        <f t="shared" si="35"/>
        <v>0</v>
      </c>
      <c r="H103" s="436"/>
      <c r="I103" s="417"/>
      <c r="J103" s="418">
        <f t="shared" si="36"/>
        <v>12</v>
      </c>
      <c r="K103" s="811">
        <f t="shared" si="37"/>
        <v>1</v>
      </c>
      <c r="L103" s="6"/>
    </row>
    <row r="104" spans="1:12" x14ac:dyDescent="0.3">
      <c r="A104" s="1238">
        <v>46314</v>
      </c>
      <c r="B104" s="1239"/>
      <c r="C104" s="36" t="s">
        <v>13</v>
      </c>
      <c r="D104" s="65"/>
      <c r="E104" s="67"/>
      <c r="F104" s="67"/>
      <c r="G104" s="496">
        <f t="shared" si="35"/>
        <v>0</v>
      </c>
      <c r="H104" s="436"/>
      <c r="I104" s="417"/>
      <c r="J104" s="418">
        <f t="shared" si="36"/>
        <v>12</v>
      </c>
      <c r="K104" s="811">
        <f t="shared" si="37"/>
        <v>1</v>
      </c>
      <c r="L104" s="6"/>
    </row>
    <row r="105" spans="1:12" x14ac:dyDescent="0.3">
      <c r="A105" s="1238">
        <v>46315</v>
      </c>
      <c r="B105" s="1239"/>
      <c r="C105" s="36" t="s">
        <v>12</v>
      </c>
      <c r="D105" s="65"/>
      <c r="E105" s="67"/>
      <c r="F105" s="67"/>
      <c r="G105" s="496">
        <f t="shared" si="35"/>
        <v>0</v>
      </c>
      <c r="H105" s="436"/>
      <c r="I105" s="417"/>
      <c r="J105" s="418">
        <f t="shared" si="36"/>
        <v>12</v>
      </c>
      <c r="K105" s="811">
        <f t="shared" si="37"/>
        <v>1</v>
      </c>
      <c r="L105" s="6"/>
    </row>
    <row r="106" spans="1:12" x14ac:dyDescent="0.3">
      <c r="A106" s="1238">
        <v>46315</v>
      </c>
      <c r="B106" s="1239"/>
      <c r="C106" s="36" t="s">
        <v>13</v>
      </c>
      <c r="D106" s="65"/>
      <c r="E106" s="67"/>
      <c r="F106" s="67"/>
      <c r="G106" s="496">
        <f t="shared" si="35"/>
        <v>0</v>
      </c>
      <c r="H106" s="436"/>
      <c r="I106" s="417"/>
      <c r="J106" s="418">
        <f t="shared" si="36"/>
        <v>12</v>
      </c>
      <c r="K106" s="811">
        <f t="shared" si="37"/>
        <v>1</v>
      </c>
      <c r="L106" s="6"/>
    </row>
    <row r="107" spans="1:12" x14ac:dyDescent="0.3">
      <c r="A107" s="1238">
        <v>46316</v>
      </c>
      <c r="B107" s="1239"/>
      <c r="C107" s="36" t="s">
        <v>12</v>
      </c>
      <c r="D107" s="65"/>
      <c r="E107" s="67"/>
      <c r="F107" s="67"/>
      <c r="G107" s="496">
        <f t="shared" si="35"/>
        <v>0</v>
      </c>
      <c r="H107" s="436"/>
      <c r="I107" s="417"/>
      <c r="J107" s="418">
        <f t="shared" si="36"/>
        <v>12</v>
      </c>
      <c r="K107" s="811">
        <f t="shared" si="37"/>
        <v>1</v>
      </c>
      <c r="L107" s="6"/>
    </row>
    <row r="108" spans="1:12" x14ac:dyDescent="0.3">
      <c r="A108" s="1238">
        <v>46316</v>
      </c>
      <c r="B108" s="1239"/>
      <c r="C108" s="36" t="s">
        <v>13</v>
      </c>
      <c r="D108" s="65"/>
      <c r="E108" s="67"/>
      <c r="F108" s="67"/>
      <c r="G108" s="496">
        <f t="shared" si="35"/>
        <v>0</v>
      </c>
      <c r="H108" s="436"/>
      <c r="I108" s="417"/>
      <c r="J108" s="418">
        <f t="shared" si="36"/>
        <v>12</v>
      </c>
      <c r="K108" s="811">
        <f t="shared" si="37"/>
        <v>1</v>
      </c>
      <c r="L108" s="6"/>
    </row>
    <row r="109" spans="1:12" x14ac:dyDescent="0.3">
      <c r="A109" s="1238">
        <v>46317</v>
      </c>
      <c r="B109" s="1239"/>
      <c r="C109" s="36" t="s">
        <v>12</v>
      </c>
      <c r="D109" s="65"/>
      <c r="E109" s="67"/>
      <c r="F109" s="67"/>
      <c r="G109" s="496">
        <f t="shared" si="35"/>
        <v>0</v>
      </c>
      <c r="H109" s="436"/>
      <c r="I109" s="417"/>
      <c r="J109" s="418">
        <f t="shared" si="36"/>
        <v>12</v>
      </c>
      <c r="K109" s="811">
        <f t="shared" si="37"/>
        <v>1</v>
      </c>
      <c r="L109" s="6"/>
    </row>
    <row r="110" spans="1:12" x14ac:dyDescent="0.3">
      <c r="A110" s="1238">
        <v>46317</v>
      </c>
      <c r="B110" s="1239"/>
      <c r="C110" s="36" t="s">
        <v>13</v>
      </c>
      <c r="D110" s="65"/>
      <c r="E110" s="67"/>
      <c r="F110" s="67"/>
      <c r="G110" s="496">
        <f t="shared" si="35"/>
        <v>0</v>
      </c>
      <c r="H110" s="436"/>
      <c r="I110" s="417"/>
      <c r="J110" s="418">
        <f t="shared" si="36"/>
        <v>12</v>
      </c>
      <c r="K110" s="811">
        <f t="shared" si="37"/>
        <v>1</v>
      </c>
      <c r="L110" s="6"/>
    </row>
    <row r="111" spans="1:12" x14ac:dyDescent="0.3">
      <c r="A111" s="1238">
        <v>46318</v>
      </c>
      <c r="B111" s="1239"/>
      <c r="C111" s="36" t="s">
        <v>12</v>
      </c>
      <c r="D111" s="65"/>
      <c r="E111" s="67"/>
      <c r="F111" s="67"/>
      <c r="G111" s="496">
        <f t="shared" si="35"/>
        <v>0</v>
      </c>
      <c r="H111" s="436"/>
      <c r="I111" s="417"/>
      <c r="J111" s="418">
        <f t="shared" si="36"/>
        <v>12</v>
      </c>
      <c r="K111" s="811">
        <f t="shared" si="37"/>
        <v>1</v>
      </c>
      <c r="L111" s="6"/>
    </row>
    <row r="112" spans="1:12" x14ac:dyDescent="0.3">
      <c r="A112" s="1238">
        <v>46318</v>
      </c>
      <c r="B112" s="1239"/>
      <c r="C112" s="36" t="s">
        <v>13</v>
      </c>
      <c r="D112" s="65"/>
      <c r="E112" s="67"/>
      <c r="F112" s="67"/>
      <c r="G112" s="496">
        <f t="shared" si="35"/>
        <v>0</v>
      </c>
      <c r="H112" s="436"/>
      <c r="I112" s="417"/>
      <c r="J112" s="418">
        <f t="shared" si="36"/>
        <v>12</v>
      </c>
      <c r="K112" s="811">
        <f t="shared" si="37"/>
        <v>1</v>
      </c>
      <c r="L112" s="6"/>
    </row>
    <row r="113" spans="1:12" x14ac:dyDescent="0.3">
      <c r="A113" s="1238">
        <v>46319</v>
      </c>
      <c r="B113" s="1239"/>
      <c r="C113" s="36" t="s">
        <v>12</v>
      </c>
      <c r="D113" s="65"/>
      <c r="E113" s="67"/>
      <c r="F113" s="67"/>
      <c r="G113" s="496">
        <f t="shared" si="35"/>
        <v>0</v>
      </c>
      <c r="H113" s="436"/>
      <c r="I113" s="417"/>
      <c r="J113" s="418">
        <f t="shared" si="36"/>
        <v>12</v>
      </c>
      <c r="K113" s="811">
        <f t="shared" si="37"/>
        <v>1</v>
      </c>
      <c r="L113" s="6"/>
    </row>
    <row r="114" spans="1:12" x14ac:dyDescent="0.3">
      <c r="A114" s="1238">
        <v>46319</v>
      </c>
      <c r="B114" s="1239"/>
      <c r="C114" s="36" t="s">
        <v>13</v>
      </c>
      <c r="D114" s="65"/>
      <c r="E114" s="67"/>
      <c r="F114" s="67"/>
      <c r="G114" s="496">
        <f t="shared" si="35"/>
        <v>0</v>
      </c>
      <c r="H114" s="436"/>
      <c r="I114" s="417"/>
      <c r="J114" s="418">
        <f t="shared" si="36"/>
        <v>12</v>
      </c>
      <c r="K114" s="811">
        <f t="shared" si="37"/>
        <v>1</v>
      </c>
      <c r="L114" s="6"/>
    </row>
    <row r="115" spans="1:12" x14ac:dyDescent="0.3">
      <c r="A115" s="1238">
        <v>46320</v>
      </c>
      <c r="B115" s="1239"/>
      <c r="C115" s="36" t="s">
        <v>12</v>
      </c>
      <c r="D115" s="65"/>
      <c r="E115" s="67"/>
      <c r="F115" s="67"/>
      <c r="G115" s="496">
        <f t="shared" si="35"/>
        <v>0</v>
      </c>
      <c r="H115" s="436"/>
      <c r="I115" s="417"/>
      <c r="J115" s="418">
        <f t="shared" si="36"/>
        <v>12</v>
      </c>
      <c r="K115" s="811">
        <f t="shared" si="37"/>
        <v>1</v>
      </c>
      <c r="L115" s="6"/>
    </row>
    <row r="116" spans="1:12" x14ac:dyDescent="0.3">
      <c r="A116" s="1238">
        <v>46320</v>
      </c>
      <c r="B116" s="1239"/>
      <c r="C116" s="36" t="s">
        <v>13</v>
      </c>
      <c r="D116" s="65"/>
      <c r="E116" s="67"/>
      <c r="F116" s="67"/>
      <c r="G116" s="496">
        <f t="shared" si="35"/>
        <v>0</v>
      </c>
      <c r="H116" s="436"/>
      <c r="I116" s="417"/>
      <c r="J116" s="418">
        <f t="shared" si="36"/>
        <v>12</v>
      </c>
      <c r="K116" s="811">
        <f t="shared" si="37"/>
        <v>1</v>
      </c>
      <c r="L116" s="6"/>
    </row>
    <row r="117" spans="1:12" x14ac:dyDescent="0.3">
      <c r="A117" s="1238">
        <v>46321</v>
      </c>
      <c r="B117" s="1239"/>
      <c r="C117" s="36" t="s">
        <v>12</v>
      </c>
      <c r="D117" s="65"/>
      <c r="E117" s="67"/>
      <c r="F117" s="67"/>
      <c r="G117" s="496">
        <f t="shared" si="35"/>
        <v>0</v>
      </c>
      <c r="H117" s="436"/>
      <c r="I117" s="417"/>
      <c r="J117" s="418">
        <f t="shared" si="36"/>
        <v>12</v>
      </c>
      <c r="K117" s="811">
        <f t="shared" si="37"/>
        <v>1</v>
      </c>
      <c r="L117" s="6"/>
    </row>
    <row r="118" spans="1:12" x14ac:dyDescent="0.3">
      <c r="A118" s="1238">
        <v>46321</v>
      </c>
      <c r="B118" s="1239"/>
      <c r="C118" s="36" t="s">
        <v>13</v>
      </c>
      <c r="D118" s="65"/>
      <c r="E118" s="67"/>
      <c r="F118" s="67"/>
      <c r="G118" s="496">
        <f t="shared" si="35"/>
        <v>0</v>
      </c>
      <c r="H118" s="436"/>
      <c r="I118" s="417"/>
      <c r="J118" s="418">
        <f t="shared" si="36"/>
        <v>12</v>
      </c>
      <c r="K118" s="811">
        <f t="shared" si="37"/>
        <v>1</v>
      </c>
      <c r="L118" s="6"/>
    </row>
    <row r="119" spans="1:12" x14ac:dyDescent="0.3">
      <c r="A119" s="1238">
        <v>46322</v>
      </c>
      <c r="B119" s="1239"/>
      <c r="C119" s="36" t="s">
        <v>12</v>
      </c>
      <c r="D119" s="65"/>
      <c r="E119" s="67"/>
      <c r="F119" s="67"/>
      <c r="G119" s="496">
        <f t="shared" si="35"/>
        <v>0</v>
      </c>
      <c r="H119" s="436"/>
      <c r="I119" s="417"/>
      <c r="J119" s="418">
        <f t="shared" si="36"/>
        <v>12</v>
      </c>
      <c r="K119" s="811">
        <f t="shared" si="37"/>
        <v>1</v>
      </c>
      <c r="L119" s="6"/>
    </row>
    <row r="120" spans="1:12" x14ac:dyDescent="0.3">
      <c r="A120" s="1238">
        <v>46322</v>
      </c>
      <c r="B120" s="1239"/>
      <c r="C120" s="36" t="s">
        <v>13</v>
      </c>
      <c r="D120" s="65"/>
      <c r="E120" s="67"/>
      <c r="F120" s="67"/>
      <c r="G120" s="496">
        <f t="shared" si="35"/>
        <v>0</v>
      </c>
      <c r="H120" s="436"/>
      <c r="I120" s="417"/>
      <c r="J120" s="418">
        <f t="shared" si="36"/>
        <v>12</v>
      </c>
      <c r="K120" s="811">
        <f t="shared" si="37"/>
        <v>1</v>
      </c>
      <c r="L120" s="6"/>
    </row>
    <row r="121" spans="1:12" x14ac:dyDescent="0.3">
      <c r="A121" s="1238">
        <v>46323</v>
      </c>
      <c r="B121" s="1239"/>
      <c r="C121" s="36" t="s">
        <v>12</v>
      </c>
      <c r="D121" s="65"/>
      <c r="E121" s="67"/>
      <c r="F121" s="67"/>
      <c r="G121" s="496">
        <f t="shared" si="35"/>
        <v>0</v>
      </c>
      <c r="H121" s="436"/>
      <c r="I121" s="417"/>
      <c r="J121" s="418">
        <f t="shared" si="36"/>
        <v>12</v>
      </c>
      <c r="K121" s="811">
        <f t="shared" si="37"/>
        <v>1</v>
      </c>
      <c r="L121" s="6"/>
    </row>
    <row r="122" spans="1:12" x14ac:dyDescent="0.3">
      <c r="A122" s="1238">
        <v>46323</v>
      </c>
      <c r="B122" s="1239"/>
      <c r="C122" s="36" t="s">
        <v>13</v>
      </c>
      <c r="D122" s="65"/>
      <c r="E122" s="67"/>
      <c r="F122" s="67"/>
      <c r="G122" s="496">
        <f t="shared" si="35"/>
        <v>0</v>
      </c>
      <c r="H122" s="436"/>
      <c r="I122" s="417"/>
      <c r="J122" s="418">
        <f t="shared" si="36"/>
        <v>12</v>
      </c>
      <c r="K122" s="811">
        <f t="shared" si="37"/>
        <v>1</v>
      </c>
      <c r="L122" s="6"/>
    </row>
    <row r="123" spans="1:12" x14ac:dyDescent="0.3">
      <c r="A123" s="1238">
        <v>46324</v>
      </c>
      <c r="B123" s="1239"/>
      <c r="C123" s="36" t="s">
        <v>12</v>
      </c>
      <c r="D123" s="65"/>
      <c r="E123" s="67"/>
      <c r="F123" s="67"/>
      <c r="G123" s="496">
        <f t="shared" si="35"/>
        <v>0</v>
      </c>
      <c r="H123" s="436"/>
      <c r="I123" s="417"/>
      <c r="J123" s="418">
        <f t="shared" si="36"/>
        <v>12</v>
      </c>
      <c r="K123" s="811">
        <f t="shared" si="37"/>
        <v>1</v>
      </c>
      <c r="L123" s="6"/>
    </row>
    <row r="124" spans="1:12" x14ac:dyDescent="0.3">
      <c r="A124" s="1238">
        <v>46324</v>
      </c>
      <c r="B124" s="1239"/>
      <c r="C124" s="36" t="s">
        <v>13</v>
      </c>
      <c r="D124" s="65"/>
      <c r="E124" s="67"/>
      <c r="F124" s="67"/>
      <c r="G124" s="496">
        <f t="shared" si="35"/>
        <v>0</v>
      </c>
      <c r="H124" s="436"/>
      <c r="I124" s="417"/>
      <c r="J124" s="418">
        <f t="shared" si="36"/>
        <v>12</v>
      </c>
      <c r="K124" s="811">
        <f t="shared" si="37"/>
        <v>1</v>
      </c>
      <c r="L124" s="6"/>
    </row>
    <row r="125" spans="1:12" x14ac:dyDescent="0.3">
      <c r="A125" s="1238">
        <v>46325</v>
      </c>
      <c r="B125" s="1239"/>
      <c r="C125" s="36" t="s">
        <v>12</v>
      </c>
      <c r="D125" s="65"/>
      <c r="E125" s="67"/>
      <c r="F125" s="67"/>
      <c r="G125" s="496">
        <f t="shared" si="35"/>
        <v>0</v>
      </c>
      <c r="H125" s="436"/>
      <c r="I125" s="417"/>
      <c r="J125" s="418">
        <f t="shared" si="36"/>
        <v>12</v>
      </c>
      <c r="K125" s="811">
        <f t="shared" si="37"/>
        <v>1</v>
      </c>
      <c r="L125" s="6"/>
    </row>
    <row r="126" spans="1:12" x14ac:dyDescent="0.3">
      <c r="A126" s="1238">
        <v>46325</v>
      </c>
      <c r="B126" s="1239"/>
      <c r="C126" s="36" t="s">
        <v>13</v>
      </c>
      <c r="D126" s="65"/>
      <c r="E126" s="67"/>
      <c r="F126" s="67"/>
      <c r="G126" s="496">
        <f t="shared" si="35"/>
        <v>0</v>
      </c>
      <c r="H126" s="436"/>
      <c r="I126" s="417"/>
      <c r="J126" s="418">
        <f t="shared" si="36"/>
        <v>12</v>
      </c>
      <c r="K126" s="811">
        <f t="shared" si="37"/>
        <v>1</v>
      </c>
      <c r="L126" s="6"/>
    </row>
    <row r="127" spans="1:12" x14ac:dyDescent="0.3">
      <c r="A127" s="1238">
        <v>46351</v>
      </c>
      <c r="B127" s="1239"/>
      <c r="C127" s="36" t="s">
        <v>12</v>
      </c>
      <c r="D127" s="65"/>
      <c r="E127" s="67"/>
      <c r="F127" s="67"/>
      <c r="G127" s="496">
        <f t="shared" si="35"/>
        <v>0</v>
      </c>
      <c r="H127" s="436"/>
      <c r="I127" s="417"/>
      <c r="J127" s="418">
        <f t="shared" si="36"/>
        <v>12</v>
      </c>
      <c r="K127" s="811">
        <f t="shared" si="37"/>
        <v>1</v>
      </c>
      <c r="L127" s="6"/>
    </row>
    <row r="128" spans="1:12" x14ac:dyDescent="0.3">
      <c r="A128" s="1238">
        <v>46352</v>
      </c>
      <c r="B128" s="1239"/>
      <c r="C128" s="36" t="s">
        <v>13</v>
      </c>
      <c r="D128" s="65"/>
      <c r="E128" s="67"/>
      <c r="F128" s="67"/>
      <c r="G128" s="496">
        <f t="shared" si="35"/>
        <v>0</v>
      </c>
      <c r="H128" s="436"/>
      <c r="I128" s="417"/>
      <c r="J128" s="418">
        <f t="shared" si="36"/>
        <v>12</v>
      </c>
      <c r="K128" s="811">
        <f t="shared" si="37"/>
        <v>1</v>
      </c>
      <c r="L128" s="6"/>
    </row>
    <row r="129" spans="1:12" x14ac:dyDescent="0.3">
      <c r="A129" s="1238">
        <v>46353</v>
      </c>
      <c r="B129" s="1239"/>
      <c r="C129" s="36" t="s">
        <v>12</v>
      </c>
      <c r="D129" s="65"/>
      <c r="E129" s="67"/>
      <c r="F129" s="67"/>
      <c r="G129" s="496">
        <f t="shared" si="35"/>
        <v>0</v>
      </c>
      <c r="H129" s="436"/>
      <c r="I129" s="417"/>
      <c r="J129" s="418">
        <f t="shared" si="36"/>
        <v>12</v>
      </c>
      <c r="K129" s="811">
        <f t="shared" si="37"/>
        <v>1</v>
      </c>
      <c r="L129" s="6"/>
    </row>
    <row r="130" spans="1:12" x14ac:dyDescent="0.3">
      <c r="A130" s="1238">
        <v>46354</v>
      </c>
      <c r="B130" s="1239"/>
      <c r="C130" s="36" t="s">
        <v>13</v>
      </c>
      <c r="D130" s="65"/>
      <c r="E130" s="67"/>
      <c r="F130" s="67"/>
      <c r="G130" s="496">
        <f t="shared" si="35"/>
        <v>0</v>
      </c>
      <c r="H130" s="436"/>
      <c r="I130" s="417"/>
      <c r="J130" s="418">
        <f t="shared" si="36"/>
        <v>12</v>
      </c>
      <c r="K130" s="811">
        <f t="shared" si="37"/>
        <v>1</v>
      </c>
      <c r="L130" s="6"/>
    </row>
    <row r="131" spans="1:12" x14ac:dyDescent="0.3">
      <c r="A131" s="1238">
        <v>46355</v>
      </c>
      <c r="B131" s="1239"/>
      <c r="C131" s="36" t="s">
        <v>12</v>
      </c>
      <c r="D131" s="65"/>
      <c r="E131" s="67"/>
      <c r="F131" s="67"/>
      <c r="G131" s="496">
        <f t="shared" si="35"/>
        <v>0</v>
      </c>
      <c r="H131" s="436"/>
      <c r="I131" s="417"/>
      <c r="J131" s="418">
        <f t="shared" si="36"/>
        <v>12</v>
      </c>
      <c r="K131" s="811">
        <f t="shared" si="37"/>
        <v>1</v>
      </c>
      <c r="L131" s="6"/>
    </row>
    <row r="132" spans="1:12" x14ac:dyDescent="0.3">
      <c r="A132" s="1238">
        <v>46356</v>
      </c>
      <c r="B132" s="1239"/>
      <c r="C132" s="36" t="s">
        <v>13</v>
      </c>
      <c r="D132" s="65"/>
      <c r="E132" s="67"/>
      <c r="F132" s="67"/>
      <c r="G132" s="496">
        <f t="shared" si="35"/>
        <v>0</v>
      </c>
      <c r="H132" s="436"/>
      <c r="I132" s="417"/>
      <c r="J132" s="418">
        <f t="shared" si="36"/>
        <v>12</v>
      </c>
      <c r="K132" s="811">
        <f t="shared" si="37"/>
        <v>1</v>
      </c>
      <c r="L132" s="6"/>
    </row>
    <row r="133" spans="1:12" x14ac:dyDescent="0.3">
      <c r="A133" s="1238">
        <v>46357</v>
      </c>
      <c r="B133" s="1239"/>
      <c r="C133" s="36" t="s">
        <v>12</v>
      </c>
      <c r="D133" s="65"/>
      <c r="E133" s="67"/>
      <c r="F133" s="67"/>
      <c r="G133" s="496">
        <f t="shared" si="35"/>
        <v>0</v>
      </c>
      <c r="H133" s="436"/>
      <c r="I133" s="417"/>
      <c r="J133" s="418">
        <f t="shared" si="36"/>
        <v>12</v>
      </c>
      <c r="K133" s="811">
        <f t="shared" si="37"/>
        <v>1</v>
      </c>
      <c r="L133" s="6"/>
    </row>
    <row r="134" spans="1:12" x14ac:dyDescent="0.3">
      <c r="A134" s="1238">
        <v>46358</v>
      </c>
      <c r="B134" s="1239"/>
      <c r="C134" s="36" t="s">
        <v>13</v>
      </c>
      <c r="D134" s="65"/>
      <c r="E134" s="67"/>
      <c r="F134" s="67"/>
      <c r="G134" s="496">
        <f t="shared" si="35"/>
        <v>0</v>
      </c>
      <c r="H134" s="436"/>
      <c r="I134" s="417"/>
      <c r="J134" s="418">
        <f t="shared" si="36"/>
        <v>12</v>
      </c>
      <c r="K134" s="811">
        <f t="shared" si="37"/>
        <v>1</v>
      </c>
      <c r="L134" s="6"/>
    </row>
    <row r="135" spans="1:12" x14ac:dyDescent="0.3">
      <c r="A135" s="1238">
        <v>46359</v>
      </c>
      <c r="B135" s="1239"/>
      <c r="C135" s="36" t="s">
        <v>12</v>
      </c>
      <c r="D135" s="65"/>
      <c r="E135" s="67"/>
      <c r="F135" s="67"/>
      <c r="G135" s="496">
        <f t="shared" si="35"/>
        <v>0</v>
      </c>
      <c r="H135" s="436"/>
      <c r="I135" s="417"/>
      <c r="J135" s="418">
        <f t="shared" si="36"/>
        <v>12</v>
      </c>
      <c r="K135" s="811">
        <f t="shared" si="37"/>
        <v>1</v>
      </c>
      <c r="L135" s="6"/>
    </row>
    <row r="136" spans="1:12" x14ac:dyDescent="0.3">
      <c r="A136" s="1238">
        <v>46360</v>
      </c>
      <c r="B136" s="1239"/>
      <c r="C136" s="36" t="s">
        <v>13</v>
      </c>
      <c r="D136" s="65"/>
      <c r="E136" s="67"/>
      <c r="F136" s="67"/>
      <c r="G136" s="496">
        <f t="shared" si="35"/>
        <v>0</v>
      </c>
      <c r="H136" s="436"/>
      <c r="I136" s="417"/>
      <c r="J136" s="418">
        <f t="shared" si="36"/>
        <v>12</v>
      </c>
      <c r="K136" s="811">
        <f t="shared" si="37"/>
        <v>1</v>
      </c>
      <c r="L136" s="6"/>
    </row>
    <row r="137" spans="1:12" x14ac:dyDescent="0.3">
      <c r="A137" s="1238">
        <v>46361</v>
      </c>
      <c r="B137" s="1239"/>
      <c r="C137" s="36" t="s">
        <v>12</v>
      </c>
      <c r="D137" s="65"/>
      <c r="E137" s="67"/>
      <c r="F137" s="67"/>
      <c r="G137" s="496">
        <f t="shared" si="35"/>
        <v>0</v>
      </c>
      <c r="H137" s="436"/>
      <c r="I137" s="417"/>
      <c r="J137" s="418">
        <f t="shared" si="36"/>
        <v>12</v>
      </c>
      <c r="K137" s="811">
        <f t="shared" si="37"/>
        <v>1</v>
      </c>
      <c r="L137" s="6"/>
    </row>
    <row r="138" spans="1:12" x14ac:dyDescent="0.3">
      <c r="A138" s="1238">
        <v>46362</v>
      </c>
      <c r="B138" s="1239"/>
      <c r="C138" s="36" t="s">
        <v>13</v>
      </c>
      <c r="D138" s="65"/>
      <c r="E138" s="67"/>
      <c r="F138" s="67"/>
      <c r="G138" s="496">
        <f t="shared" si="35"/>
        <v>0</v>
      </c>
      <c r="H138" s="436"/>
      <c r="I138" s="417"/>
      <c r="J138" s="418">
        <f t="shared" si="36"/>
        <v>12</v>
      </c>
      <c r="K138" s="811">
        <f t="shared" si="37"/>
        <v>1</v>
      </c>
      <c r="L138" s="6"/>
    </row>
    <row r="139" spans="1:12" x14ac:dyDescent="0.3">
      <c r="A139" s="1238">
        <v>46363</v>
      </c>
      <c r="B139" s="1239"/>
      <c r="C139" s="36" t="s">
        <v>12</v>
      </c>
      <c r="D139" s="65"/>
      <c r="E139" s="67"/>
      <c r="F139" s="67"/>
      <c r="G139" s="496">
        <f t="shared" si="35"/>
        <v>0</v>
      </c>
      <c r="H139" s="436"/>
      <c r="I139" s="417"/>
      <c r="J139" s="418">
        <f t="shared" si="36"/>
        <v>12</v>
      </c>
      <c r="K139" s="811">
        <f t="shared" si="37"/>
        <v>1</v>
      </c>
      <c r="L139" s="6"/>
    </row>
    <row r="140" spans="1:12" x14ac:dyDescent="0.3">
      <c r="A140" s="1238">
        <v>46364</v>
      </c>
      <c r="B140" s="1239"/>
      <c r="C140" s="36" t="s">
        <v>13</v>
      </c>
      <c r="D140" s="65"/>
      <c r="E140" s="67"/>
      <c r="F140" s="67"/>
      <c r="G140" s="496">
        <f t="shared" si="35"/>
        <v>0</v>
      </c>
      <c r="H140" s="436"/>
      <c r="I140" s="417"/>
      <c r="J140" s="418">
        <f t="shared" si="36"/>
        <v>12</v>
      </c>
      <c r="K140" s="811">
        <f t="shared" si="37"/>
        <v>1</v>
      </c>
      <c r="L140" s="6"/>
    </row>
    <row r="141" spans="1:12" x14ac:dyDescent="0.3">
      <c r="A141" s="1238">
        <v>46365</v>
      </c>
      <c r="B141" s="1239"/>
      <c r="C141" s="36" t="s">
        <v>12</v>
      </c>
      <c r="D141" s="65"/>
      <c r="E141" s="67"/>
      <c r="F141" s="67"/>
      <c r="G141" s="496">
        <f t="shared" ref="G141:G179" si="38">(F141-E141)*1440</f>
        <v>0</v>
      </c>
      <c r="H141" s="436"/>
      <c r="I141" s="417"/>
      <c r="J141" s="418">
        <f t="shared" ref="J141:J179" si="39">(720-G141)/60</f>
        <v>12</v>
      </c>
      <c r="K141" s="811">
        <f t="shared" ref="K141:K179" si="40">J141/12</f>
        <v>1</v>
      </c>
      <c r="L141" s="6"/>
    </row>
    <row r="142" spans="1:12" x14ac:dyDescent="0.3">
      <c r="A142" s="1238">
        <v>46366</v>
      </c>
      <c r="B142" s="1239"/>
      <c r="C142" s="36" t="s">
        <v>13</v>
      </c>
      <c r="D142" s="65"/>
      <c r="E142" s="67"/>
      <c r="F142" s="67"/>
      <c r="G142" s="496">
        <f t="shared" si="38"/>
        <v>0</v>
      </c>
      <c r="H142" s="436"/>
      <c r="I142" s="417"/>
      <c r="J142" s="418">
        <f t="shared" si="39"/>
        <v>12</v>
      </c>
      <c r="K142" s="811">
        <f t="shared" si="40"/>
        <v>1</v>
      </c>
      <c r="L142" s="6"/>
    </row>
    <row r="143" spans="1:12" x14ac:dyDescent="0.3">
      <c r="A143" s="1238">
        <v>46367</v>
      </c>
      <c r="B143" s="1239"/>
      <c r="C143" s="36" t="s">
        <v>12</v>
      </c>
      <c r="D143" s="65"/>
      <c r="E143" s="67"/>
      <c r="F143" s="67"/>
      <c r="G143" s="496">
        <f t="shared" si="38"/>
        <v>0</v>
      </c>
      <c r="H143" s="436"/>
      <c r="I143" s="417"/>
      <c r="J143" s="418">
        <f t="shared" si="39"/>
        <v>12</v>
      </c>
      <c r="K143" s="811">
        <f t="shared" si="40"/>
        <v>1</v>
      </c>
      <c r="L143" s="6"/>
    </row>
    <row r="144" spans="1:12" x14ac:dyDescent="0.3">
      <c r="A144" s="1238">
        <v>46368</v>
      </c>
      <c r="B144" s="1239"/>
      <c r="C144" s="36" t="s">
        <v>13</v>
      </c>
      <c r="D144" s="65"/>
      <c r="E144" s="67"/>
      <c r="F144" s="67"/>
      <c r="G144" s="496">
        <f t="shared" si="38"/>
        <v>0</v>
      </c>
      <c r="H144" s="436"/>
      <c r="I144" s="417"/>
      <c r="J144" s="418">
        <f t="shared" si="39"/>
        <v>12</v>
      </c>
      <c r="K144" s="811">
        <f t="shared" si="40"/>
        <v>1</v>
      </c>
      <c r="L144" s="6"/>
    </row>
    <row r="145" spans="1:12" x14ac:dyDescent="0.3">
      <c r="A145" s="1238">
        <v>46369</v>
      </c>
      <c r="B145" s="1239"/>
      <c r="C145" s="36" t="s">
        <v>12</v>
      </c>
      <c r="D145" s="65"/>
      <c r="E145" s="67"/>
      <c r="F145" s="67"/>
      <c r="G145" s="496">
        <f t="shared" si="38"/>
        <v>0</v>
      </c>
      <c r="H145" s="436"/>
      <c r="I145" s="417"/>
      <c r="J145" s="418">
        <f t="shared" si="39"/>
        <v>12</v>
      </c>
      <c r="K145" s="811">
        <f t="shared" si="40"/>
        <v>1</v>
      </c>
      <c r="L145" s="6"/>
    </row>
    <row r="146" spans="1:12" x14ac:dyDescent="0.3">
      <c r="A146" s="1238">
        <v>46370</v>
      </c>
      <c r="B146" s="1239"/>
      <c r="C146" s="36" t="s">
        <v>13</v>
      </c>
      <c r="D146" s="65"/>
      <c r="E146" s="67"/>
      <c r="F146" s="67"/>
      <c r="G146" s="496">
        <f t="shared" si="38"/>
        <v>0</v>
      </c>
      <c r="H146" s="436"/>
      <c r="I146" s="417"/>
      <c r="J146" s="418">
        <f t="shared" si="39"/>
        <v>12</v>
      </c>
      <c r="K146" s="811">
        <f t="shared" si="40"/>
        <v>1</v>
      </c>
      <c r="L146" s="6"/>
    </row>
    <row r="147" spans="1:12" x14ac:dyDescent="0.3">
      <c r="A147" s="1238">
        <v>46371</v>
      </c>
      <c r="B147" s="1239"/>
      <c r="C147" s="36" t="s">
        <v>12</v>
      </c>
      <c r="D147" s="65"/>
      <c r="E147" s="67"/>
      <c r="F147" s="67"/>
      <c r="G147" s="496">
        <f t="shared" si="38"/>
        <v>0</v>
      </c>
      <c r="H147" s="436"/>
      <c r="I147" s="417"/>
      <c r="J147" s="418">
        <f t="shared" si="39"/>
        <v>12</v>
      </c>
      <c r="K147" s="811">
        <f t="shared" si="40"/>
        <v>1</v>
      </c>
      <c r="L147" s="6"/>
    </row>
    <row r="148" spans="1:12" x14ac:dyDescent="0.3">
      <c r="A148" s="1238">
        <v>46372</v>
      </c>
      <c r="B148" s="1239"/>
      <c r="C148" s="36" t="s">
        <v>13</v>
      </c>
      <c r="D148" s="65"/>
      <c r="E148" s="67"/>
      <c r="F148" s="67"/>
      <c r="G148" s="496">
        <f t="shared" si="38"/>
        <v>0</v>
      </c>
      <c r="H148" s="436"/>
      <c r="I148" s="417"/>
      <c r="J148" s="418">
        <f t="shared" si="39"/>
        <v>12</v>
      </c>
      <c r="K148" s="811">
        <f t="shared" si="40"/>
        <v>1</v>
      </c>
      <c r="L148" s="6"/>
    </row>
    <row r="149" spans="1:12" x14ac:dyDescent="0.3">
      <c r="A149" s="1238">
        <v>46373</v>
      </c>
      <c r="B149" s="1239"/>
      <c r="C149" s="36" t="s">
        <v>12</v>
      </c>
      <c r="D149" s="65"/>
      <c r="E149" s="67"/>
      <c r="F149" s="67"/>
      <c r="G149" s="496">
        <f t="shared" si="38"/>
        <v>0</v>
      </c>
      <c r="H149" s="436"/>
      <c r="I149" s="417"/>
      <c r="J149" s="418">
        <f t="shared" si="39"/>
        <v>12</v>
      </c>
      <c r="K149" s="811">
        <f t="shared" si="40"/>
        <v>1</v>
      </c>
      <c r="L149" s="6"/>
    </row>
    <row r="150" spans="1:12" x14ac:dyDescent="0.3">
      <c r="A150" s="1238">
        <v>46374</v>
      </c>
      <c r="B150" s="1239"/>
      <c r="C150" s="36" t="s">
        <v>13</v>
      </c>
      <c r="D150" s="65"/>
      <c r="E150" s="67"/>
      <c r="F150" s="67"/>
      <c r="G150" s="496">
        <f t="shared" si="38"/>
        <v>0</v>
      </c>
      <c r="H150" s="436"/>
      <c r="I150" s="417"/>
      <c r="J150" s="418">
        <f t="shared" si="39"/>
        <v>12</v>
      </c>
      <c r="K150" s="811">
        <f t="shared" si="40"/>
        <v>1</v>
      </c>
      <c r="L150" s="6"/>
    </row>
    <row r="151" spans="1:12" x14ac:dyDescent="0.3">
      <c r="A151" s="1238">
        <v>46375</v>
      </c>
      <c r="B151" s="1239"/>
      <c r="C151" s="36" t="s">
        <v>12</v>
      </c>
      <c r="D151" s="65"/>
      <c r="E151" s="67"/>
      <c r="F151" s="67"/>
      <c r="G151" s="496">
        <f t="shared" si="38"/>
        <v>0</v>
      </c>
      <c r="H151" s="436"/>
      <c r="I151" s="417"/>
      <c r="J151" s="418">
        <f t="shared" si="39"/>
        <v>12</v>
      </c>
      <c r="K151" s="811">
        <f t="shared" si="40"/>
        <v>1</v>
      </c>
      <c r="L151" s="6"/>
    </row>
    <row r="152" spans="1:12" x14ac:dyDescent="0.3">
      <c r="A152" s="1238">
        <v>46376</v>
      </c>
      <c r="B152" s="1239"/>
      <c r="C152" s="36" t="s">
        <v>13</v>
      </c>
      <c r="D152" s="65"/>
      <c r="E152" s="67"/>
      <c r="F152" s="67"/>
      <c r="G152" s="496">
        <f t="shared" si="38"/>
        <v>0</v>
      </c>
      <c r="H152" s="436"/>
      <c r="I152" s="417"/>
      <c r="J152" s="418">
        <f t="shared" si="39"/>
        <v>12</v>
      </c>
      <c r="K152" s="811">
        <f t="shared" si="40"/>
        <v>1</v>
      </c>
      <c r="L152" s="6"/>
    </row>
    <row r="153" spans="1:12" x14ac:dyDescent="0.3">
      <c r="A153" s="1238">
        <v>46377</v>
      </c>
      <c r="B153" s="1239"/>
      <c r="C153" s="36" t="s">
        <v>12</v>
      </c>
      <c r="D153" s="65"/>
      <c r="E153" s="67"/>
      <c r="F153" s="67"/>
      <c r="G153" s="496">
        <f t="shared" si="38"/>
        <v>0</v>
      </c>
      <c r="H153" s="436"/>
      <c r="I153" s="417"/>
      <c r="J153" s="418">
        <f t="shared" si="39"/>
        <v>12</v>
      </c>
      <c r="K153" s="811">
        <f t="shared" si="40"/>
        <v>1</v>
      </c>
      <c r="L153" s="6"/>
    </row>
    <row r="154" spans="1:12" x14ac:dyDescent="0.3">
      <c r="A154" s="1238">
        <v>46378</v>
      </c>
      <c r="B154" s="1239"/>
      <c r="C154" s="36" t="s">
        <v>13</v>
      </c>
      <c r="D154" s="65"/>
      <c r="E154" s="67"/>
      <c r="F154" s="67"/>
      <c r="G154" s="496">
        <f t="shared" si="38"/>
        <v>0</v>
      </c>
      <c r="H154" s="436"/>
      <c r="I154" s="417"/>
      <c r="J154" s="418">
        <f t="shared" si="39"/>
        <v>12</v>
      </c>
      <c r="K154" s="811">
        <f t="shared" si="40"/>
        <v>1</v>
      </c>
      <c r="L154" s="6"/>
    </row>
    <row r="155" spans="1:12" x14ac:dyDescent="0.3">
      <c r="A155" s="1238">
        <v>46379</v>
      </c>
      <c r="B155" s="1239"/>
      <c r="C155" s="36" t="s">
        <v>12</v>
      </c>
      <c r="D155" s="65"/>
      <c r="E155" s="67"/>
      <c r="F155" s="67"/>
      <c r="G155" s="496">
        <f t="shared" si="38"/>
        <v>0</v>
      </c>
      <c r="H155" s="436"/>
      <c r="I155" s="417"/>
      <c r="J155" s="418">
        <f t="shared" si="39"/>
        <v>12</v>
      </c>
      <c r="K155" s="811">
        <f t="shared" si="40"/>
        <v>1</v>
      </c>
      <c r="L155" s="6"/>
    </row>
    <row r="156" spans="1:12" x14ac:dyDescent="0.3">
      <c r="A156" s="1238">
        <v>46380</v>
      </c>
      <c r="B156" s="1239"/>
      <c r="C156" s="36" t="s">
        <v>13</v>
      </c>
      <c r="D156" s="65"/>
      <c r="E156" s="67"/>
      <c r="F156" s="67"/>
      <c r="G156" s="496">
        <f t="shared" si="38"/>
        <v>0</v>
      </c>
      <c r="H156" s="436"/>
      <c r="I156" s="417"/>
      <c r="J156" s="418">
        <f t="shared" si="39"/>
        <v>12</v>
      </c>
      <c r="K156" s="811">
        <f t="shared" si="40"/>
        <v>1</v>
      </c>
      <c r="L156" s="6"/>
    </row>
    <row r="157" spans="1:12" x14ac:dyDescent="0.3">
      <c r="A157" s="1238">
        <v>46381</v>
      </c>
      <c r="B157" s="1239"/>
      <c r="C157" s="36" t="s">
        <v>12</v>
      </c>
      <c r="D157" s="65"/>
      <c r="E157" s="67"/>
      <c r="F157" s="67"/>
      <c r="G157" s="496">
        <f t="shared" si="38"/>
        <v>0</v>
      </c>
      <c r="H157" s="436"/>
      <c r="I157" s="417"/>
      <c r="J157" s="418">
        <f t="shared" si="39"/>
        <v>12</v>
      </c>
      <c r="K157" s="811">
        <f t="shared" si="40"/>
        <v>1</v>
      </c>
      <c r="L157" s="6"/>
    </row>
    <row r="158" spans="1:12" x14ac:dyDescent="0.3">
      <c r="A158" s="1238">
        <v>46382</v>
      </c>
      <c r="B158" s="1239"/>
      <c r="C158" s="36" t="s">
        <v>13</v>
      </c>
      <c r="D158" s="65"/>
      <c r="E158" s="67"/>
      <c r="F158" s="67"/>
      <c r="G158" s="496">
        <f t="shared" si="38"/>
        <v>0</v>
      </c>
      <c r="H158" s="436"/>
      <c r="I158" s="417"/>
      <c r="J158" s="418">
        <f t="shared" si="39"/>
        <v>12</v>
      </c>
      <c r="K158" s="811">
        <f t="shared" si="40"/>
        <v>1</v>
      </c>
      <c r="L158" s="6"/>
    </row>
    <row r="159" spans="1:12" x14ac:dyDescent="0.3">
      <c r="A159" s="1238">
        <v>46383</v>
      </c>
      <c r="B159" s="1239"/>
      <c r="C159" s="36" t="s">
        <v>12</v>
      </c>
      <c r="D159" s="65"/>
      <c r="E159" s="67"/>
      <c r="F159" s="67"/>
      <c r="G159" s="496">
        <f t="shared" si="38"/>
        <v>0</v>
      </c>
      <c r="H159" s="436"/>
      <c r="I159" s="417"/>
      <c r="J159" s="418">
        <f t="shared" si="39"/>
        <v>12</v>
      </c>
      <c r="K159" s="811">
        <f t="shared" si="40"/>
        <v>1</v>
      </c>
      <c r="L159" s="6"/>
    </row>
    <row r="160" spans="1:12" x14ac:dyDescent="0.3">
      <c r="A160" s="1238">
        <v>46384</v>
      </c>
      <c r="B160" s="1239"/>
      <c r="C160" s="36" t="s">
        <v>13</v>
      </c>
      <c r="D160" s="65"/>
      <c r="E160" s="67"/>
      <c r="F160" s="67"/>
      <c r="G160" s="496">
        <f t="shared" si="38"/>
        <v>0</v>
      </c>
      <c r="H160" s="436"/>
      <c r="I160" s="417"/>
      <c r="J160" s="418">
        <f t="shared" si="39"/>
        <v>12</v>
      </c>
      <c r="K160" s="811">
        <f t="shared" si="40"/>
        <v>1</v>
      </c>
      <c r="L160" s="6"/>
    </row>
    <row r="161" spans="1:12" x14ac:dyDescent="0.3">
      <c r="A161" s="1238">
        <v>46385</v>
      </c>
      <c r="B161" s="1239"/>
      <c r="C161" s="36" t="s">
        <v>12</v>
      </c>
      <c r="D161" s="65"/>
      <c r="E161" s="67"/>
      <c r="F161" s="67"/>
      <c r="G161" s="496">
        <f t="shared" si="38"/>
        <v>0</v>
      </c>
      <c r="H161" s="436"/>
      <c r="I161" s="417"/>
      <c r="J161" s="418">
        <f t="shared" si="39"/>
        <v>12</v>
      </c>
      <c r="K161" s="811">
        <f t="shared" si="40"/>
        <v>1</v>
      </c>
      <c r="L161" s="6"/>
    </row>
    <row r="162" spans="1:12" x14ac:dyDescent="0.3">
      <c r="A162" s="1238">
        <v>46386</v>
      </c>
      <c r="B162" s="1239"/>
      <c r="C162" s="36" t="s">
        <v>13</v>
      </c>
      <c r="D162" s="65"/>
      <c r="E162" s="67"/>
      <c r="F162" s="67"/>
      <c r="G162" s="496">
        <f t="shared" si="38"/>
        <v>0</v>
      </c>
      <c r="H162" s="436"/>
      <c r="I162" s="417"/>
      <c r="J162" s="418">
        <f t="shared" si="39"/>
        <v>12</v>
      </c>
      <c r="K162" s="811">
        <f t="shared" si="40"/>
        <v>1</v>
      </c>
      <c r="L162" s="6"/>
    </row>
    <row r="163" spans="1:12" x14ac:dyDescent="0.3">
      <c r="A163" s="1238">
        <v>46387</v>
      </c>
      <c r="B163" s="1239"/>
      <c r="C163" s="36" t="s">
        <v>12</v>
      </c>
      <c r="D163" s="65"/>
      <c r="E163" s="67"/>
      <c r="F163" s="67"/>
      <c r="G163" s="496">
        <f t="shared" si="38"/>
        <v>0</v>
      </c>
      <c r="H163" s="436"/>
      <c r="I163" s="417"/>
      <c r="J163" s="418">
        <f t="shared" si="39"/>
        <v>12</v>
      </c>
      <c r="K163" s="811">
        <f t="shared" si="40"/>
        <v>1</v>
      </c>
      <c r="L163" s="6"/>
    </row>
    <row r="164" spans="1:12" x14ac:dyDescent="0.3">
      <c r="A164" s="1238">
        <v>46388</v>
      </c>
      <c r="B164" s="1239"/>
      <c r="C164" s="36" t="s">
        <v>13</v>
      </c>
      <c r="D164" s="65"/>
      <c r="E164" s="67"/>
      <c r="F164" s="67"/>
      <c r="G164" s="496">
        <f t="shared" si="38"/>
        <v>0</v>
      </c>
      <c r="H164" s="436"/>
      <c r="I164" s="417"/>
      <c r="J164" s="418">
        <f t="shared" si="39"/>
        <v>12</v>
      </c>
      <c r="K164" s="811">
        <f t="shared" si="40"/>
        <v>1</v>
      </c>
      <c r="L164" s="6"/>
    </row>
    <row r="165" spans="1:12" x14ac:dyDescent="0.3">
      <c r="A165" s="1238">
        <v>46389</v>
      </c>
      <c r="B165" s="1239"/>
      <c r="C165" s="36" t="s">
        <v>12</v>
      </c>
      <c r="D165" s="65"/>
      <c r="E165" s="67"/>
      <c r="F165" s="67"/>
      <c r="G165" s="496">
        <f t="shared" si="38"/>
        <v>0</v>
      </c>
      <c r="H165" s="436"/>
      <c r="I165" s="417"/>
      <c r="J165" s="418">
        <f t="shared" si="39"/>
        <v>12</v>
      </c>
      <c r="K165" s="811">
        <f t="shared" si="40"/>
        <v>1</v>
      </c>
      <c r="L165" s="6"/>
    </row>
    <row r="166" spans="1:12" x14ac:dyDescent="0.3">
      <c r="A166" s="1238">
        <v>46390</v>
      </c>
      <c r="B166" s="1239"/>
      <c r="C166" s="36" t="s">
        <v>13</v>
      </c>
      <c r="D166" s="65"/>
      <c r="E166" s="67"/>
      <c r="F166" s="67"/>
      <c r="G166" s="496">
        <f t="shared" si="38"/>
        <v>0</v>
      </c>
      <c r="H166" s="436"/>
      <c r="I166" s="417"/>
      <c r="J166" s="418">
        <f t="shared" si="39"/>
        <v>12</v>
      </c>
      <c r="K166" s="811">
        <f t="shared" si="40"/>
        <v>1</v>
      </c>
      <c r="L166" s="6"/>
    </row>
    <row r="167" spans="1:12" x14ac:dyDescent="0.3">
      <c r="A167" s="1238">
        <v>46391</v>
      </c>
      <c r="B167" s="1239"/>
      <c r="C167" s="36" t="s">
        <v>12</v>
      </c>
      <c r="D167" s="65"/>
      <c r="E167" s="67"/>
      <c r="F167" s="67"/>
      <c r="G167" s="496">
        <f t="shared" si="38"/>
        <v>0</v>
      </c>
      <c r="H167" s="436"/>
      <c r="I167" s="417"/>
      <c r="J167" s="418">
        <f t="shared" si="39"/>
        <v>12</v>
      </c>
      <c r="K167" s="811">
        <f t="shared" si="40"/>
        <v>1</v>
      </c>
      <c r="L167" s="6"/>
    </row>
    <row r="168" spans="1:12" x14ac:dyDescent="0.3">
      <c r="A168" s="1238">
        <v>46392</v>
      </c>
      <c r="B168" s="1239"/>
      <c r="C168" s="36" t="s">
        <v>13</v>
      </c>
      <c r="D168" s="65"/>
      <c r="E168" s="67"/>
      <c r="F168" s="67"/>
      <c r="G168" s="496">
        <f t="shared" si="38"/>
        <v>0</v>
      </c>
      <c r="H168" s="436"/>
      <c r="I168" s="417"/>
      <c r="J168" s="418">
        <f t="shared" si="39"/>
        <v>12</v>
      </c>
      <c r="K168" s="811">
        <f t="shared" si="40"/>
        <v>1</v>
      </c>
      <c r="L168" s="6"/>
    </row>
    <row r="169" spans="1:12" x14ac:dyDescent="0.3">
      <c r="A169" s="1238">
        <v>46393</v>
      </c>
      <c r="B169" s="1239"/>
      <c r="C169" s="36" t="s">
        <v>12</v>
      </c>
      <c r="D169" s="65"/>
      <c r="E169" s="67"/>
      <c r="F169" s="67"/>
      <c r="G169" s="496">
        <f t="shared" si="38"/>
        <v>0</v>
      </c>
      <c r="H169" s="436"/>
      <c r="I169" s="417"/>
      <c r="J169" s="418">
        <f t="shared" si="39"/>
        <v>12</v>
      </c>
      <c r="K169" s="811">
        <f t="shared" si="40"/>
        <v>1</v>
      </c>
      <c r="L169" s="6"/>
    </row>
    <row r="170" spans="1:12" x14ac:dyDescent="0.3">
      <c r="A170" s="1238">
        <v>46394</v>
      </c>
      <c r="B170" s="1239"/>
      <c r="C170" s="36" t="s">
        <v>13</v>
      </c>
      <c r="D170" s="65"/>
      <c r="E170" s="67"/>
      <c r="F170" s="67"/>
      <c r="G170" s="496">
        <f t="shared" si="38"/>
        <v>0</v>
      </c>
      <c r="H170" s="436"/>
      <c r="I170" s="417"/>
      <c r="J170" s="418">
        <f t="shared" si="39"/>
        <v>12</v>
      </c>
      <c r="K170" s="811">
        <f t="shared" si="40"/>
        <v>1</v>
      </c>
      <c r="L170" s="6"/>
    </row>
    <row r="171" spans="1:12" x14ac:dyDescent="0.3">
      <c r="A171" s="1238">
        <v>46395</v>
      </c>
      <c r="B171" s="1239"/>
      <c r="C171" s="36" t="s">
        <v>12</v>
      </c>
      <c r="D171" s="65"/>
      <c r="E171" s="67"/>
      <c r="F171" s="67"/>
      <c r="G171" s="496">
        <f t="shared" si="38"/>
        <v>0</v>
      </c>
      <c r="H171" s="436"/>
      <c r="I171" s="417"/>
      <c r="J171" s="418">
        <f t="shared" si="39"/>
        <v>12</v>
      </c>
      <c r="K171" s="811">
        <f t="shared" si="40"/>
        <v>1</v>
      </c>
      <c r="L171" s="6"/>
    </row>
    <row r="172" spans="1:12" x14ac:dyDescent="0.3">
      <c r="A172" s="1238">
        <v>46396</v>
      </c>
      <c r="B172" s="1239"/>
      <c r="C172" s="36" t="s">
        <v>13</v>
      </c>
      <c r="D172" s="65"/>
      <c r="E172" s="67"/>
      <c r="F172" s="67"/>
      <c r="G172" s="496">
        <f t="shared" si="38"/>
        <v>0</v>
      </c>
      <c r="H172" s="436"/>
      <c r="I172" s="417"/>
      <c r="J172" s="418">
        <f t="shared" si="39"/>
        <v>12</v>
      </c>
      <c r="K172" s="811">
        <f t="shared" si="40"/>
        <v>1</v>
      </c>
      <c r="L172" s="6"/>
    </row>
    <row r="173" spans="1:12" x14ac:dyDescent="0.3">
      <c r="A173" s="1238">
        <v>46397</v>
      </c>
      <c r="B173" s="1239"/>
      <c r="C173" s="36" t="s">
        <v>12</v>
      </c>
      <c r="D173" s="65"/>
      <c r="E173" s="67"/>
      <c r="F173" s="67"/>
      <c r="G173" s="496">
        <f t="shared" si="38"/>
        <v>0</v>
      </c>
      <c r="H173" s="436"/>
      <c r="I173" s="417"/>
      <c r="J173" s="418">
        <f t="shared" si="39"/>
        <v>12</v>
      </c>
      <c r="K173" s="811">
        <f t="shared" si="40"/>
        <v>1</v>
      </c>
      <c r="L173" s="6"/>
    </row>
    <row r="174" spans="1:12" x14ac:dyDescent="0.3">
      <c r="A174" s="1238">
        <v>46398</v>
      </c>
      <c r="B174" s="1239"/>
      <c r="C174" s="36" t="s">
        <v>13</v>
      </c>
      <c r="D174" s="65"/>
      <c r="E174" s="67"/>
      <c r="F174" s="67"/>
      <c r="G174" s="496">
        <f t="shared" si="38"/>
        <v>0</v>
      </c>
      <c r="H174" s="436"/>
      <c r="I174" s="417"/>
      <c r="J174" s="418">
        <f t="shared" si="39"/>
        <v>12</v>
      </c>
      <c r="K174" s="811">
        <f t="shared" si="40"/>
        <v>1</v>
      </c>
      <c r="L174" s="6"/>
    </row>
    <row r="175" spans="1:12" x14ac:dyDescent="0.3">
      <c r="A175" s="1238">
        <v>46399</v>
      </c>
      <c r="B175" s="1239"/>
      <c r="C175" s="36" t="s">
        <v>12</v>
      </c>
      <c r="D175" s="65"/>
      <c r="E175" s="67"/>
      <c r="F175" s="67"/>
      <c r="G175" s="496">
        <f t="shared" si="38"/>
        <v>0</v>
      </c>
      <c r="H175" s="436"/>
      <c r="I175" s="417"/>
      <c r="J175" s="418">
        <f t="shared" si="39"/>
        <v>12</v>
      </c>
      <c r="K175" s="811">
        <f t="shared" si="40"/>
        <v>1</v>
      </c>
      <c r="L175" s="6"/>
    </row>
    <row r="176" spans="1:12" x14ac:dyDescent="0.3">
      <c r="A176" s="1238">
        <v>46400</v>
      </c>
      <c r="B176" s="1239"/>
      <c r="C176" s="36" t="s">
        <v>13</v>
      </c>
      <c r="D176" s="65"/>
      <c r="E176" s="67"/>
      <c r="F176" s="67"/>
      <c r="G176" s="496">
        <f t="shared" si="38"/>
        <v>0</v>
      </c>
      <c r="H176" s="436"/>
      <c r="I176" s="417"/>
      <c r="J176" s="418">
        <f t="shared" si="39"/>
        <v>12</v>
      </c>
      <c r="K176" s="811">
        <f t="shared" si="40"/>
        <v>1</v>
      </c>
      <c r="L176" s="6"/>
    </row>
    <row r="177" spans="1:12" x14ac:dyDescent="0.3">
      <c r="A177" s="1238">
        <v>46401</v>
      </c>
      <c r="B177" s="1239"/>
      <c r="C177" s="36" t="s">
        <v>12</v>
      </c>
      <c r="D177" s="65"/>
      <c r="E177" s="67"/>
      <c r="F177" s="67"/>
      <c r="G177" s="496">
        <f t="shared" si="38"/>
        <v>0</v>
      </c>
      <c r="H177" s="436"/>
      <c r="I177" s="417"/>
      <c r="J177" s="418">
        <f t="shared" si="39"/>
        <v>12</v>
      </c>
      <c r="K177" s="811">
        <f t="shared" si="40"/>
        <v>1</v>
      </c>
      <c r="L177" s="6"/>
    </row>
    <row r="178" spans="1:12" x14ac:dyDescent="0.3">
      <c r="A178" s="1238">
        <v>46402</v>
      </c>
      <c r="B178" s="1239"/>
      <c r="C178" s="36" t="s">
        <v>13</v>
      </c>
      <c r="D178" s="65"/>
      <c r="E178" s="67"/>
      <c r="F178" s="67"/>
      <c r="G178" s="496">
        <f t="shared" si="38"/>
        <v>0</v>
      </c>
      <c r="H178" s="436"/>
      <c r="I178" s="417"/>
      <c r="J178" s="418">
        <f t="shared" si="39"/>
        <v>12</v>
      </c>
      <c r="K178" s="811">
        <f t="shared" si="40"/>
        <v>1</v>
      </c>
      <c r="L178" s="6"/>
    </row>
    <row r="179" spans="1:12" x14ac:dyDescent="0.3">
      <c r="A179" s="1238">
        <v>46403</v>
      </c>
      <c r="B179" s="1239"/>
      <c r="C179" s="36" t="s">
        <v>12</v>
      </c>
      <c r="D179" s="65"/>
      <c r="E179" s="67"/>
      <c r="F179" s="67"/>
      <c r="G179" s="496">
        <f t="shared" si="38"/>
        <v>0</v>
      </c>
      <c r="H179" s="436"/>
      <c r="I179" s="417"/>
      <c r="J179" s="418">
        <f t="shared" si="39"/>
        <v>12</v>
      </c>
      <c r="K179" s="811">
        <f t="shared" si="40"/>
        <v>1</v>
      </c>
      <c r="L179" s="6"/>
    </row>
  </sheetData>
  <mergeCells count="217">
    <mergeCell ref="A178:B178"/>
    <mergeCell ref="A179:B179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L61:L62"/>
    <mergeCell ref="A55:B55"/>
    <mergeCell ref="A52:B52"/>
    <mergeCell ref="A53:B53"/>
    <mergeCell ref="A54:B54"/>
    <mergeCell ref="A39:B39"/>
    <mergeCell ref="A40:B40"/>
    <mergeCell ref="A32:B32"/>
    <mergeCell ref="A35:B35"/>
    <mergeCell ref="A36:B36"/>
    <mergeCell ref="A45:B45"/>
    <mergeCell ref="A43:B43"/>
    <mergeCell ref="A44:B44"/>
    <mergeCell ref="A48:B48"/>
    <mergeCell ref="A49:B49"/>
    <mergeCell ref="A51:B51"/>
    <mergeCell ref="A38:B38"/>
    <mergeCell ref="L57:L58"/>
    <mergeCell ref="L59:L60"/>
    <mergeCell ref="L49:L50"/>
    <mergeCell ref="L51:L52"/>
    <mergeCell ref="I45:I53"/>
    <mergeCell ref="L53:L54"/>
    <mergeCell ref="I34:I36"/>
    <mergeCell ref="L21:L22"/>
    <mergeCell ref="A37:B37"/>
    <mergeCell ref="L15:L16"/>
    <mergeCell ref="L17:L18"/>
    <mergeCell ref="L19:L20"/>
    <mergeCell ref="A34:B34"/>
    <mergeCell ref="I15:I19"/>
    <mergeCell ref="A15:B15"/>
    <mergeCell ref="I28:I33"/>
    <mergeCell ref="A21:B21"/>
    <mergeCell ref="A16:B16"/>
    <mergeCell ref="A17:B17"/>
    <mergeCell ref="A18:B18"/>
    <mergeCell ref="I20:I23"/>
    <mergeCell ref="A23:B23"/>
    <mergeCell ref="A24:B24"/>
    <mergeCell ref="A22:B22"/>
    <mergeCell ref="L33:L34"/>
    <mergeCell ref="L35:L36"/>
    <mergeCell ref="A19:B19"/>
    <mergeCell ref="A20:B20"/>
    <mergeCell ref="A29:B29"/>
    <mergeCell ref="A30:B30"/>
    <mergeCell ref="A31:B31"/>
    <mergeCell ref="A25:B25"/>
    <mergeCell ref="A50:B50"/>
    <mergeCell ref="A41:B41"/>
    <mergeCell ref="A42:B42"/>
    <mergeCell ref="A68:B68"/>
    <mergeCell ref="A69:B69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26:B26"/>
    <mergeCell ref="A27:B27"/>
    <mergeCell ref="A28:B28"/>
    <mergeCell ref="A33:B33"/>
    <mergeCell ref="A46:B46"/>
    <mergeCell ref="A47:B47"/>
    <mergeCell ref="A56:B56"/>
    <mergeCell ref="A57:B57"/>
    <mergeCell ref="A3:L3"/>
    <mergeCell ref="L5:L6"/>
    <mergeCell ref="L7:L8"/>
    <mergeCell ref="L9:L10"/>
    <mergeCell ref="L11:L12"/>
    <mergeCell ref="A5:B5"/>
    <mergeCell ref="A8:B8"/>
    <mergeCell ref="A9:B9"/>
    <mergeCell ref="A10:B10"/>
    <mergeCell ref="A11:B11"/>
    <mergeCell ref="A4:B4"/>
    <mergeCell ref="I9:I14"/>
    <mergeCell ref="A6:B6"/>
    <mergeCell ref="A7:B7"/>
    <mergeCell ref="I5:I8"/>
    <mergeCell ref="A12:B12"/>
    <mergeCell ref="A14:B14"/>
    <mergeCell ref="A13:B13"/>
    <mergeCell ref="L13:L14"/>
    <mergeCell ref="I25:I27"/>
    <mergeCell ref="L41:L42"/>
    <mergeCell ref="I54:I56"/>
    <mergeCell ref="I41:I44"/>
    <mergeCell ref="I37:I40"/>
    <mergeCell ref="L37:L38"/>
    <mergeCell ref="L55:L56"/>
    <mergeCell ref="L23:L24"/>
    <mergeCell ref="L25:L26"/>
    <mergeCell ref="L27:L28"/>
    <mergeCell ref="L29:L30"/>
    <mergeCell ref="L31:L32"/>
    <mergeCell ref="L43:L44"/>
    <mergeCell ref="L39:L40"/>
    <mergeCell ref="L45:L46"/>
    <mergeCell ref="L47:L48"/>
  </mergeCells>
  <phoneticPr fontId="91" type="noConversion"/>
  <dataValidations count="2">
    <dataValidation type="list" allowBlank="1" showInputMessage="1" showErrorMessage="1" sqref="C14:C179" xr:uid="{DF464E45-76C2-44EE-B77B-ECC73DEFF2DB}">
      <formula1>$V$5:$V$6</formula1>
    </dataValidation>
    <dataValidation type="list" allowBlank="1" showInputMessage="1" showErrorMessage="1" sqref="C5:C13" xr:uid="{F96CC3E5-CBCB-4218-87B5-36E6FEFD7992}">
      <formula1>$I$5:$I$8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417"/>
  <sheetViews>
    <sheetView topLeftCell="E14" zoomScale="115" zoomScaleNormal="115" workbookViewId="0">
      <selection activeCell="K24" sqref="K24"/>
    </sheetView>
  </sheetViews>
  <sheetFormatPr defaultRowHeight="14.4" x14ac:dyDescent="0.3"/>
  <cols>
    <col min="1" max="2" width="8.88671875" style="1"/>
    <col min="3" max="3" width="10.88671875" style="1" bestFit="1" customWidth="1"/>
    <col min="4" max="6" width="8.88671875" style="1"/>
    <col min="7" max="7" width="13.6640625" style="12" bestFit="1" customWidth="1"/>
    <col min="8" max="8" width="10.88671875" style="12" bestFit="1" customWidth="1"/>
    <col min="9" max="9" width="12" style="12" bestFit="1" customWidth="1"/>
    <col min="10" max="10" width="8.88671875" style="12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2" bestFit="1" customWidth="1"/>
    <col min="17" max="17" width="10.88671875" style="1" bestFit="1" customWidth="1"/>
    <col min="18" max="16384" width="8.88671875" style="1"/>
  </cols>
  <sheetData>
    <row r="3" spans="2:20" x14ac:dyDescent="0.3">
      <c r="B3" s="1378" t="s">
        <v>70</v>
      </c>
      <c r="C3" s="1378" t="s">
        <v>288</v>
      </c>
      <c r="D3" s="1378" t="s">
        <v>289</v>
      </c>
      <c r="E3" s="220" t="s">
        <v>292</v>
      </c>
      <c r="F3" s="220" t="s">
        <v>293</v>
      </c>
      <c r="G3" s="1290" t="s">
        <v>252</v>
      </c>
      <c r="H3" s="1291"/>
      <c r="I3" s="1291"/>
      <c r="J3" s="1292"/>
      <c r="K3" s="1374" t="s">
        <v>259</v>
      </c>
    </row>
    <row r="4" spans="2:20" x14ac:dyDescent="0.3">
      <c r="B4" s="1379"/>
      <c r="C4" s="1379"/>
      <c r="D4" s="1379"/>
      <c r="E4" s="221" t="s">
        <v>54</v>
      </c>
      <c r="F4" s="221" t="s">
        <v>294</v>
      </c>
      <c r="G4" s="1290" t="s">
        <v>265</v>
      </c>
      <c r="H4" s="1291"/>
      <c r="I4" s="1292"/>
      <c r="J4" s="131" t="s">
        <v>258</v>
      </c>
      <c r="K4" s="1374"/>
      <c r="O4" s="14" t="s">
        <v>479</v>
      </c>
      <c r="P4" s="14" t="s">
        <v>259</v>
      </c>
      <c r="Q4" s="435" t="s">
        <v>0</v>
      </c>
      <c r="R4" s="14" t="s">
        <v>253</v>
      </c>
      <c r="S4" s="14" t="s">
        <v>254</v>
      </c>
      <c r="T4" s="14" t="s">
        <v>255</v>
      </c>
    </row>
    <row r="5" spans="2:20" x14ac:dyDescent="0.3">
      <c r="B5" s="1380"/>
      <c r="C5" s="1380"/>
      <c r="D5" s="1380"/>
      <c r="E5" s="204" t="s">
        <v>70</v>
      </c>
      <c r="F5" s="204" t="s">
        <v>70</v>
      </c>
      <c r="G5" s="131" t="s">
        <v>253</v>
      </c>
      <c r="H5" s="131" t="s">
        <v>254</v>
      </c>
      <c r="I5" s="131" t="s">
        <v>255</v>
      </c>
      <c r="J5" s="131" t="s">
        <v>253</v>
      </c>
      <c r="K5" s="1374"/>
      <c r="O5" s="482" t="s">
        <v>480</v>
      </c>
      <c r="P5" s="1375">
        <v>1</v>
      </c>
      <c r="Q5" s="637">
        <v>46268</v>
      </c>
      <c r="R5" s="482">
        <v>7.8E-2</v>
      </c>
      <c r="S5" s="482">
        <v>0.6</v>
      </c>
      <c r="T5" s="482">
        <v>9.08</v>
      </c>
    </row>
    <row r="6" spans="2:20" x14ac:dyDescent="0.3">
      <c r="B6" s="13">
        <v>1</v>
      </c>
      <c r="C6" s="73">
        <v>46268</v>
      </c>
      <c r="D6" s="13" t="s">
        <v>13</v>
      </c>
      <c r="E6" s="13">
        <v>2</v>
      </c>
      <c r="F6" s="13">
        <v>1</v>
      </c>
      <c r="G6" s="133">
        <f>AVERAGE(R5:R8)</f>
        <v>5.5750000000000001E-2</v>
      </c>
      <c r="H6" s="133">
        <f t="shared" ref="H6:I6" si="0">AVERAGE(S5:S8)</f>
        <v>0.61749999999999994</v>
      </c>
      <c r="I6" s="133">
        <f t="shared" si="0"/>
        <v>8.942499999999999</v>
      </c>
      <c r="J6" s="13">
        <v>0.02</v>
      </c>
      <c r="K6" s="13">
        <v>1</v>
      </c>
      <c r="O6" s="482" t="s">
        <v>481</v>
      </c>
      <c r="P6" s="1376"/>
      <c r="Q6" s="637">
        <v>46268</v>
      </c>
      <c r="R6" s="482">
        <v>3.7999999999999999E-2</v>
      </c>
      <c r="S6" s="482">
        <v>0.59</v>
      </c>
      <c r="T6" s="482">
        <v>8.7100000000000009</v>
      </c>
    </row>
    <row r="7" spans="2:20" x14ac:dyDescent="0.3">
      <c r="B7" s="13">
        <v>2</v>
      </c>
      <c r="C7" s="73">
        <v>46269</v>
      </c>
      <c r="D7" s="13" t="s">
        <v>13</v>
      </c>
      <c r="E7" s="13">
        <v>3</v>
      </c>
      <c r="F7" s="13">
        <v>2</v>
      </c>
      <c r="G7" s="133">
        <f>AVERAGE(R9:R12)</f>
        <v>5.5749999999999994E-2</v>
      </c>
      <c r="H7" s="133">
        <f t="shared" ref="H7:I7" si="1">AVERAGE(S9:S12)</f>
        <v>0.25</v>
      </c>
      <c r="I7" s="133">
        <f t="shared" si="1"/>
        <v>8.3524999999999991</v>
      </c>
      <c r="J7" s="419">
        <v>2.9000000000000001E-2</v>
      </c>
      <c r="K7" s="13">
        <v>2</v>
      </c>
      <c r="O7" s="482" t="s">
        <v>482</v>
      </c>
      <c r="P7" s="1376"/>
      <c r="Q7" s="637">
        <v>46268</v>
      </c>
      <c r="R7" s="482">
        <v>3.7999999999999999E-2</v>
      </c>
      <c r="S7" s="482">
        <v>0.61</v>
      </c>
      <c r="T7" s="482">
        <v>8.8000000000000007</v>
      </c>
    </row>
    <row r="8" spans="2:20" x14ac:dyDescent="0.3">
      <c r="B8" s="13">
        <v>3</v>
      </c>
      <c r="C8" s="62">
        <v>46274</v>
      </c>
      <c r="D8" s="13" t="s">
        <v>12</v>
      </c>
      <c r="E8" s="13">
        <v>2</v>
      </c>
      <c r="F8" s="13">
        <v>3</v>
      </c>
      <c r="G8" s="133">
        <f>AVERAGE(R13:R18)</f>
        <v>9.816666666666668E-2</v>
      </c>
      <c r="H8" s="133">
        <f t="shared" ref="H8:I8" si="2">AVERAGE(S13:S18)</f>
        <v>0.23333333333333331</v>
      </c>
      <c r="I8" s="133">
        <f t="shared" si="2"/>
        <v>8.9633333333333329</v>
      </c>
      <c r="J8" s="13">
        <v>2.3E-2</v>
      </c>
      <c r="K8" s="13">
        <v>3</v>
      </c>
      <c r="O8" s="482" t="s">
        <v>483</v>
      </c>
      <c r="P8" s="1377"/>
      <c r="Q8" s="637">
        <v>46268</v>
      </c>
      <c r="R8" s="482">
        <v>6.9000000000000006E-2</v>
      </c>
      <c r="S8" s="482">
        <v>0.67</v>
      </c>
      <c r="T8" s="482">
        <v>9.18</v>
      </c>
    </row>
    <row r="9" spans="2:20" x14ac:dyDescent="0.3">
      <c r="B9" s="13">
        <v>4</v>
      </c>
      <c r="C9" s="62">
        <v>46275</v>
      </c>
      <c r="D9" s="13" t="s">
        <v>13</v>
      </c>
      <c r="E9" s="13">
        <v>3</v>
      </c>
      <c r="F9" s="13">
        <v>4</v>
      </c>
      <c r="G9" s="133">
        <f>AVERAGE(R19:R24)</f>
        <v>0.10916666666666668</v>
      </c>
      <c r="H9" s="133">
        <f t="shared" ref="H9:I9" si="3">AVERAGE(S19:S24)</f>
        <v>0.24</v>
      </c>
      <c r="I9" s="133">
        <f t="shared" si="3"/>
        <v>5.1633333333333331</v>
      </c>
      <c r="J9" s="13">
        <v>3.2000000000000001E-2</v>
      </c>
      <c r="K9" s="13">
        <v>4</v>
      </c>
      <c r="O9" s="487" t="s">
        <v>480</v>
      </c>
      <c r="P9" s="1371">
        <v>2</v>
      </c>
      <c r="Q9" s="638">
        <v>46269</v>
      </c>
      <c r="R9" s="487">
        <v>3.4000000000000002E-2</v>
      </c>
      <c r="S9" s="487">
        <v>0.26</v>
      </c>
      <c r="T9" s="487">
        <v>8.2100000000000009</v>
      </c>
    </row>
    <row r="10" spans="2:20" x14ac:dyDescent="0.3">
      <c r="B10" s="13">
        <v>5</v>
      </c>
      <c r="C10" s="62">
        <v>46277</v>
      </c>
      <c r="D10" s="13" t="s">
        <v>12</v>
      </c>
      <c r="E10" s="13">
        <v>2</v>
      </c>
      <c r="F10" s="13">
        <v>5</v>
      </c>
      <c r="G10" s="133">
        <f>AVERAGE(R28:R33)</f>
        <v>0.12466666666666666</v>
      </c>
      <c r="H10" s="133">
        <f t="shared" ref="H10:I10" si="4">AVERAGE(S28:S33)</f>
        <v>0.37833333333333335</v>
      </c>
      <c r="I10" s="133">
        <f t="shared" si="4"/>
        <v>7.5183333333333335</v>
      </c>
      <c r="J10" s="13">
        <v>4.2999999999999997E-2</v>
      </c>
      <c r="K10" s="13">
        <v>5</v>
      </c>
      <c r="O10" s="487" t="s">
        <v>481</v>
      </c>
      <c r="P10" s="1372"/>
      <c r="Q10" s="638">
        <v>46269</v>
      </c>
      <c r="R10" s="487">
        <v>7.9000000000000001E-2</v>
      </c>
      <c r="S10" s="487">
        <v>0.25</v>
      </c>
      <c r="T10" s="487">
        <v>8.17</v>
      </c>
    </row>
    <row r="11" spans="2:20" x14ac:dyDescent="0.3">
      <c r="B11" s="13">
        <v>6</v>
      </c>
      <c r="C11" s="62">
        <v>46278</v>
      </c>
      <c r="D11" s="13" t="s">
        <v>13</v>
      </c>
      <c r="E11" s="13">
        <v>3</v>
      </c>
      <c r="F11" s="13">
        <v>6</v>
      </c>
      <c r="G11" s="133">
        <f>AVERAGE(R34:R39)</f>
        <v>4.3500000000000004E-2</v>
      </c>
      <c r="H11" s="133">
        <f t="shared" ref="H11" si="5">AVERAGE(S34:S39)</f>
        <v>0.23799999999999999</v>
      </c>
      <c r="I11" s="133">
        <f>AVERAGE(T37:T39)</f>
        <v>7.3999999999999995</v>
      </c>
      <c r="J11" s="13">
        <v>1.7999999999999999E-2</v>
      </c>
      <c r="K11" s="13">
        <v>6</v>
      </c>
      <c r="O11" s="487" t="s">
        <v>482</v>
      </c>
      <c r="P11" s="1372"/>
      <c r="Q11" s="638">
        <v>46269</v>
      </c>
      <c r="R11" s="487">
        <v>3.6999999999999998E-2</v>
      </c>
      <c r="S11" s="487">
        <v>0.25</v>
      </c>
      <c r="T11" s="487">
        <v>8.8699999999999992</v>
      </c>
    </row>
    <row r="12" spans="2:20" x14ac:dyDescent="0.3">
      <c r="B12" s="13">
        <v>7</v>
      </c>
      <c r="C12" s="62">
        <v>46282</v>
      </c>
      <c r="D12" s="6" t="s">
        <v>12</v>
      </c>
      <c r="E12" s="13">
        <v>2</v>
      </c>
      <c r="F12" s="13">
        <v>7</v>
      </c>
      <c r="G12" s="133">
        <f>AVERAGE(R43:R48)</f>
        <v>0.10016666666666667</v>
      </c>
      <c r="H12" s="133">
        <f t="shared" ref="H12:I12" si="6">AVERAGE(S43:S48)</f>
        <v>0.58666666666666667</v>
      </c>
      <c r="I12" s="133">
        <f t="shared" si="6"/>
        <v>8.1666666666666661</v>
      </c>
      <c r="J12" s="133">
        <v>2.1000000000000001E-2</v>
      </c>
      <c r="K12" s="13">
        <v>7</v>
      </c>
      <c r="O12" s="487" t="s">
        <v>483</v>
      </c>
      <c r="P12" s="1373"/>
      <c r="Q12" s="638">
        <v>46269</v>
      </c>
      <c r="R12" s="487">
        <v>7.2999999999999995E-2</v>
      </c>
      <c r="S12" s="487">
        <v>0.24</v>
      </c>
      <c r="T12" s="487">
        <v>8.16</v>
      </c>
    </row>
    <row r="13" spans="2:20" x14ac:dyDescent="0.3">
      <c r="B13" s="13">
        <v>8</v>
      </c>
      <c r="C13" s="62">
        <v>46283</v>
      </c>
      <c r="D13" s="6"/>
      <c r="E13" s="13">
        <v>3</v>
      </c>
      <c r="F13" s="13">
        <v>8</v>
      </c>
      <c r="G13" s="133">
        <f>AVERAGE(R49:R57)</f>
        <v>5.8888888888888893E-2</v>
      </c>
      <c r="H13" s="133">
        <f t="shared" ref="H13" si="7">AVERAGE(S49:S57)</f>
        <v>0.38777777777777778</v>
      </c>
      <c r="I13" s="133">
        <f>AVERAGE(T49:T51)</f>
        <v>10.200000000000001</v>
      </c>
      <c r="J13" s="13">
        <v>2.7E-2</v>
      </c>
      <c r="K13" s="13">
        <v>8</v>
      </c>
      <c r="O13" s="482" t="s">
        <v>533</v>
      </c>
      <c r="P13" s="1355">
        <v>3</v>
      </c>
      <c r="Q13" s="637">
        <v>46274</v>
      </c>
      <c r="R13" s="482">
        <v>0.11700000000000001</v>
      </c>
      <c r="S13" s="482">
        <v>0.31</v>
      </c>
      <c r="T13" s="482">
        <v>8.81</v>
      </c>
    </row>
    <row r="14" spans="2:20" x14ac:dyDescent="0.3">
      <c r="B14" s="13">
        <v>9</v>
      </c>
      <c r="C14" s="62">
        <v>46286</v>
      </c>
      <c r="D14" s="6"/>
      <c r="E14" s="13">
        <v>2</v>
      </c>
      <c r="F14" s="13">
        <v>9</v>
      </c>
      <c r="G14" s="133">
        <f t="shared" ref="G14:H14" si="8">AVERAGE(R58:R67)</f>
        <v>0.1028</v>
      </c>
      <c r="H14" s="133">
        <f t="shared" si="8"/>
        <v>0.40700000000000003</v>
      </c>
      <c r="I14" s="133">
        <f>AVERAGE(T58:T67)</f>
        <v>14.752000000000001</v>
      </c>
      <c r="J14" s="13">
        <v>1.7000000000000001E-2</v>
      </c>
      <c r="K14" s="13">
        <v>9</v>
      </c>
      <c r="O14" s="482" t="s">
        <v>534</v>
      </c>
      <c r="P14" s="1356"/>
      <c r="Q14" s="637">
        <v>46274</v>
      </c>
      <c r="R14" s="482">
        <v>0.16500000000000001</v>
      </c>
      <c r="S14" s="482">
        <v>0.36</v>
      </c>
      <c r="T14" s="482">
        <v>9.57</v>
      </c>
    </row>
    <row r="15" spans="2:20" x14ac:dyDescent="0.3">
      <c r="B15" s="13">
        <v>10</v>
      </c>
      <c r="C15" s="62">
        <v>46290</v>
      </c>
      <c r="D15" s="6"/>
      <c r="E15" s="13">
        <v>3</v>
      </c>
      <c r="F15" s="13">
        <v>10</v>
      </c>
      <c r="G15" s="133">
        <f>AVERAGE(R71:R79)</f>
        <v>0.13188888888888889</v>
      </c>
      <c r="H15" s="133">
        <f t="shared" ref="H15:I15" si="9">AVERAGE(S71:S79)</f>
        <v>0.46888888888888886</v>
      </c>
      <c r="I15" s="133">
        <f t="shared" si="9"/>
        <v>17.484444444444446</v>
      </c>
      <c r="J15" s="133">
        <v>2.1000000000000001E-2</v>
      </c>
      <c r="K15" s="13">
        <v>10</v>
      </c>
      <c r="O15" s="482" t="s">
        <v>535</v>
      </c>
      <c r="P15" s="1356"/>
      <c r="Q15" s="637">
        <v>46274</v>
      </c>
      <c r="R15" s="482">
        <v>0.13</v>
      </c>
      <c r="S15" s="482">
        <v>0.31</v>
      </c>
      <c r="T15" s="482">
        <v>9.89</v>
      </c>
    </row>
    <row r="16" spans="2:20" x14ac:dyDescent="0.3">
      <c r="B16" s="13">
        <v>11</v>
      </c>
      <c r="C16" s="62">
        <v>46292</v>
      </c>
      <c r="D16" s="6" t="s">
        <v>12</v>
      </c>
      <c r="E16" s="13">
        <v>2</v>
      </c>
      <c r="F16" s="13">
        <v>11</v>
      </c>
      <c r="G16" s="133">
        <f>IFERROR(AVERAGE(R80:R100),"")</f>
        <v>0.13305555555555554</v>
      </c>
      <c r="H16" s="133">
        <f t="shared" ref="H16:I16" si="10">IFERROR(AVERAGE(S80:S100),"")</f>
        <v>0.65888888888888886</v>
      </c>
      <c r="I16" s="133">
        <f t="shared" si="10"/>
        <v>15.253333333333334</v>
      </c>
      <c r="J16" s="13">
        <v>3.6999999999999998E-2</v>
      </c>
      <c r="K16" s="13">
        <v>11</v>
      </c>
      <c r="O16" s="482" t="s">
        <v>480</v>
      </c>
      <c r="P16" s="1356"/>
      <c r="Q16" s="637">
        <v>46274</v>
      </c>
      <c r="R16" s="482">
        <v>8.3000000000000004E-2</v>
      </c>
      <c r="S16" s="482">
        <v>0.15</v>
      </c>
      <c r="T16" s="482">
        <v>8.44</v>
      </c>
    </row>
    <row r="17" spans="2:20" x14ac:dyDescent="0.3">
      <c r="B17" s="13">
        <v>12</v>
      </c>
      <c r="C17" s="62"/>
      <c r="D17" s="6"/>
      <c r="E17" s="6">
        <v>3</v>
      </c>
      <c r="F17" s="13">
        <v>12</v>
      </c>
      <c r="G17" s="133">
        <f>AVERAGE(R101:R106)</f>
        <v>0.23350000000000001</v>
      </c>
      <c r="H17" s="133">
        <f t="shared" ref="H17:I17" si="11">AVERAGE(S101:S106)</f>
        <v>0.94000000000000006</v>
      </c>
      <c r="I17" s="133">
        <f t="shared" si="11"/>
        <v>19.876666666666669</v>
      </c>
      <c r="J17" s="13"/>
      <c r="K17" s="13"/>
      <c r="O17" s="482" t="s">
        <v>481</v>
      </c>
      <c r="P17" s="1356"/>
      <c r="Q17" s="637">
        <v>46274</v>
      </c>
      <c r="R17" s="482">
        <v>4.2000000000000003E-2</v>
      </c>
      <c r="S17" s="482">
        <v>0.13</v>
      </c>
      <c r="T17" s="482">
        <v>8.31</v>
      </c>
    </row>
    <row r="18" spans="2:20" x14ac:dyDescent="0.3">
      <c r="B18" s="13">
        <v>13</v>
      </c>
      <c r="C18" s="62"/>
      <c r="D18" s="6"/>
      <c r="E18" s="6"/>
      <c r="F18" s="6"/>
      <c r="G18" s="13"/>
      <c r="H18" s="13"/>
      <c r="I18" s="133"/>
      <c r="J18" s="13"/>
      <c r="K18" s="13"/>
      <c r="O18" s="482" t="s">
        <v>482</v>
      </c>
      <c r="P18" s="1357"/>
      <c r="Q18" s="637">
        <v>46274</v>
      </c>
      <c r="R18" s="482">
        <v>5.1999999999999998E-2</v>
      </c>
      <c r="S18" s="482">
        <v>0.14000000000000001</v>
      </c>
      <c r="T18" s="482">
        <v>8.76</v>
      </c>
    </row>
    <row r="19" spans="2:20" x14ac:dyDescent="0.3">
      <c r="B19" s="13">
        <v>14</v>
      </c>
      <c r="C19" s="62"/>
      <c r="D19" s="6"/>
      <c r="E19" s="6"/>
      <c r="F19" s="6"/>
      <c r="G19" s="13"/>
      <c r="H19" s="13"/>
      <c r="I19" s="133"/>
      <c r="J19" s="13"/>
      <c r="K19" s="13"/>
      <c r="O19" s="487" t="s">
        <v>533</v>
      </c>
      <c r="P19" s="1371">
        <v>4</v>
      </c>
      <c r="Q19" s="638">
        <v>46275</v>
      </c>
      <c r="R19" s="487">
        <v>0.124</v>
      </c>
      <c r="S19" s="487">
        <v>0.22</v>
      </c>
      <c r="T19" s="487">
        <v>6.48</v>
      </c>
    </row>
    <row r="20" spans="2:20" x14ac:dyDescent="0.3">
      <c r="B20" s="13">
        <v>15</v>
      </c>
      <c r="C20" s="62"/>
      <c r="D20" s="6"/>
      <c r="E20" s="6"/>
      <c r="F20" s="6"/>
      <c r="G20" s="13"/>
      <c r="H20" s="13"/>
      <c r="I20" s="133"/>
      <c r="J20" s="13"/>
      <c r="K20" s="13"/>
      <c r="O20" s="487" t="s">
        <v>534</v>
      </c>
      <c r="P20" s="1372"/>
      <c r="Q20" s="638">
        <v>46275</v>
      </c>
      <c r="R20" s="487">
        <v>0.14499999999999999</v>
      </c>
      <c r="S20" s="487">
        <v>0.25</v>
      </c>
      <c r="T20" s="487">
        <v>4.43</v>
      </c>
    </row>
    <row r="21" spans="2:20" x14ac:dyDescent="0.3">
      <c r="B21" s="13">
        <v>16</v>
      </c>
      <c r="C21" s="6"/>
      <c r="D21" s="6"/>
      <c r="E21" s="6"/>
      <c r="F21" s="6"/>
      <c r="G21" s="13"/>
      <c r="H21" s="13"/>
      <c r="I21" s="133"/>
      <c r="J21" s="13"/>
      <c r="K21" s="13"/>
      <c r="O21" s="487" t="s">
        <v>535</v>
      </c>
      <c r="P21" s="1372"/>
      <c r="Q21" s="638">
        <v>46275</v>
      </c>
      <c r="R21" s="487">
        <v>0.13100000000000001</v>
      </c>
      <c r="S21" s="487">
        <v>0.25</v>
      </c>
      <c r="T21" s="487">
        <v>4.58</v>
      </c>
    </row>
    <row r="22" spans="2:20" x14ac:dyDescent="0.3">
      <c r="B22" s="13">
        <v>17</v>
      </c>
      <c r="C22" s="6"/>
      <c r="D22" s="6"/>
      <c r="E22" s="6"/>
      <c r="F22" s="6"/>
      <c r="G22" s="13"/>
      <c r="H22" s="13"/>
      <c r="I22" s="133"/>
      <c r="J22" s="13"/>
      <c r="K22" s="13"/>
      <c r="O22" s="487" t="s">
        <v>480</v>
      </c>
      <c r="P22" s="1372"/>
      <c r="Q22" s="638">
        <v>46275</v>
      </c>
      <c r="R22" s="487">
        <v>6.4000000000000001E-2</v>
      </c>
      <c r="S22" s="487">
        <v>0.22</v>
      </c>
      <c r="T22" s="487">
        <v>6.48</v>
      </c>
    </row>
    <row r="23" spans="2:20" x14ac:dyDescent="0.3">
      <c r="B23" s="13">
        <v>18</v>
      </c>
      <c r="C23" s="6"/>
      <c r="D23" s="6"/>
      <c r="E23" s="6"/>
      <c r="F23" s="6"/>
      <c r="G23" s="13"/>
      <c r="H23" s="13"/>
      <c r="I23" s="133"/>
      <c r="J23" s="13"/>
      <c r="K23" s="13"/>
      <c r="O23" s="487" t="s">
        <v>481</v>
      </c>
      <c r="P23" s="1372"/>
      <c r="Q23" s="638">
        <v>46275</v>
      </c>
      <c r="R23" s="487">
        <v>9.5000000000000001E-2</v>
      </c>
      <c r="S23" s="487">
        <v>0.25</v>
      </c>
      <c r="T23" s="487">
        <v>4.43</v>
      </c>
    </row>
    <row r="24" spans="2:20" x14ac:dyDescent="0.3">
      <c r="B24" s="13">
        <v>19</v>
      </c>
      <c r="C24" s="6"/>
      <c r="D24" s="6"/>
      <c r="E24" s="6"/>
      <c r="F24" s="6"/>
      <c r="G24" s="13"/>
      <c r="H24" s="13"/>
      <c r="I24" s="133"/>
      <c r="J24" s="13"/>
      <c r="K24" s="13"/>
      <c r="O24" s="487" t="s">
        <v>482</v>
      </c>
      <c r="P24" s="1372"/>
      <c r="Q24" s="638">
        <v>46275</v>
      </c>
      <c r="R24" s="487">
        <v>9.6000000000000002E-2</v>
      </c>
      <c r="S24" s="487">
        <v>0.25</v>
      </c>
      <c r="T24" s="487">
        <v>4.58</v>
      </c>
    </row>
    <row r="25" spans="2:20" x14ac:dyDescent="0.3">
      <c r="O25" s="487" t="s">
        <v>533</v>
      </c>
      <c r="P25" s="1372"/>
      <c r="Q25" s="638">
        <v>46276</v>
      </c>
      <c r="R25" s="487">
        <v>4.4999999999999998E-2</v>
      </c>
      <c r="S25" s="487">
        <v>0.21</v>
      </c>
      <c r="T25" s="487">
        <v>4.1100000000000003</v>
      </c>
    </row>
    <row r="26" spans="2:20" x14ac:dyDescent="0.3">
      <c r="O26" s="487" t="s">
        <v>534</v>
      </c>
      <c r="P26" s="1372"/>
      <c r="Q26" s="638">
        <v>46276</v>
      </c>
      <c r="R26" s="487">
        <v>4.1000000000000002E-2</v>
      </c>
      <c r="S26" s="487">
        <v>0.44</v>
      </c>
      <c r="T26" s="487">
        <v>6.67</v>
      </c>
    </row>
    <row r="27" spans="2:20" x14ac:dyDescent="0.3">
      <c r="O27" s="487" t="s">
        <v>535</v>
      </c>
      <c r="P27" s="1373"/>
      <c r="Q27" s="638">
        <v>46276</v>
      </c>
      <c r="R27" s="487">
        <v>6.3E-2</v>
      </c>
      <c r="S27" s="487">
        <v>0.48</v>
      </c>
      <c r="T27" s="487">
        <v>6.84</v>
      </c>
    </row>
    <row r="28" spans="2:20" x14ac:dyDescent="0.3">
      <c r="O28" s="579" t="s">
        <v>533</v>
      </c>
      <c r="P28" s="1368">
        <v>5</v>
      </c>
      <c r="Q28" s="616">
        <v>46277</v>
      </c>
      <c r="R28" s="579">
        <v>4.4999999999999998E-2</v>
      </c>
      <c r="S28" s="579">
        <v>0.41</v>
      </c>
      <c r="T28" s="579">
        <v>7.15</v>
      </c>
    </row>
    <row r="29" spans="2:20" x14ac:dyDescent="0.3">
      <c r="O29" s="579" t="s">
        <v>534</v>
      </c>
      <c r="P29" s="1369"/>
      <c r="Q29" s="616">
        <v>46277</v>
      </c>
      <c r="R29" s="579">
        <v>4.1000000000000002E-2</v>
      </c>
      <c r="S29" s="579">
        <v>0.6</v>
      </c>
      <c r="T29" s="579">
        <v>7.18</v>
      </c>
    </row>
    <row r="30" spans="2:20" x14ac:dyDescent="0.3">
      <c r="O30" s="579" t="s">
        <v>535</v>
      </c>
      <c r="P30" s="1369"/>
      <c r="Q30" s="616">
        <v>46277</v>
      </c>
      <c r="R30" s="579">
        <v>6.3E-2</v>
      </c>
      <c r="S30" s="579">
        <v>0.27</v>
      </c>
      <c r="T30" s="579">
        <v>7.26</v>
      </c>
    </row>
    <row r="31" spans="2:20" x14ac:dyDescent="0.3">
      <c r="O31" s="579" t="s">
        <v>480</v>
      </c>
      <c r="P31" s="1369"/>
      <c r="Q31" s="616">
        <v>46277</v>
      </c>
      <c r="R31" s="579">
        <v>0.24299999999999999</v>
      </c>
      <c r="S31" s="579">
        <v>0.39</v>
      </c>
      <c r="T31" s="579">
        <v>7.74</v>
      </c>
    </row>
    <row r="32" spans="2:20" x14ac:dyDescent="0.3">
      <c r="O32" s="579" t="s">
        <v>481</v>
      </c>
      <c r="P32" s="1369"/>
      <c r="Q32" s="616">
        <v>46277</v>
      </c>
      <c r="R32" s="579">
        <v>0.21099999999999999</v>
      </c>
      <c r="S32" s="579">
        <v>0.27</v>
      </c>
      <c r="T32" s="579">
        <v>8.23</v>
      </c>
    </row>
    <row r="33" spans="15:20" x14ac:dyDescent="0.3">
      <c r="O33" s="579" t="s">
        <v>482</v>
      </c>
      <c r="P33" s="1370"/>
      <c r="Q33" s="616">
        <v>46277</v>
      </c>
      <c r="R33" s="579">
        <v>0.14499999999999999</v>
      </c>
      <c r="S33" s="579">
        <v>0.33</v>
      </c>
      <c r="T33" s="579">
        <v>7.55</v>
      </c>
    </row>
    <row r="34" spans="15:20" x14ac:dyDescent="0.3">
      <c r="O34" s="617" t="s">
        <v>480</v>
      </c>
      <c r="P34" s="1371">
        <v>6</v>
      </c>
      <c r="Q34" s="897">
        <v>46278</v>
      </c>
      <c r="R34" s="618">
        <v>8.5999999999999993E-2</v>
      </c>
      <c r="S34" s="618">
        <v>0.11</v>
      </c>
      <c r="T34" s="618">
        <v>11.708</v>
      </c>
    </row>
    <row r="35" spans="15:20" x14ac:dyDescent="0.3">
      <c r="O35" s="617" t="s">
        <v>481</v>
      </c>
      <c r="P35" s="1372"/>
      <c r="Q35" s="897">
        <v>46278</v>
      </c>
      <c r="R35" s="618">
        <v>0.05</v>
      </c>
      <c r="S35" s="618">
        <v>0.20300000000000001</v>
      </c>
      <c r="T35" s="618">
        <v>13.382999999999999</v>
      </c>
    </row>
    <row r="36" spans="15:20" x14ac:dyDescent="0.3">
      <c r="O36" s="617" t="s">
        <v>482</v>
      </c>
      <c r="P36" s="1372"/>
      <c r="Q36" s="897">
        <v>46278</v>
      </c>
      <c r="R36" s="618">
        <v>1.9E-2</v>
      </c>
      <c r="S36" s="618">
        <v>6.5000000000000002E-2</v>
      </c>
      <c r="T36" s="618">
        <v>12.15</v>
      </c>
    </row>
    <row r="37" spans="15:20" x14ac:dyDescent="0.3">
      <c r="O37" s="482" t="s">
        <v>533</v>
      </c>
      <c r="P37" s="1372"/>
      <c r="Q37" s="637">
        <v>46279</v>
      </c>
      <c r="R37" s="482">
        <v>4.8000000000000001E-2</v>
      </c>
      <c r="S37" s="482">
        <v>0.35</v>
      </c>
      <c r="T37" s="482">
        <v>7.47</v>
      </c>
    </row>
    <row r="38" spans="15:20" x14ac:dyDescent="0.3">
      <c r="O38" s="482" t="s">
        <v>534</v>
      </c>
      <c r="P38" s="1372"/>
      <c r="Q38" s="637">
        <v>46279</v>
      </c>
      <c r="R38" s="482">
        <v>3.5000000000000003E-2</v>
      </c>
      <c r="S38" s="482">
        <v>0.35</v>
      </c>
      <c r="T38" s="482">
        <v>7.36</v>
      </c>
    </row>
    <row r="39" spans="15:20" x14ac:dyDescent="0.3">
      <c r="O39" s="482" t="s">
        <v>535</v>
      </c>
      <c r="P39" s="1372"/>
      <c r="Q39" s="637">
        <v>46279</v>
      </c>
      <c r="R39" s="482">
        <v>2.3E-2</v>
      </c>
      <c r="S39" s="482">
        <v>0.35</v>
      </c>
      <c r="T39" s="482">
        <v>7.37</v>
      </c>
    </row>
    <row r="40" spans="15:20" x14ac:dyDescent="0.3">
      <c r="O40" s="482" t="s">
        <v>533</v>
      </c>
      <c r="P40" s="1372"/>
      <c r="Q40" s="898">
        <v>46279</v>
      </c>
      <c r="R40" s="615">
        <v>0.13200000000000001</v>
      </c>
      <c r="S40" s="615">
        <v>0.83</v>
      </c>
      <c r="T40" s="615">
        <v>8.7100000000000009</v>
      </c>
    </row>
    <row r="41" spans="15:20" x14ac:dyDescent="0.3">
      <c r="O41" s="482" t="s">
        <v>534</v>
      </c>
      <c r="P41" s="1372"/>
      <c r="Q41" s="637">
        <v>46279</v>
      </c>
      <c r="R41" s="482">
        <v>0.11600000000000001</v>
      </c>
      <c r="S41" s="482">
        <v>0.83</v>
      </c>
      <c r="T41" s="482">
        <v>8.84</v>
      </c>
    </row>
    <row r="42" spans="15:20" x14ac:dyDescent="0.3">
      <c r="O42" s="482" t="s">
        <v>535</v>
      </c>
      <c r="P42" s="1373"/>
      <c r="Q42" s="637">
        <v>46279</v>
      </c>
      <c r="R42" s="482">
        <v>9.4E-2</v>
      </c>
      <c r="S42" s="482">
        <v>0.83</v>
      </c>
      <c r="T42" s="482">
        <v>8.76</v>
      </c>
    </row>
    <row r="43" spans="15:20" x14ac:dyDescent="0.3">
      <c r="O43" s="451" t="s">
        <v>480</v>
      </c>
      <c r="P43" s="451">
        <v>7</v>
      </c>
      <c r="Q43" s="955">
        <v>46281</v>
      </c>
      <c r="R43" s="452">
        <v>9.2999999999999999E-2</v>
      </c>
      <c r="S43" s="452">
        <v>0.15</v>
      </c>
      <c r="T43" s="452">
        <v>6.42</v>
      </c>
    </row>
    <row r="44" spans="15:20" x14ac:dyDescent="0.3">
      <c r="O44" s="451" t="s">
        <v>481</v>
      </c>
      <c r="P44" s="451">
        <v>7</v>
      </c>
      <c r="Q44" s="955">
        <v>46281</v>
      </c>
      <c r="R44" s="452">
        <v>8.4000000000000005E-2</v>
      </c>
      <c r="S44" s="452">
        <v>0.14000000000000001</v>
      </c>
      <c r="T44" s="452">
        <v>6.38</v>
      </c>
    </row>
    <row r="45" spans="15:20" x14ac:dyDescent="0.3">
      <c r="O45" s="451" t="s">
        <v>482</v>
      </c>
      <c r="P45" s="451">
        <v>7</v>
      </c>
      <c r="Q45" s="955">
        <v>46281</v>
      </c>
      <c r="R45" s="452">
        <v>0.1</v>
      </c>
      <c r="S45" s="452">
        <v>0.15</v>
      </c>
      <c r="T45" s="452">
        <v>6.34</v>
      </c>
    </row>
    <row r="46" spans="15:20" x14ac:dyDescent="0.3">
      <c r="O46" s="451" t="s">
        <v>533</v>
      </c>
      <c r="P46" s="451">
        <v>7</v>
      </c>
      <c r="Q46" s="955">
        <v>46282</v>
      </c>
      <c r="R46" s="452">
        <v>0.11600000000000001</v>
      </c>
      <c r="S46" s="452">
        <v>1.06</v>
      </c>
      <c r="T46" s="452">
        <v>9.98</v>
      </c>
    </row>
    <row r="47" spans="15:20" x14ac:dyDescent="0.3">
      <c r="O47" s="451" t="s">
        <v>534</v>
      </c>
      <c r="P47" s="451">
        <v>7</v>
      </c>
      <c r="Q47" s="955">
        <v>46282</v>
      </c>
      <c r="R47" s="452">
        <v>0.114</v>
      </c>
      <c r="S47" s="452">
        <v>1.04</v>
      </c>
      <c r="T47" s="452">
        <v>9.9499999999999993</v>
      </c>
    </row>
    <row r="48" spans="15:20" x14ac:dyDescent="0.3">
      <c r="O48" s="451" t="s">
        <v>535</v>
      </c>
      <c r="P48" s="451">
        <v>7</v>
      </c>
      <c r="Q48" s="955">
        <v>46282</v>
      </c>
      <c r="R48" s="452">
        <v>9.4E-2</v>
      </c>
      <c r="S48" s="452">
        <v>0.98</v>
      </c>
      <c r="T48" s="452">
        <v>9.93</v>
      </c>
    </row>
    <row r="49" spans="15:20" x14ac:dyDescent="0.3">
      <c r="O49" s="579" t="s">
        <v>480</v>
      </c>
      <c r="P49" s="482">
        <v>8</v>
      </c>
      <c r="Q49" s="898">
        <v>46283</v>
      </c>
      <c r="R49" s="615">
        <v>5.5E-2</v>
      </c>
      <c r="S49" s="615">
        <v>0.32</v>
      </c>
      <c r="T49" s="615">
        <v>10.4</v>
      </c>
    </row>
    <row r="50" spans="15:20" x14ac:dyDescent="0.3">
      <c r="O50" s="579" t="s">
        <v>481</v>
      </c>
      <c r="P50" s="482">
        <v>8</v>
      </c>
      <c r="Q50" s="898">
        <v>46283</v>
      </c>
      <c r="R50" s="615">
        <v>3.6999999999999998E-2</v>
      </c>
      <c r="S50" s="615">
        <v>0.34</v>
      </c>
      <c r="T50" s="615">
        <v>9.42</v>
      </c>
    </row>
    <row r="51" spans="15:20" x14ac:dyDescent="0.3">
      <c r="O51" s="579" t="s">
        <v>482</v>
      </c>
      <c r="P51" s="482">
        <v>8</v>
      </c>
      <c r="Q51" s="898">
        <v>46283</v>
      </c>
      <c r="R51" s="615">
        <v>3.5999999999999997E-2</v>
      </c>
      <c r="S51" s="615">
        <v>0.38</v>
      </c>
      <c r="T51" s="615">
        <v>10.78</v>
      </c>
    </row>
    <row r="52" spans="15:20" x14ac:dyDescent="0.3">
      <c r="O52" s="482" t="s">
        <v>533</v>
      </c>
      <c r="P52" s="482">
        <v>8</v>
      </c>
      <c r="Q52" s="898">
        <v>46284</v>
      </c>
      <c r="R52" s="615">
        <v>2.1000000000000001E-2</v>
      </c>
      <c r="S52" s="615">
        <v>0.18</v>
      </c>
      <c r="T52" s="615">
        <v>10.59</v>
      </c>
    </row>
    <row r="53" spans="15:20" x14ac:dyDescent="0.3">
      <c r="O53" s="482" t="s">
        <v>534</v>
      </c>
      <c r="P53" s="482">
        <v>8</v>
      </c>
      <c r="Q53" s="898">
        <v>46284</v>
      </c>
      <c r="R53" s="1076">
        <v>0.08</v>
      </c>
      <c r="S53" s="615">
        <v>0.39</v>
      </c>
      <c r="T53" s="615">
        <v>10.44</v>
      </c>
    </row>
    <row r="54" spans="15:20" x14ac:dyDescent="0.3">
      <c r="O54" s="482" t="s">
        <v>535</v>
      </c>
      <c r="P54" s="482">
        <v>8</v>
      </c>
      <c r="Q54" s="898">
        <v>46284</v>
      </c>
      <c r="R54" s="615">
        <v>3.3000000000000002E-2</v>
      </c>
      <c r="S54" s="615">
        <v>0.3</v>
      </c>
      <c r="T54" s="615">
        <v>10.65</v>
      </c>
    </row>
    <row r="55" spans="15:20" x14ac:dyDescent="0.3">
      <c r="O55" s="579" t="s">
        <v>480</v>
      </c>
      <c r="P55" s="482">
        <v>8</v>
      </c>
      <c r="Q55" s="898">
        <v>46284</v>
      </c>
      <c r="R55" s="615">
        <v>9.4E-2</v>
      </c>
      <c r="S55" s="615">
        <v>0.44</v>
      </c>
      <c r="T55" s="615">
        <v>10.73</v>
      </c>
    </row>
    <row r="56" spans="15:20" x14ac:dyDescent="0.3">
      <c r="O56" s="579" t="s">
        <v>481</v>
      </c>
      <c r="P56" s="482">
        <v>8</v>
      </c>
      <c r="Q56" s="898">
        <v>46284</v>
      </c>
      <c r="R56" s="615">
        <v>8.3000000000000004E-2</v>
      </c>
      <c r="S56" s="615">
        <v>0.53</v>
      </c>
      <c r="T56" s="615">
        <v>10.23</v>
      </c>
    </row>
    <row r="57" spans="15:20" x14ac:dyDescent="0.3">
      <c r="O57" s="579" t="s">
        <v>482</v>
      </c>
      <c r="P57" s="482">
        <v>8</v>
      </c>
      <c r="Q57" s="898">
        <v>46284</v>
      </c>
      <c r="R57" s="615">
        <v>9.0999999999999998E-2</v>
      </c>
      <c r="S57" s="615">
        <v>0.61</v>
      </c>
      <c r="T57" s="615">
        <v>10.7</v>
      </c>
    </row>
    <row r="58" spans="15:20" x14ac:dyDescent="0.3">
      <c r="O58" s="451" t="s">
        <v>533</v>
      </c>
      <c r="P58" s="1359">
        <v>9</v>
      </c>
      <c r="Q58" s="955">
        <v>46286</v>
      </c>
      <c r="R58" s="452">
        <v>8.5000000000000006E-2</v>
      </c>
      <c r="S58" s="452">
        <v>0.46</v>
      </c>
      <c r="T58" s="452">
        <v>13.61</v>
      </c>
    </row>
    <row r="59" spans="15:20" x14ac:dyDescent="0.3">
      <c r="O59" s="451" t="s">
        <v>534</v>
      </c>
      <c r="P59" s="1360"/>
      <c r="Q59" s="955">
        <v>46286</v>
      </c>
      <c r="R59" s="452">
        <v>0.104</v>
      </c>
      <c r="S59" s="452">
        <v>0.4</v>
      </c>
      <c r="T59" s="452">
        <v>14.11</v>
      </c>
    </row>
    <row r="60" spans="15:20" x14ac:dyDescent="0.3">
      <c r="O60" s="451" t="s">
        <v>480</v>
      </c>
      <c r="P60" s="1360"/>
      <c r="Q60" s="955">
        <v>46286</v>
      </c>
      <c r="R60" s="452">
        <v>0.1</v>
      </c>
      <c r="S60" s="452">
        <v>0.45</v>
      </c>
      <c r="T60" s="452">
        <v>12.47</v>
      </c>
    </row>
    <row r="61" spans="15:20" x14ac:dyDescent="0.3">
      <c r="O61" s="451" t="s">
        <v>481</v>
      </c>
      <c r="P61" s="1360"/>
      <c r="Q61" s="955">
        <v>46286</v>
      </c>
      <c r="R61" s="452">
        <v>9.5000000000000001E-2</v>
      </c>
      <c r="S61" s="452">
        <v>0.43</v>
      </c>
      <c r="T61" s="452">
        <v>12.99</v>
      </c>
    </row>
    <row r="62" spans="15:20" x14ac:dyDescent="0.3">
      <c r="O62" s="451" t="s">
        <v>533</v>
      </c>
      <c r="P62" s="1360"/>
      <c r="Q62" s="955">
        <v>46287</v>
      </c>
      <c r="R62" s="452">
        <v>0.11700000000000001</v>
      </c>
      <c r="S62" s="452">
        <v>0.45</v>
      </c>
      <c r="T62" s="452">
        <v>15.99</v>
      </c>
    </row>
    <row r="63" spans="15:20" x14ac:dyDescent="0.3">
      <c r="O63" s="451" t="s">
        <v>534</v>
      </c>
      <c r="P63" s="1360"/>
      <c r="Q63" s="955">
        <v>46287</v>
      </c>
      <c r="R63" s="452">
        <v>0.14799999999999999</v>
      </c>
      <c r="S63" s="452">
        <v>0.47</v>
      </c>
      <c r="T63" s="452">
        <v>15.98</v>
      </c>
    </row>
    <row r="64" spans="15:20" x14ac:dyDescent="0.3">
      <c r="O64" s="451" t="s">
        <v>535</v>
      </c>
      <c r="P64" s="1360"/>
      <c r="Q64" s="955">
        <v>46287</v>
      </c>
      <c r="R64" s="452">
        <v>0.11600000000000001</v>
      </c>
      <c r="S64" s="452">
        <v>0.47</v>
      </c>
      <c r="T64" s="452">
        <v>16.18</v>
      </c>
    </row>
    <row r="65" spans="15:20" x14ac:dyDescent="0.3">
      <c r="O65" s="451" t="s">
        <v>480</v>
      </c>
      <c r="P65" s="1360"/>
      <c r="Q65" s="955">
        <v>46287</v>
      </c>
      <c r="R65" s="452">
        <v>7.3999999999999996E-2</v>
      </c>
      <c r="S65" s="452">
        <v>0.33</v>
      </c>
      <c r="T65" s="452">
        <v>15.36</v>
      </c>
    </row>
    <row r="66" spans="15:20" x14ac:dyDescent="0.3">
      <c r="O66" s="451" t="s">
        <v>481</v>
      </c>
      <c r="P66" s="1360"/>
      <c r="Q66" s="955">
        <v>46287</v>
      </c>
      <c r="R66" s="452">
        <v>9.1999999999999998E-2</v>
      </c>
      <c r="S66" s="452">
        <v>0.28999999999999998</v>
      </c>
      <c r="T66" s="452">
        <v>15.39</v>
      </c>
    </row>
    <row r="67" spans="15:20" x14ac:dyDescent="0.3">
      <c r="O67" s="451" t="s">
        <v>482</v>
      </c>
      <c r="P67" s="1361"/>
      <c r="Q67" s="955">
        <v>46287</v>
      </c>
      <c r="R67" s="452">
        <v>9.7000000000000003E-2</v>
      </c>
      <c r="S67" s="452">
        <v>0.32</v>
      </c>
      <c r="T67" s="452">
        <v>15.44</v>
      </c>
    </row>
    <row r="68" spans="15:20" x14ac:dyDescent="0.3">
      <c r="O68" s="482" t="s">
        <v>533</v>
      </c>
      <c r="P68" s="1368">
        <v>10</v>
      </c>
      <c r="Q68" s="898">
        <v>46290</v>
      </c>
      <c r="R68" s="615"/>
      <c r="S68" s="615"/>
      <c r="T68" s="615"/>
    </row>
    <row r="69" spans="15:20" x14ac:dyDescent="0.3">
      <c r="O69" s="482" t="s">
        <v>534</v>
      </c>
      <c r="P69" s="1369"/>
      <c r="Q69" s="898">
        <v>46290</v>
      </c>
      <c r="R69" s="615"/>
      <c r="S69" s="615"/>
      <c r="T69" s="615"/>
    </row>
    <row r="70" spans="15:20" x14ac:dyDescent="0.3">
      <c r="O70" s="482" t="s">
        <v>535</v>
      </c>
      <c r="P70" s="1369"/>
      <c r="Q70" s="898">
        <v>46290</v>
      </c>
      <c r="R70" s="615"/>
      <c r="S70" s="615"/>
      <c r="T70" s="615"/>
    </row>
    <row r="71" spans="15:20" x14ac:dyDescent="0.3">
      <c r="O71" s="579" t="s">
        <v>480</v>
      </c>
      <c r="P71" s="1369"/>
      <c r="Q71" s="898">
        <v>46290</v>
      </c>
      <c r="R71" s="615">
        <v>0.158</v>
      </c>
      <c r="S71" s="615">
        <v>0.65</v>
      </c>
      <c r="T71" s="615">
        <v>18.88</v>
      </c>
    </row>
    <row r="72" spans="15:20" x14ac:dyDescent="0.3">
      <c r="O72" s="579" t="s">
        <v>481</v>
      </c>
      <c r="P72" s="1369"/>
      <c r="Q72" s="898">
        <v>46290</v>
      </c>
      <c r="R72" s="615">
        <v>0.14599999999999999</v>
      </c>
      <c r="S72" s="615">
        <v>0.68</v>
      </c>
      <c r="T72" s="615">
        <v>18.93</v>
      </c>
    </row>
    <row r="73" spans="15:20" x14ac:dyDescent="0.3">
      <c r="O73" s="579" t="s">
        <v>482</v>
      </c>
      <c r="P73" s="1369"/>
      <c r="Q73" s="898">
        <v>46290</v>
      </c>
      <c r="R73" s="615">
        <v>0.13400000000000001</v>
      </c>
      <c r="S73" s="615">
        <v>0.69</v>
      </c>
      <c r="T73" s="615">
        <v>18.739999999999998</v>
      </c>
    </row>
    <row r="74" spans="15:20" x14ac:dyDescent="0.3">
      <c r="O74" s="482" t="s">
        <v>533</v>
      </c>
      <c r="P74" s="1369"/>
      <c r="Q74" s="898">
        <v>46291</v>
      </c>
      <c r="R74" s="615">
        <v>0.13100000000000001</v>
      </c>
      <c r="S74" s="615">
        <v>0.32</v>
      </c>
      <c r="T74" s="615">
        <v>16.27</v>
      </c>
    </row>
    <row r="75" spans="15:20" x14ac:dyDescent="0.3">
      <c r="O75" s="482" t="s">
        <v>534</v>
      </c>
      <c r="P75" s="1369"/>
      <c r="Q75" s="898">
        <v>46291</v>
      </c>
      <c r="R75" s="615">
        <v>0.14499999999999999</v>
      </c>
      <c r="S75" s="615">
        <v>0.34</v>
      </c>
      <c r="T75" s="615">
        <v>16.149999999999999</v>
      </c>
    </row>
    <row r="76" spans="15:20" x14ac:dyDescent="0.3">
      <c r="O76" s="482" t="s">
        <v>535</v>
      </c>
      <c r="P76" s="1369"/>
      <c r="Q76" s="898">
        <v>46291</v>
      </c>
      <c r="R76" s="615">
        <v>0.15</v>
      </c>
      <c r="S76" s="615">
        <v>0.31</v>
      </c>
      <c r="T76" s="615">
        <v>16.809999999999999</v>
      </c>
    </row>
    <row r="77" spans="15:20" x14ac:dyDescent="0.3">
      <c r="O77" s="579" t="s">
        <v>480</v>
      </c>
      <c r="P77" s="1369"/>
      <c r="Q77" s="898">
        <v>46291</v>
      </c>
      <c r="R77" s="615">
        <v>0.1</v>
      </c>
      <c r="S77" s="615">
        <v>0.41</v>
      </c>
      <c r="T77" s="615">
        <v>17.16</v>
      </c>
    </row>
    <row r="78" spans="15:20" x14ac:dyDescent="0.3">
      <c r="O78" s="579" t="s">
        <v>481</v>
      </c>
      <c r="P78" s="1369"/>
      <c r="Q78" s="898">
        <v>46291</v>
      </c>
      <c r="R78" s="615">
        <v>0.11700000000000001</v>
      </c>
      <c r="S78" s="615">
        <v>0.41</v>
      </c>
      <c r="T78" s="615">
        <v>17.239999999999998</v>
      </c>
    </row>
    <row r="79" spans="15:20" x14ac:dyDescent="0.3">
      <c r="O79" s="579" t="s">
        <v>482</v>
      </c>
      <c r="P79" s="1370"/>
      <c r="Q79" s="898">
        <v>46291</v>
      </c>
      <c r="R79" s="615">
        <v>0.106</v>
      </c>
      <c r="S79" s="615">
        <v>0.41</v>
      </c>
      <c r="T79" s="615">
        <v>17.18</v>
      </c>
    </row>
    <row r="80" spans="15:20" ht="14.4" customHeight="1" x14ac:dyDescent="0.3">
      <c r="O80" s="451" t="s">
        <v>533</v>
      </c>
      <c r="P80" s="1365">
        <v>11</v>
      </c>
      <c r="Q80" s="955">
        <v>46292</v>
      </c>
      <c r="R80" s="452">
        <v>0.152</v>
      </c>
      <c r="S80" s="452">
        <v>0.5</v>
      </c>
      <c r="T80" s="452">
        <v>15.57</v>
      </c>
    </row>
    <row r="81" spans="15:20" ht="14.4" customHeight="1" x14ac:dyDescent="0.3">
      <c r="O81" s="451" t="s">
        <v>534</v>
      </c>
      <c r="P81" s="1366"/>
      <c r="Q81" s="955">
        <v>46292</v>
      </c>
      <c r="R81" s="452">
        <v>0.156</v>
      </c>
      <c r="S81" s="452">
        <v>0.47</v>
      </c>
      <c r="T81" s="452">
        <v>15.85</v>
      </c>
    </row>
    <row r="82" spans="15:20" ht="14.4" customHeight="1" x14ac:dyDescent="0.3">
      <c r="O82" s="451" t="s">
        <v>535</v>
      </c>
      <c r="P82" s="1366"/>
      <c r="Q82" s="955">
        <v>46292</v>
      </c>
      <c r="R82" s="452">
        <v>0.13500000000000001</v>
      </c>
      <c r="S82" s="452">
        <v>0.47</v>
      </c>
      <c r="T82" s="452">
        <v>15.75</v>
      </c>
    </row>
    <row r="83" spans="15:20" ht="14.4" customHeight="1" x14ac:dyDescent="0.3">
      <c r="O83" s="451" t="s">
        <v>480</v>
      </c>
      <c r="P83" s="1366"/>
      <c r="Q83" s="955">
        <v>46292</v>
      </c>
      <c r="R83" s="452"/>
      <c r="S83" s="452"/>
      <c r="T83" s="452"/>
    </row>
    <row r="84" spans="15:20" ht="14.4" customHeight="1" x14ac:dyDescent="0.3">
      <c r="O84" s="451" t="s">
        <v>481</v>
      </c>
      <c r="P84" s="1366"/>
      <c r="Q84" s="955">
        <v>46292</v>
      </c>
      <c r="R84" s="452"/>
      <c r="S84" s="452"/>
      <c r="T84" s="452"/>
    </row>
    <row r="85" spans="15:20" ht="14.4" customHeight="1" x14ac:dyDescent="0.3">
      <c r="O85" s="451" t="s">
        <v>482</v>
      </c>
      <c r="P85" s="1366"/>
      <c r="Q85" s="955">
        <v>46292</v>
      </c>
      <c r="R85" s="452"/>
      <c r="S85" s="452"/>
      <c r="T85" s="452"/>
    </row>
    <row r="86" spans="15:20" ht="14.4" customHeight="1" x14ac:dyDescent="0.3">
      <c r="O86" s="451" t="s">
        <v>533</v>
      </c>
      <c r="P86" s="1366"/>
      <c r="Q86" s="955">
        <v>46293</v>
      </c>
      <c r="R86" s="452">
        <v>0.1</v>
      </c>
      <c r="S86" s="452">
        <v>0.44</v>
      </c>
      <c r="T86" s="452">
        <v>13.09</v>
      </c>
    </row>
    <row r="87" spans="15:20" ht="14.4" customHeight="1" x14ac:dyDescent="0.3">
      <c r="O87" s="451" t="s">
        <v>534</v>
      </c>
      <c r="P87" s="1366"/>
      <c r="Q87" s="955">
        <v>46293</v>
      </c>
      <c r="R87" s="452">
        <v>0.109</v>
      </c>
      <c r="S87" s="452">
        <v>0.48</v>
      </c>
      <c r="T87" s="452">
        <v>13.04</v>
      </c>
    </row>
    <row r="88" spans="15:20" ht="14.4" customHeight="1" x14ac:dyDescent="0.3">
      <c r="O88" s="451" t="s">
        <v>535</v>
      </c>
      <c r="P88" s="1366"/>
      <c r="Q88" s="955">
        <v>46293</v>
      </c>
      <c r="R88" s="452">
        <v>0.125</v>
      </c>
      <c r="S88" s="452">
        <v>0.46</v>
      </c>
      <c r="T88" s="452">
        <v>13.19</v>
      </c>
    </row>
    <row r="89" spans="15:20" ht="14.4" customHeight="1" x14ac:dyDescent="0.3">
      <c r="O89" s="451" t="s">
        <v>480</v>
      </c>
      <c r="P89" s="1366"/>
      <c r="Q89" s="955">
        <v>46293</v>
      </c>
      <c r="R89" s="452">
        <v>0.14799999999999999</v>
      </c>
      <c r="S89" s="452">
        <v>0.51</v>
      </c>
      <c r="T89" s="452">
        <v>12.78</v>
      </c>
    </row>
    <row r="90" spans="15:20" ht="14.4" customHeight="1" x14ac:dyDescent="0.3">
      <c r="O90" s="451" t="s">
        <v>481</v>
      </c>
      <c r="P90" s="1366"/>
      <c r="Q90" s="955">
        <v>46293</v>
      </c>
      <c r="R90" s="452">
        <v>0.115</v>
      </c>
      <c r="S90" s="452">
        <v>0.55000000000000004</v>
      </c>
      <c r="T90" s="452">
        <v>12.75</v>
      </c>
    </row>
    <row r="91" spans="15:20" ht="14.4" customHeight="1" x14ac:dyDescent="0.3">
      <c r="O91" s="451" t="s">
        <v>482</v>
      </c>
      <c r="P91" s="1366"/>
      <c r="Q91" s="955">
        <v>46293</v>
      </c>
      <c r="R91" s="452">
        <v>0.13300000000000001</v>
      </c>
      <c r="S91" s="452">
        <v>0.56000000000000005</v>
      </c>
      <c r="T91" s="452">
        <v>12.66</v>
      </c>
    </row>
    <row r="92" spans="15:20" ht="14.4" customHeight="1" x14ac:dyDescent="0.3">
      <c r="O92" s="451" t="s">
        <v>533</v>
      </c>
      <c r="P92" s="1366"/>
      <c r="Q92" s="955">
        <v>46294</v>
      </c>
      <c r="R92" s="452">
        <v>0.14199999999999999</v>
      </c>
      <c r="S92" s="452">
        <v>0.79</v>
      </c>
      <c r="T92" s="452">
        <v>15.32</v>
      </c>
    </row>
    <row r="93" spans="15:20" ht="14.4" customHeight="1" x14ac:dyDescent="0.3">
      <c r="O93" s="451" t="s">
        <v>534</v>
      </c>
      <c r="P93" s="1366"/>
      <c r="Q93" s="955">
        <v>46294</v>
      </c>
      <c r="R93" s="452">
        <v>0.152</v>
      </c>
      <c r="S93" s="452">
        <v>0.77</v>
      </c>
      <c r="T93" s="452">
        <v>15.12</v>
      </c>
    </row>
    <row r="94" spans="15:20" ht="14.4" customHeight="1" x14ac:dyDescent="0.3">
      <c r="O94" s="451" t="s">
        <v>535</v>
      </c>
      <c r="P94" s="1366"/>
      <c r="Q94" s="955">
        <v>46294</v>
      </c>
      <c r="R94" s="452">
        <v>0.13</v>
      </c>
      <c r="S94" s="452">
        <v>0.78</v>
      </c>
      <c r="T94" s="452">
        <v>15.11</v>
      </c>
    </row>
    <row r="95" spans="15:20" x14ac:dyDescent="0.3">
      <c r="O95" s="451" t="s">
        <v>480</v>
      </c>
      <c r="P95" s="1366"/>
      <c r="Q95" s="955">
        <v>46294</v>
      </c>
      <c r="R95" s="452">
        <v>0.11899999999999999</v>
      </c>
      <c r="S95" s="452">
        <v>0.63</v>
      </c>
      <c r="T95" s="452">
        <v>18.23</v>
      </c>
    </row>
    <row r="96" spans="15:20" x14ac:dyDescent="0.3">
      <c r="O96" s="451" t="s">
        <v>481</v>
      </c>
      <c r="P96" s="1366"/>
      <c r="Q96" s="955">
        <v>46294</v>
      </c>
      <c r="R96" s="452">
        <v>0.15</v>
      </c>
      <c r="S96" s="452">
        <v>0.61</v>
      </c>
      <c r="T96" s="452">
        <v>18.34</v>
      </c>
    </row>
    <row r="97" spans="15:20" x14ac:dyDescent="0.3">
      <c r="O97" s="451" t="s">
        <v>482</v>
      </c>
      <c r="P97" s="1366"/>
      <c r="Q97" s="955">
        <v>46294</v>
      </c>
      <c r="R97" s="452">
        <v>0.14699999999999999</v>
      </c>
      <c r="S97" s="452">
        <v>0.59</v>
      </c>
      <c r="T97" s="452">
        <v>18.2</v>
      </c>
    </row>
    <row r="98" spans="15:20" x14ac:dyDescent="0.3">
      <c r="O98" s="451" t="s">
        <v>533</v>
      </c>
      <c r="P98" s="1366"/>
      <c r="Q98" s="955">
        <v>46295</v>
      </c>
      <c r="R98" s="452">
        <v>0.121</v>
      </c>
      <c r="S98" s="452">
        <v>1.05</v>
      </c>
      <c r="T98" s="452">
        <v>16.78</v>
      </c>
    </row>
    <row r="99" spans="15:20" x14ac:dyDescent="0.3">
      <c r="O99" s="451" t="s">
        <v>534</v>
      </c>
      <c r="P99" s="1366"/>
      <c r="Q99" s="955">
        <v>46295</v>
      </c>
      <c r="R99" s="452">
        <v>0.11799999999999999</v>
      </c>
      <c r="S99" s="452">
        <v>1.1599999999999999</v>
      </c>
      <c r="T99" s="452">
        <v>16.78</v>
      </c>
    </row>
    <row r="100" spans="15:20" x14ac:dyDescent="0.3">
      <c r="O100" s="451" t="s">
        <v>535</v>
      </c>
      <c r="P100" s="1367"/>
      <c r="Q100" s="955">
        <v>46295</v>
      </c>
      <c r="R100" s="452">
        <v>0.14299999999999999</v>
      </c>
      <c r="S100" s="452">
        <v>1.04</v>
      </c>
      <c r="T100" s="452">
        <v>16</v>
      </c>
    </row>
    <row r="101" spans="15:20" x14ac:dyDescent="0.3">
      <c r="O101" s="482" t="s">
        <v>533</v>
      </c>
      <c r="P101" s="13"/>
      <c r="Q101" s="62">
        <v>46297</v>
      </c>
      <c r="R101" s="6">
        <v>0.33200000000000002</v>
      </c>
      <c r="S101" s="6">
        <v>1.1200000000000001</v>
      </c>
      <c r="T101" s="6">
        <v>19.87</v>
      </c>
    </row>
    <row r="102" spans="15:20" x14ac:dyDescent="0.3">
      <c r="O102" s="482" t="s">
        <v>534</v>
      </c>
      <c r="P102" s="13"/>
      <c r="Q102" s="62">
        <v>46297</v>
      </c>
      <c r="R102" s="6">
        <v>0.36199999999999999</v>
      </c>
      <c r="S102" s="6">
        <v>1.19</v>
      </c>
      <c r="T102" s="6">
        <v>19.84</v>
      </c>
    </row>
    <row r="103" spans="15:20" x14ac:dyDescent="0.3">
      <c r="O103" s="482" t="s">
        <v>535</v>
      </c>
      <c r="P103" s="13"/>
      <c r="Q103" s="62">
        <v>46297</v>
      </c>
      <c r="R103" s="6">
        <v>0.32400000000000001</v>
      </c>
      <c r="S103" s="6">
        <v>1.04</v>
      </c>
      <c r="T103" s="6">
        <v>19.920000000000002</v>
      </c>
    </row>
    <row r="104" spans="15:20" x14ac:dyDescent="0.3">
      <c r="O104" s="579" t="s">
        <v>480</v>
      </c>
      <c r="P104" s="13"/>
      <c r="Q104" s="62">
        <v>46297</v>
      </c>
      <c r="R104" s="6">
        <v>0.153</v>
      </c>
      <c r="S104" s="6">
        <v>0.72</v>
      </c>
      <c r="T104" s="6"/>
    </row>
    <row r="105" spans="15:20" x14ac:dyDescent="0.3">
      <c r="O105" s="579" t="s">
        <v>481</v>
      </c>
      <c r="P105" s="13"/>
      <c r="Q105" s="62">
        <v>46297</v>
      </c>
      <c r="R105" s="6">
        <v>0.115</v>
      </c>
      <c r="S105" s="6">
        <v>0.83</v>
      </c>
      <c r="T105" s="6"/>
    </row>
    <row r="106" spans="15:20" x14ac:dyDescent="0.3">
      <c r="O106" s="579" t="s">
        <v>482</v>
      </c>
      <c r="P106" s="13"/>
      <c r="Q106" s="62">
        <v>46297</v>
      </c>
      <c r="R106" s="6">
        <v>0.115</v>
      </c>
      <c r="S106" s="6">
        <v>0.74</v>
      </c>
      <c r="T106" s="6"/>
    </row>
    <row r="107" spans="15:20" x14ac:dyDescent="0.3">
      <c r="O107" s="6"/>
      <c r="P107" s="13"/>
      <c r="Q107" s="6"/>
      <c r="R107" s="6"/>
      <c r="S107" s="6"/>
      <c r="T107" s="6"/>
    </row>
    <row r="108" spans="15:20" x14ac:dyDescent="0.3">
      <c r="O108" s="6"/>
      <c r="P108" s="13"/>
      <c r="Q108" s="6"/>
      <c r="R108" s="6"/>
      <c r="S108" s="6"/>
      <c r="T108" s="6"/>
    </row>
    <row r="109" spans="15:20" x14ac:dyDescent="0.3">
      <c r="O109" s="6"/>
      <c r="P109" s="13"/>
      <c r="Q109" s="6"/>
      <c r="R109" s="6"/>
      <c r="S109" s="6"/>
      <c r="T109" s="6"/>
    </row>
    <row r="110" spans="15:20" x14ac:dyDescent="0.3">
      <c r="O110" s="6"/>
      <c r="P110" s="13"/>
      <c r="Q110" s="6"/>
      <c r="R110" s="6"/>
      <c r="S110" s="6"/>
      <c r="T110" s="6"/>
    </row>
    <row r="111" spans="15:20" x14ac:dyDescent="0.3">
      <c r="O111" s="6"/>
      <c r="P111" s="13"/>
      <c r="Q111" s="6"/>
      <c r="R111" s="6"/>
      <c r="S111" s="6"/>
      <c r="T111" s="6"/>
    </row>
    <row r="112" spans="15:20" x14ac:dyDescent="0.3">
      <c r="O112" s="6"/>
      <c r="P112" s="13"/>
      <c r="Q112" s="6"/>
      <c r="R112" s="6"/>
      <c r="S112" s="6"/>
      <c r="T112" s="6"/>
    </row>
    <row r="113" spans="15:20" x14ac:dyDescent="0.3">
      <c r="O113" s="6"/>
      <c r="P113" s="13"/>
      <c r="Q113" s="6"/>
      <c r="R113" s="6"/>
      <c r="S113" s="6"/>
      <c r="T113" s="6"/>
    </row>
    <row r="114" spans="15:20" x14ac:dyDescent="0.3">
      <c r="O114" s="6"/>
      <c r="P114" s="13"/>
      <c r="Q114" s="6"/>
      <c r="R114" s="6"/>
      <c r="S114" s="6"/>
      <c r="T114" s="6"/>
    </row>
    <row r="115" spans="15:20" x14ac:dyDescent="0.3">
      <c r="O115" s="6"/>
      <c r="P115" s="13"/>
      <c r="Q115" s="6"/>
      <c r="R115" s="6"/>
      <c r="S115" s="6"/>
      <c r="T115" s="6"/>
    </row>
    <row r="116" spans="15:20" x14ac:dyDescent="0.3">
      <c r="O116" s="6"/>
      <c r="P116" s="13"/>
      <c r="Q116" s="6"/>
      <c r="R116" s="6"/>
      <c r="S116" s="6"/>
      <c r="T116" s="6"/>
    </row>
    <row r="117" spans="15:20" x14ac:dyDescent="0.3">
      <c r="O117" s="6"/>
      <c r="P117" s="13"/>
      <c r="Q117" s="6"/>
      <c r="R117" s="6"/>
      <c r="S117" s="6"/>
      <c r="T117" s="6"/>
    </row>
    <row r="118" spans="15:20" x14ac:dyDescent="0.3">
      <c r="O118" s="6"/>
      <c r="P118" s="13"/>
      <c r="Q118" s="6"/>
      <c r="R118" s="6"/>
      <c r="S118" s="6"/>
      <c r="T118" s="6"/>
    </row>
    <row r="119" spans="15:20" x14ac:dyDescent="0.3">
      <c r="O119" s="6"/>
      <c r="P119" s="13"/>
      <c r="Q119" s="6"/>
      <c r="R119" s="6"/>
      <c r="S119" s="6"/>
      <c r="T119" s="6"/>
    </row>
    <row r="120" spans="15:20" x14ac:dyDescent="0.3">
      <c r="O120" s="6"/>
      <c r="P120" s="13"/>
      <c r="Q120" s="6"/>
      <c r="R120" s="6"/>
      <c r="S120" s="6"/>
      <c r="T120" s="6"/>
    </row>
    <row r="121" spans="15:20" x14ac:dyDescent="0.3">
      <c r="O121" s="6"/>
      <c r="P121" s="13"/>
      <c r="Q121" s="6"/>
      <c r="R121" s="6"/>
      <c r="S121" s="6"/>
      <c r="T121" s="6"/>
    </row>
    <row r="122" spans="15:20" x14ac:dyDescent="0.3">
      <c r="O122" s="6"/>
      <c r="P122" s="13"/>
      <c r="Q122" s="6"/>
      <c r="R122" s="6"/>
      <c r="S122" s="6"/>
      <c r="T122" s="6"/>
    </row>
    <row r="123" spans="15:20" x14ac:dyDescent="0.3">
      <c r="O123" s="6"/>
      <c r="P123" s="13"/>
      <c r="Q123" s="6"/>
      <c r="R123" s="6"/>
      <c r="S123" s="6"/>
      <c r="T123" s="6"/>
    </row>
    <row r="124" spans="15:20" x14ac:dyDescent="0.3">
      <c r="O124" s="6"/>
      <c r="P124" s="13"/>
      <c r="Q124" s="6"/>
      <c r="R124" s="6"/>
      <c r="S124" s="6"/>
      <c r="T124" s="6"/>
    </row>
    <row r="125" spans="15:20" x14ac:dyDescent="0.3">
      <c r="O125" s="6"/>
      <c r="P125" s="13"/>
      <c r="Q125" s="6"/>
      <c r="R125" s="6"/>
      <c r="S125" s="6"/>
      <c r="T125" s="6"/>
    </row>
    <row r="126" spans="15:20" x14ac:dyDescent="0.3">
      <c r="O126" s="6"/>
      <c r="P126" s="13"/>
      <c r="Q126" s="6"/>
      <c r="R126" s="6"/>
      <c r="S126" s="6"/>
      <c r="T126" s="6"/>
    </row>
    <row r="127" spans="15:20" x14ac:dyDescent="0.3">
      <c r="O127" s="6"/>
      <c r="P127" s="13"/>
      <c r="Q127" s="6"/>
      <c r="R127" s="6"/>
      <c r="S127" s="6"/>
      <c r="T127" s="6"/>
    </row>
    <row r="128" spans="15:20" x14ac:dyDescent="0.3">
      <c r="O128" s="6"/>
      <c r="P128" s="13"/>
      <c r="Q128" s="6"/>
      <c r="R128" s="6"/>
      <c r="S128" s="6"/>
      <c r="T128" s="6"/>
    </row>
    <row r="129" spans="15:20" x14ac:dyDescent="0.3">
      <c r="O129" s="6"/>
      <c r="P129" s="13"/>
      <c r="Q129" s="6"/>
      <c r="R129" s="6"/>
      <c r="S129" s="6"/>
      <c r="T129" s="6"/>
    </row>
    <row r="130" spans="15:20" x14ac:dyDescent="0.3">
      <c r="O130" s="6"/>
      <c r="P130" s="13"/>
      <c r="Q130" s="6"/>
      <c r="R130" s="6"/>
      <c r="S130" s="6"/>
      <c r="T130" s="6"/>
    </row>
    <row r="131" spans="15:20" x14ac:dyDescent="0.3">
      <c r="O131" s="6"/>
      <c r="P131" s="13"/>
      <c r="Q131" s="6"/>
      <c r="R131" s="6"/>
      <c r="S131" s="6"/>
      <c r="T131" s="6"/>
    </row>
    <row r="132" spans="15:20" x14ac:dyDescent="0.3">
      <c r="O132" s="6"/>
      <c r="P132" s="13"/>
      <c r="Q132" s="6"/>
      <c r="R132" s="6"/>
      <c r="S132" s="6"/>
      <c r="T132" s="6"/>
    </row>
    <row r="133" spans="15:20" x14ac:dyDescent="0.3">
      <c r="O133" s="6"/>
      <c r="P133" s="13"/>
      <c r="Q133" s="6"/>
      <c r="R133" s="6"/>
      <c r="S133" s="6"/>
      <c r="T133" s="6"/>
    </row>
    <row r="134" spans="15:20" x14ac:dyDescent="0.3">
      <c r="O134" s="6"/>
      <c r="P134" s="13"/>
      <c r="Q134" s="6"/>
      <c r="R134" s="6"/>
      <c r="S134" s="6"/>
      <c r="T134" s="6"/>
    </row>
    <row r="135" spans="15:20" x14ac:dyDescent="0.3">
      <c r="O135" s="6"/>
      <c r="P135" s="13"/>
      <c r="Q135" s="6"/>
      <c r="R135" s="6"/>
      <c r="S135" s="6"/>
      <c r="T135" s="6"/>
    </row>
    <row r="136" spans="15:20" x14ac:dyDescent="0.3">
      <c r="O136" s="6"/>
      <c r="P136" s="13"/>
      <c r="Q136" s="6"/>
      <c r="R136" s="6"/>
      <c r="S136" s="6"/>
      <c r="T136" s="6"/>
    </row>
    <row r="137" spans="15:20" x14ac:dyDescent="0.3">
      <c r="O137" s="6"/>
      <c r="P137" s="13"/>
      <c r="Q137" s="6"/>
      <c r="R137" s="6"/>
      <c r="S137" s="6"/>
      <c r="T137" s="6"/>
    </row>
    <row r="138" spans="15:20" x14ac:dyDescent="0.3">
      <c r="O138" s="6"/>
      <c r="P138" s="13"/>
      <c r="Q138" s="6"/>
      <c r="R138" s="6"/>
      <c r="S138" s="6"/>
      <c r="T138" s="6"/>
    </row>
    <row r="139" spans="15:20" x14ac:dyDescent="0.3">
      <c r="O139" s="6"/>
      <c r="P139" s="13"/>
      <c r="Q139" s="6"/>
      <c r="R139" s="6"/>
      <c r="S139" s="6"/>
      <c r="T139" s="6"/>
    </row>
    <row r="140" spans="15:20" x14ac:dyDescent="0.3">
      <c r="O140" s="6"/>
      <c r="P140" s="13"/>
      <c r="Q140" s="6"/>
      <c r="R140" s="6"/>
      <c r="S140" s="6"/>
      <c r="T140" s="6"/>
    </row>
    <row r="141" spans="15:20" x14ac:dyDescent="0.3">
      <c r="O141" s="6"/>
      <c r="P141" s="13"/>
      <c r="Q141" s="6"/>
      <c r="R141" s="6"/>
      <c r="S141" s="6"/>
      <c r="T141" s="6"/>
    </row>
    <row r="142" spans="15:20" x14ac:dyDescent="0.3">
      <c r="O142" s="6"/>
      <c r="P142" s="13"/>
      <c r="Q142" s="6"/>
      <c r="R142" s="6"/>
      <c r="S142" s="6"/>
      <c r="T142" s="6"/>
    </row>
    <row r="143" spans="15:20" x14ac:dyDescent="0.3">
      <c r="O143" s="6"/>
      <c r="P143" s="13"/>
      <c r="Q143" s="6"/>
      <c r="R143" s="6"/>
      <c r="S143" s="6"/>
      <c r="T143" s="6"/>
    </row>
    <row r="144" spans="15:20" x14ac:dyDescent="0.3">
      <c r="O144" s="6"/>
      <c r="P144" s="13"/>
      <c r="Q144" s="6"/>
      <c r="R144" s="6"/>
      <c r="S144" s="6"/>
      <c r="T144" s="6"/>
    </row>
    <row r="145" spans="15:20" x14ac:dyDescent="0.3">
      <c r="O145" s="6"/>
      <c r="P145" s="13"/>
      <c r="Q145" s="6"/>
      <c r="R145" s="6"/>
      <c r="S145" s="6"/>
      <c r="T145" s="6"/>
    </row>
    <row r="146" spans="15:20" x14ac:dyDescent="0.3">
      <c r="O146" s="6"/>
      <c r="P146" s="13"/>
      <c r="Q146" s="6"/>
      <c r="R146" s="6"/>
      <c r="S146" s="6"/>
      <c r="T146" s="6"/>
    </row>
    <row r="147" spans="15:20" x14ac:dyDescent="0.3">
      <c r="O147" s="6"/>
      <c r="P147" s="13"/>
      <c r="Q147" s="6"/>
      <c r="R147" s="6"/>
      <c r="S147" s="6"/>
      <c r="T147" s="6"/>
    </row>
    <row r="148" spans="15:20" x14ac:dyDescent="0.3">
      <c r="O148" s="6"/>
      <c r="P148" s="13"/>
      <c r="Q148" s="6"/>
      <c r="R148" s="6"/>
      <c r="S148" s="6"/>
      <c r="T148" s="6"/>
    </row>
    <row r="149" spans="15:20" x14ac:dyDescent="0.3">
      <c r="O149" s="6"/>
      <c r="P149" s="13"/>
      <c r="Q149" s="6"/>
      <c r="R149" s="6"/>
      <c r="S149" s="6"/>
      <c r="T149" s="6"/>
    </row>
    <row r="150" spans="15:20" x14ac:dyDescent="0.3">
      <c r="O150" s="6"/>
      <c r="P150" s="13"/>
      <c r="Q150" s="6"/>
      <c r="R150" s="6"/>
      <c r="S150" s="6"/>
      <c r="T150" s="6"/>
    </row>
    <row r="151" spans="15:20" x14ac:dyDescent="0.3">
      <c r="O151" s="6"/>
      <c r="P151" s="13"/>
      <c r="Q151" s="6"/>
      <c r="R151" s="6"/>
      <c r="S151" s="6"/>
      <c r="T151" s="6"/>
    </row>
    <row r="152" spans="15:20" x14ac:dyDescent="0.3">
      <c r="O152" s="6"/>
      <c r="P152" s="13"/>
      <c r="Q152" s="6"/>
      <c r="R152" s="6"/>
      <c r="S152" s="6"/>
      <c r="T152" s="6"/>
    </row>
    <row r="153" spans="15:20" x14ac:dyDescent="0.3">
      <c r="O153" s="6"/>
      <c r="P153" s="13"/>
      <c r="Q153" s="6"/>
      <c r="R153" s="6"/>
      <c r="S153" s="6"/>
      <c r="T153" s="6"/>
    </row>
    <row r="154" spans="15:20" x14ac:dyDescent="0.3">
      <c r="O154" s="6"/>
      <c r="P154" s="13"/>
      <c r="Q154" s="6"/>
      <c r="R154" s="6"/>
      <c r="S154" s="6"/>
      <c r="T154" s="6"/>
    </row>
    <row r="155" spans="15:20" x14ac:dyDescent="0.3">
      <c r="O155" s="6"/>
      <c r="P155" s="13"/>
      <c r="Q155" s="6"/>
      <c r="R155" s="6"/>
      <c r="S155" s="6"/>
      <c r="T155" s="6"/>
    </row>
    <row r="156" spans="15:20" x14ac:dyDescent="0.3">
      <c r="O156" s="6"/>
      <c r="P156" s="13"/>
      <c r="Q156" s="6"/>
      <c r="R156" s="6"/>
      <c r="S156" s="6"/>
      <c r="T156" s="6"/>
    </row>
    <row r="157" spans="15:20" x14ac:dyDescent="0.3">
      <c r="O157" s="6"/>
      <c r="P157" s="13"/>
      <c r="Q157" s="6"/>
      <c r="R157" s="6"/>
      <c r="S157" s="6"/>
      <c r="T157" s="6"/>
    </row>
    <row r="158" spans="15:20" x14ac:dyDescent="0.3">
      <c r="O158" s="6"/>
      <c r="P158" s="13"/>
      <c r="Q158" s="6"/>
      <c r="R158" s="6"/>
      <c r="S158" s="6"/>
      <c r="T158" s="6"/>
    </row>
    <row r="159" spans="15:20" x14ac:dyDescent="0.3">
      <c r="O159" s="6"/>
      <c r="P159" s="13"/>
      <c r="Q159" s="6"/>
      <c r="R159" s="6"/>
      <c r="S159" s="6"/>
      <c r="T159" s="6"/>
    </row>
    <row r="160" spans="15:20" x14ac:dyDescent="0.3">
      <c r="O160" s="6"/>
      <c r="P160" s="13"/>
      <c r="Q160" s="6"/>
      <c r="R160" s="6"/>
      <c r="S160" s="6"/>
      <c r="T160" s="6"/>
    </row>
    <row r="161" spans="15:20" x14ac:dyDescent="0.3">
      <c r="O161" s="6"/>
      <c r="P161" s="13"/>
      <c r="Q161" s="6"/>
      <c r="R161" s="6"/>
      <c r="S161" s="6"/>
      <c r="T161" s="6"/>
    </row>
    <row r="162" spans="15:20" x14ac:dyDescent="0.3">
      <c r="O162" s="6"/>
      <c r="P162" s="13"/>
      <c r="Q162" s="6"/>
      <c r="R162" s="6"/>
      <c r="S162" s="6"/>
      <c r="T162" s="6"/>
    </row>
    <row r="163" spans="15:20" x14ac:dyDescent="0.3">
      <c r="O163" s="6"/>
      <c r="P163" s="13"/>
      <c r="Q163" s="6"/>
      <c r="R163" s="6"/>
      <c r="S163" s="6"/>
      <c r="T163" s="6"/>
    </row>
    <row r="164" spans="15:20" x14ac:dyDescent="0.3">
      <c r="O164" s="6"/>
      <c r="P164" s="13"/>
      <c r="Q164" s="6"/>
      <c r="R164" s="6"/>
      <c r="S164" s="6"/>
      <c r="T164" s="6"/>
    </row>
    <row r="165" spans="15:20" x14ac:dyDescent="0.3">
      <c r="O165" s="6"/>
      <c r="P165" s="13"/>
      <c r="Q165" s="6"/>
      <c r="R165" s="6"/>
      <c r="S165" s="6"/>
      <c r="T165" s="6"/>
    </row>
    <row r="166" spans="15:20" x14ac:dyDescent="0.3">
      <c r="O166" s="6"/>
      <c r="P166" s="13"/>
      <c r="Q166" s="6"/>
      <c r="R166" s="6"/>
      <c r="S166" s="6"/>
      <c r="T166" s="6"/>
    </row>
    <row r="167" spans="15:20" x14ac:dyDescent="0.3">
      <c r="O167" s="6"/>
      <c r="P167" s="13"/>
      <c r="Q167" s="6"/>
      <c r="R167" s="6"/>
      <c r="S167" s="6"/>
      <c r="T167" s="6"/>
    </row>
    <row r="168" spans="15:20" x14ac:dyDescent="0.3">
      <c r="O168" s="6"/>
      <c r="P168" s="13"/>
      <c r="Q168" s="6"/>
      <c r="R168" s="6"/>
      <c r="S168" s="6"/>
      <c r="T168" s="6"/>
    </row>
    <row r="169" spans="15:20" x14ac:dyDescent="0.3">
      <c r="O169" s="6"/>
      <c r="P169" s="13"/>
      <c r="Q169" s="6"/>
      <c r="R169" s="6"/>
      <c r="S169" s="6"/>
      <c r="T169" s="6"/>
    </row>
    <row r="170" spans="15:20" x14ac:dyDescent="0.3">
      <c r="O170" s="6"/>
      <c r="P170" s="13"/>
      <c r="Q170" s="6"/>
      <c r="R170" s="6"/>
      <c r="S170" s="6"/>
      <c r="T170" s="6"/>
    </row>
    <row r="171" spans="15:20" x14ac:dyDescent="0.3">
      <c r="O171" s="6"/>
      <c r="P171" s="13"/>
      <c r="Q171" s="6"/>
      <c r="R171" s="6"/>
      <c r="S171" s="6"/>
      <c r="T171" s="6"/>
    </row>
    <row r="172" spans="15:20" x14ac:dyDescent="0.3">
      <c r="O172" s="6"/>
      <c r="P172" s="13"/>
      <c r="Q172" s="6"/>
      <c r="R172" s="6"/>
      <c r="S172" s="6"/>
      <c r="T172" s="6"/>
    </row>
    <row r="173" spans="15:20" x14ac:dyDescent="0.3">
      <c r="O173" s="6"/>
      <c r="P173" s="13"/>
      <c r="Q173" s="6"/>
      <c r="R173" s="6"/>
      <c r="S173" s="6"/>
      <c r="T173" s="6"/>
    </row>
    <row r="174" spans="15:20" x14ac:dyDescent="0.3">
      <c r="O174" s="6"/>
      <c r="P174" s="13"/>
      <c r="Q174" s="6"/>
      <c r="R174" s="6"/>
      <c r="S174" s="6"/>
      <c r="T174" s="6"/>
    </row>
    <row r="175" spans="15:20" x14ac:dyDescent="0.3">
      <c r="O175" s="6"/>
      <c r="P175" s="13"/>
      <c r="Q175" s="6"/>
      <c r="R175" s="6"/>
      <c r="S175" s="6"/>
      <c r="T175" s="6"/>
    </row>
    <row r="176" spans="15:20" x14ac:dyDescent="0.3">
      <c r="O176" s="6"/>
      <c r="P176" s="13"/>
      <c r="Q176" s="6"/>
      <c r="R176" s="6"/>
      <c r="S176" s="6"/>
      <c r="T176" s="6"/>
    </row>
    <row r="177" spans="15:20" x14ac:dyDescent="0.3">
      <c r="O177" s="6"/>
      <c r="P177" s="13"/>
      <c r="Q177" s="6"/>
      <c r="R177" s="6"/>
      <c r="S177" s="6"/>
      <c r="T177" s="6"/>
    </row>
    <row r="178" spans="15:20" x14ac:dyDescent="0.3">
      <c r="O178" s="6"/>
      <c r="P178" s="13"/>
      <c r="Q178" s="6"/>
      <c r="R178" s="6"/>
      <c r="S178" s="6"/>
      <c r="T178" s="6"/>
    </row>
    <row r="179" spans="15:20" x14ac:dyDescent="0.3">
      <c r="O179" s="6"/>
      <c r="P179" s="13"/>
      <c r="Q179" s="6"/>
      <c r="R179" s="6"/>
      <c r="S179" s="6"/>
      <c r="T179" s="6"/>
    </row>
    <row r="180" spans="15:20" x14ac:dyDescent="0.3">
      <c r="O180" s="6"/>
      <c r="P180" s="13"/>
      <c r="Q180" s="6"/>
      <c r="R180" s="6"/>
      <c r="S180" s="6"/>
      <c r="T180" s="6"/>
    </row>
    <row r="181" spans="15:20" x14ac:dyDescent="0.3">
      <c r="O181" s="6"/>
      <c r="P181" s="13"/>
      <c r="Q181" s="6"/>
      <c r="R181" s="6"/>
      <c r="S181" s="6"/>
      <c r="T181" s="6"/>
    </row>
    <row r="182" spans="15:20" x14ac:dyDescent="0.3">
      <c r="O182" s="6"/>
      <c r="P182" s="13"/>
      <c r="Q182" s="6"/>
      <c r="R182" s="6"/>
      <c r="S182" s="6"/>
      <c r="T182" s="6"/>
    </row>
    <row r="183" spans="15:20" x14ac:dyDescent="0.3">
      <c r="O183" s="6"/>
      <c r="P183" s="13"/>
      <c r="Q183" s="6"/>
      <c r="R183" s="6"/>
      <c r="S183" s="6"/>
      <c r="T183" s="6"/>
    </row>
    <row r="184" spans="15:20" x14ac:dyDescent="0.3">
      <c r="O184" s="6"/>
      <c r="P184" s="13"/>
      <c r="Q184" s="6"/>
      <c r="R184" s="6"/>
      <c r="S184" s="6"/>
      <c r="T184" s="6"/>
    </row>
    <row r="185" spans="15:20" x14ac:dyDescent="0.3">
      <c r="O185" s="6"/>
      <c r="P185" s="13"/>
      <c r="Q185" s="6"/>
      <c r="R185" s="6"/>
      <c r="S185" s="6"/>
      <c r="T185" s="6"/>
    </row>
    <row r="186" spans="15:20" x14ac:dyDescent="0.3">
      <c r="O186" s="6"/>
      <c r="P186" s="13"/>
      <c r="Q186" s="6"/>
      <c r="R186" s="6"/>
      <c r="S186" s="6"/>
      <c r="T186" s="6"/>
    </row>
    <row r="187" spans="15:20" x14ac:dyDescent="0.3">
      <c r="O187" s="6"/>
      <c r="P187" s="13"/>
      <c r="Q187" s="6"/>
      <c r="R187" s="6"/>
      <c r="S187" s="6"/>
      <c r="T187" s="6"/>
    </row>
    <row r="188" spans="15:20" x14ac:dyDescent="0.3">
      <c r="O188" s="6"/>
      <c r="P188" s="13"/>
      <c r="Q188" s="6"/>
      <c r="R188" s="6"/>
      <c r="S188" s="6"/>
      <c r="T188" s="6"/>
    </row>
    <row r="189" spans="15:20" x14ac:dyDescent="0.3">
      <c r="O189" s="6"/>
      <c r="P189" s="13"/>
      <c r="Q189" s="6"/>
      <c r="R189" s="6"/>
      <c r="S189" s="6"/>
      <c r="T189" s="6"/>
    </row>
    <row r="190" spans="15:20" x14ac:dyDescent="0.3">
      <c r="O190" s="6"/>
      <c r="P190" s="13"/>
      <c r="Q190" s="6"/>
      <c r="R190" s="6"/>
      <c r="S190" s="6"/>
      <c r="T190" s="6"/>
    </row>
    <row r="191" spans="15:20" x14ac:dyDescent="0.3">
      <c r="O191" s="6"/>
      <c r="P191" s="13"/>
      <c r="Q191" s="6"/>
      <c r="R191" s="6"/>
      <c r="S191" s="6"/>
      <c r="T191" s="6"/>
    </row>
    <row r="192" spans="15:20" x14ac:dyDescent="0.3">
      <c r="O192" s="6"/>
      <c r="P192" s="13"/>
      <c r="Q192" s="6"/>
      <c r="R192" s="6"/>
      <c r="S192" s="6"/>
      <c r="T192" s="6"/>
    </row>
    <row r="193" spans="15:20" x14ac:dyDescent="0.3">
      <c r="O193" s="6"/>
      <c r="P193" s="13"/>
      <c r="Q193" s="6"/>
      <c r="R193" s="6"/>
      <c r="S193" s="6"/>
      <c r="T193" s="6"/>
    </row>
    <row r="194" spans="15:20" x14ac:dyDescent="0.3">
      <c r="O194" s="6"/>
      <c r="P194" s="13"/>
      <c r="Q194" s="6"/>
      <c r="R194" s="6"/>
      <c r="S194" s="6"/>
      <c r="T194" s="6"/>
    </row>
    <row r="195" spans="15:20" x14ac:dyDescent="0.3">
      <c r="O195" s="6"/>
      <c r="P195" s="13"/>
      <c r="Q195" s="6"/>
      <c r="R195" s="6"/>
      <c r="S195" s="6"/>
      <c r="T195" s="6"/>
    </row>
    <row r="196" spans="15:20" x14ac:dyDescent="0.3">
      <c r="O196" s="6"/>
      <c r="P196" s="13"/>
      <c r="Q196" s="6"/>
      <c r="R196" s="6"/>
      <c r="S196" s="6"/>
      <c r="T196" s="6"/>
    </row>
    <row r="197" spans="15:20" x14ac:dyDescent="0.3">
      <c r="O197" s="6"/>
      <c r="P197" s="13"/>
      <c r="Q197" s="6"/>
      <c r="R197" s="6"/>
      <c r="S197" s="6"/>
      <c r="T197" s="6"/>
    </row>
    <row r="198" spans="15:20" x14ac:dyDescent="0.3">
      <c r="O198" s="6"/>
      <c r="P198" s="13"/>
      <c r="Q198" s="6"/>
      <c r="R198" s="6"/>
      <c r="S198" s="6"/>
      <c r="T198" s="6"/>
    </row>
    <row r="199" spans="15:20" x14ac:dyDescent="0.3">
      <c r="O199" s="6"/>
      <c r="P199" s="13"/>
      <c r="Q199" s="6"/>
      <c r="R199" s="6"/>
      <c r="S199" s="6"/>
      <c r="T199" s="6"/>
    </row>
    <row r="200" spans="15:20" x14ac:dyDescent="0.3">
      <c r="O200" s="6"/>
      <c r="P200" s="13"/>
      <c r="Q200" s="6"/>
      <c r="R200" s="6"/>
      <c r="S200" s="6"/>
      <c r="T200" s="6"/>
    </row>
    <row r="201" spans="15:20" x14ac:dyDescent="0.3">
      <c r="O201" s="6"/>
      <c r="P201" s="13"/>
      <c r="Q201" s="6"/>
      <c r="R201" s="6"/>
      <c r="S201" s="6"/>
      <c r="T201" s="6"/>
    </row>
    <row r="202" spans="15:20" x14ac:dyDescent="0.3">
      <c r="O202" s="6"/>
      <c r="P202" s="13"/>
      <c r="Q202" s="6"/>
      <c r="R202" s="6"/>
      <c r="S202" s="6"/>
      <c r="T202" s="6"/>
    </row>
    <row r="203" spans="15:20" x14ac:dyDescent="0.3">
      <c r="O203" s="6"/>
      <c r="P203" s="13"/>
      <c r="Q203" s="6"/>
      <c r="R203" s="6"/>
      <c r="S203" s="6"/>
      <c r="T203" s="6"/>
    </row>
    <row r="204" spans="15:20" x14ac:dyDescent="0.3">
      <c r="O204" s="6"/>
      <c r="P204" s="13"/>
      <c r="Q204" s="6"/>
      <c r="R204" s="6"/>
      <c r="S204" s="6"/>
      <c r="T204" s="6"/>
    </row>
    <row r="205" spans="15:20" x14ac:dyDescent="0.3">
      <c r="O205" s="6"/>
      <c r="P205" s="13"/>
      <c r="Q205" s="6"/>
      <c r="R205" s="6"/>
      <c r="S205" s="6"/>
      <c r="T205" s="6"/>
    </row>
    <row r="206" spans="15:20" x14ac:dyDescent="0.3">
      <c r="O206" s="6"/>
      <c r="P206" s="13"/>
      <c r="Q206" s="6"/>
      <c r="R206" s="6"/>
      <c r="S206" s="6"/>
      <c r="T206" s="6"/>
    </row>
    <row r="207" spans="15:20" x14ac:dyDescent="0.3">
      <c r="O207" s="6"/>
      <c r="P207" s="13"/>
      <c r="Q207" s="6"/>
      <c r="R207" s="6"/>
      <c r="S207" s="6"/>
      <c r="T207" s="6"/>
    </row>
    <row r="208" spans="15:20" x14ac:dyDescent="0.3">
      <c r="O208" s="6"/>
      <c r="P208" s="13"/>
      <c r="Q208" s="6"/>
      <c r="R208" s="6"/>
      <c r="S208" s="6"/>
      <c r="T208" s="6"/>
    </row>
    <row r="209" spans="15:20" x14ac:dyDescent="0.3">
      <c r="O209" s="6"/>
      <c r="P209" s="13"/>
      <c r="Q209" s="6"/>
      <c r="R209" s="6"/>
      <c r="S209" s="6"/>
      <c r="T209" s="6"/>
    </row>
    <row r="210" spans="15:20" x14ac:dyDescent="0.3">
      <c r="O210" s="6"/>
      <c r="P210" s="13"/>
      <c r="Q210" s="6"/>
      <c r="R210" s="6"/>
      <c r="S210" s="6"/>
      <c r="T210" s="6"/>
    </row>
    <row r="211" spans="15:20" x14ac:dyDescent="0.3">
      <c r="O211" s="6"/>
      <c r="P211" s="13"/>
      <c r="Q211" s="6"/>
      <c r="R211" s="6"/>
      <c r="S211" s="6"/>
      <c r="T211" s="6"/>
    </row>
    <row r="212" spans="15:20" x14ac:dyDescent="0.3">
      <c r="O212" s="6"/>
      <c r="P212" s="13"/>
      <c r="Q212" s="6"/>
      <c r="R212" s="6"/>
      <c r="S212" s="6"/>
      <c r="T212" s="6"/>
    </row>
    <row r="213" spans="15:20" x14ac:dyDescent="0.3">
      <c r="O213" s="6"/>
      <c r="P213" s="13"/>
      <c r="Q213" s="6"/>
      <c r="R213" s="6"/>
      <c r="S213" s="6"/>
      <c r="T213" s="6"/>
    </row>
    <row r="214" spans="15:20" x14ac:dyDescent="0.3">
      <c r="O214" s="6"/>
      <c r="P214" s="13"/>
      <c r="Q214" s="6"/>
      <c r="R214" s="6"/>
      <c r="S214" s="6"/>
      <c r="T214" s="6"/>
    </row>
    <row r="215" spans="15:20" x14ac:dyDescent="0.3">
      <c r="O215" s="6"/>
      <c r="P215" s="13"/>
      <c r="Q215" s="6"/>
      <c r="R215" s="6"/>
      <c r="S215" s="6"/>
      <c r="T215" s="6"/>
    </row>
    <row r="216" spans="15:20" x14ac:dyDescent="0.3">
      <c r="O216" s="6"/>
      <c r="P216" s="13"/>
      <c r="Q216" s="6"/>
      <c r="R216" s="6"/>
      <c r="S216" s="6"/>
      <c r="T216" s="6"/>
    </row>
    <row r="217" spans="15:20" x14ac:dyDescent="0.3">
      <c r="O217" s="6"/>
      <c r="P217" s="13"/>
      <c r="Q217" s="6"/>
      <c r="R217" s="6"/>
      <c r="S217" s="6"/>
      <c r="T217" s="6"/>
    </row>
    <row r="218" spans="15:20" x14ac:dyDescent="0.3">
      <c r="O218" s="6"/>
      <c r="P218" s="13"/>
      <c r="Q218" s="6"/>
      <c r="R218" s="6"/>
      <c r="S218" s="6"/>
      <c r="T218" s="6"/>
    </row>
    <row r="219" spans="15:20" x14ac:dyDescent="0.3">
      <c r="O219" s="6"/>
      <c r="P219" s="13"/>
      <c r="Q219" s="6"/>
      <c r="R219" s="6"/>
      <c r="S219" s="6"/>
      <c r="T219" s="6"/>
    </row>
    <row r="220" spans="15:20" x14ac:dyDescent="0.3">
      <c r="O220" s="6"/>
      <c r="P220" s="13"/>
      <c r="Q220" s="6"/>
      <c r="R220" s="6"/>
      <c r="S220" s="6"/>
      <c r="T220" s="6"/>
    </row>
    <row r="221" spans="15:20" x14ac:dyDescent="0.3">
      <c r="O221" s="6"/>
      <c r="P221" s="13"/>
      <c r="Q221" s="6"/>
      <c r="R221" s="6"/>
      <c r="S221" s="6"/>
      <c r="T221" s="6"/>
    </row>
    <row r="222" spans="15:20" x14ac:dyDescent="0.3">
      <c r="O222" s="6"/>
      <c r="P222" s="13"/>
      <c r="Q222" s="6"/>
      <c r="R222" s="6"/>
      <c r="S222" s="6"/>
      <c r="T222" s="6"/>
    </row>
    <row r="223" spans="15:20" x14ac:dyDescent="0.3">
      <c r="O223" s="6"/>
      <c r="P223" s="13"/>
      <c r="Q223" s="6"/>
      <c r="R223" s="6"/>
      <c r="S223" s="6"/>
      <c r="T223" s="6"/>
    </row>
    <row r="224" spans="15:20" x14ac:dyDescent="0.3">
      <c r="O224" s="6"/>
      <c r="P224" s="13"/>
      <c r="Q224" s="6"/>
      <c r="R224" s="6"/>
      <c r="S224" s="6"/>
      <c r="T224" s="6"/>
    </row>
    <row r="225" spans="15:20" x14ac:dyDescent="0.3">
      <c r="O225" s="6"/>
      <c r="P225" s="13"/>
      <c r="Q225" s="6"/>
      <c r="R225" s="6"/>
      <c r="S225" s="6"/>
      <c r="T225" s="6"/>
    </row>
    <row r="226" spans="15:20" x14ac:dyDescent="0.3">
      <c r="O226" s="6"/>
      <c r="P226" s="13"/>
      <c r="Q226" s="6"/>
      <c r="R226" s="6"/>
      <c r="S226" s="6"/>
      <c r="T226" s="6"/>
    </row>
    <row r="227" spans="15:20" x14ac:dyDescent="0.3">
      <c r="O227" s="6"/>
      <c r="P227" s="13"/>
      <c r="Q227" s="6"/>
      <c r="R227" s="6"/>
      <c r="S227" s="6"/>
      <c r="T227" s="6"/>
    </row>
    <row r="228" spans="15:20" x14ac:dyDescent="0.3">
      <c r="O228" s="6"/>
      <c r="P228" s="13"/>
      <c r="Q228" s="6"/>
      <c r="R228" s="6"/>
      <c r="S228" s="6"/>
      <c r="T228" s="6"/>
    </row>
    <row r="229" spans="15:20" x14ac:dyDescent="0.3">
      <c r="O229" s="6"/>
      <c r="P229" s="13"/>
      <c r="Q229" s="6"/>
      <c r="R229" s="6"/>
      <c r="S229" s="6"/>
      <c r="T229" s="6"/>
    </row>
    <row r="230" spans="15:20" x14ac:dyDescent="0.3">
      <c r="O230" s="6"/>
      <c r="P230" s="13"/>
      <c r="Q230" s="6"/>
      <c r="R230" s="6"/>
      <c r="S230" s="6"/>
      <c r="T230" s="6"/>
    </row>
    <row r="231" spans="15:20" x14ac:dyDescent="0.3">
      <c r="O231" s="6"/>
      <c r="P231" s="13"/>
      <c r="Q231" s="6"/>
      <c r="R231" s="6"/>
      <c r="S231" s="6"/>
      <c r="T231" s="6"/>
    </row>
    <row r="232" spans="15:20" x14ac:dyDescent="0.3">
      <c r="O232" s="6"/>
      <c r="P232" s="13"/>
      <c r="Q232" s="6"/>
      <c r="R232" s="6"/>
      <c r="S232" s="6"/>
      <c r="T232" s="6"/>
    </row>
    <row r="233" spans="15:20" x14ac:dyDescent="0.3">
      <c r="O233" s="6"/>
      <c r="P233" s="13"/>
      <c r="Q233" s="6"/>
      <c r="R233" s="6"/>
      <c r="S233" s="6"/>
      <c r="T233" s="6"/>
    </row>
    <row r="234" spans="15:20" x14ac:dyDescent="0.3">
      <c r="O234" s="6"/>
      <c r="P234" s="13"/>
      <c r="Q234" s="6"/>
      <c r="R234" s="6"/>
      <c r="S234" s="6"/>
      <c r="T234" s="6"/>
    </row>
    <row r="235" spans="15:20" x14ac:dyDescent="0.3">
      <c r="O235" s="6"/>
      <c r="P235" s="13"/>
      <c r="Q235" s="6"/>
      <c r="R235" s="6"/>
      <c r="S235" s="6"/>
      <c r="T235" s="6"/>
    </row>
    <row r="236" spans="15:20" x14ac:dyDescent="0.3">
      <c r="O236" s="6"/>
      <c r="P236" s="13"/>
      <c r="Q236" s="6"/>
      <c r="R236" s="6"/>
      <c r="S236" s="6"/>
      <c r="T236" s="6"/>
    </row>
    <row r="237" spans="15:20" x14ac:dyDescent="0.3">
      <c r="O237" s="6"/>
      <c r="P237" s="13"/>
      <c r="Q237" s="6"/>
      <c r="R237" s="6"/>
      <c r="S237" s="6"/>
      <c r="T237" s="6"/>
    </row>
    <row r="238" spans="15:20" x14ac:dyDescent="0.3">
      <c r="O238" s="6"/>
      <c r="P238" s="13"/>
      <c r="Q238" s="6"/>
      <c r="R238" s="6"/>
      <c r="S238" s="6"/>
      <c r="T238" s="6"/>
    </row>
    <row r="239" spans="15:20" x14ac:dyDescent="0.3">
      <c r="O239" s="6"/>
      <c r="P239" s="13"/>
      <c r="Q239" s="6"/>
      <c r="R239" s="6"/>
      <c r="S239" s="6"/>
      <c r="T239" s="6"/>
    </row>
    <row r="240" spans="15:20" x14ac:dyDescent="0.3">
      <c r="O240" s="6"/>
      <c r="P240" s="13"/>
      <c r="Q240" s="6"/>
      <c r="R240" s="6"/>
      <c r="S240" s="6"/>
      <c r="T240" s="6"/>
    </row>
    <row r="241" spans="15:20" x14ac:dyDescent="0.3">
      <c r="O241" s="6"/>
      <c r="P241" s="13"/>
      <c r="Q241" s="6"/>
      <c r="R241" s="6"/>
      <c r="S241" s="6"/>
      <c r="T241" s="6"/>
    </row>
    <row r="242" spans="15:20" x14ac:dyDescent="0.3">
      <c r="O242" s="6"/>
      <c r="P242" s="13"/>
      <c r="Q242" s="6"/>
      <c r="R242" s="6"/>
      <c r="S242" s="6"/>
      <c r="T242" s="6"/>
    </row>
    <row r="243" spans="15:20" x14ac:dyDescent="0.3">
      <c r="O243" s="6"/>
      <c r="P243" s="13"/>
      <c r="Q243" s="6"/>
      <c r="R243" s="6"/>
      <c r="S243" s="6"/>
      <c r="T243" s="6"/>
    </row>
    <row r="244" spans="15:20" x14ac:dyDescent="0.3">
      <c r="O244" s="6"/>
      <c r="P244" s="13"/>
      <c r="Q244" s="6"/>
      <c r="R244" s="6"/>
      <c r="S244" s="6"/>
      <c r="T244" s="6"/>
    </row>
    <row r="245" spans="15:20" x14ac:dyDescent="0.3">
      <c r="O245" s="6"/>
      <c r="P245" s="13"/>
      <c r="Q245" s="6"/>
      <c r="R245" s="6"/>
      <c r="S245" s="6"/>
      <c r="T245" s="6"/>
    </row>
    <row r="246" spans="15:20" x14ac:dyDescent="0.3">
      <c r="O246" s="6"/>
      <c r="P246" s="13"/>
      <c r="Q246" s="6"/>
      <c r="R246" s="6"/>
      <c r="S246" s="6"/>
      <c r="T246" s="6"/>
    </row>
    <row r="247" spans="15:20" x14ac:dyDescent="0.3">
      <c r="O247" s="6"/>
      <c r="P247" s="13"/>
      <c r="Q247" s="6"/>
      <c r="R247" s="6"/>
      <c r="S247" s="6"/>
      <c r="T247" s="6"/>
    </row>
    <row r="248" spans="15:20" x14ac:dyDescent="0.3">
      <c r="O248" s="6"/>
      <c r="P248" s="13"/>
      <c r="Q248" s="6"/>
      <c r="R248" s="6"/>
      <c r="S248" s="6"/>
      <c r="T248" s="6"/>
    </row>
    <row r="249" spans="15:20" x14ac:dyDescent="0.3">
      <c r="O249" s="6"/>
      <c r="P249" s="13"/>
      <c r="Q249" s="6"/>
      <c r="R249" s="6"/>
      <c r="S249" s="6"/>
      <c r="T249" s="6"/>
    </row>
    <row r="250" spans="15:20" x14ac:dyDescent="0.3">
      <c r="O250" s="6"/>
      <c r="P250" s="13"/>
      <c r="Q250" s="6"/>
      <c r="R250" s="6"/>
      <c r="S250" s="6"/>
      <c r="T250" s="6"/>
    </row>
    <row r="251" spans="15:20" x14ac:dyDescent="0.3">
      <c r="O251" s="6"/>
      <c r="P251" s="13"/>
      <c r="Q251" s="6"/>
      <c r="R251" s="6"/>
      <c r="S251" s="6"/>
      <c r="T251" s="6"/>
    </row>
    <row r="252" spans="15:20" x14ac:dyDescent="0.3">
      <c r="O252" s="6"/>
      <c r="P252" s="13"/>
      <c r="Q252" s="6"/>
      <c r="R252" s="6"/>
      <c r="S252" s="6"/>
      <c r="T252" s="6"/>
    </row>
    <row r="253" spans="15:20" x14ac:dyDescent="0.3">
      <c r="O253" s="6"/>
      <c r="P253" s="13"/>
      <c r="Q253" s="6"/>
      <c r="R253" s="6"/>
      <c r="S253" s="6"/>
      <c r="T253" s="6"/>
    </row>
    <row r="254" spans="15:20" x14ac:dyDescent="0.3">
      <c r="O254" s="6"/>
      <c r="P254" s="13"/>
      <c r="Q254" s="6"/>
      <c r="R254" s="6"/>
      <c r="S254" s="6"/>
      <c r="T254" s="6"/>
    </row>
    <row r="255" spans="15:20" x14ac:dyDescent="0.3">
      <c r="O255" s="6"/>
      <c r="P255" s="13"/>
      <c r="Q255" s="6"/>
      <c r="R255" s="6"/>
      <c r="S255" s="6"/>
      <c r="T255" s="6"/>
    </row>
    <row r="256" spans="15:20" x14ac:dyDescent="0.3">
      <c r="O256" s="6"/>
      <c r="P256" s="13"/>
      <c r="Q256" s="6"/>
      <c r="R256" s="6"/>
      <c r="S256" s="6"/>
      <c r="T256" s="6"/>
    </row>
    <row r="257" spans="15:20" x14ac:dyDescent="0.3">
      <c r="O257" s="6"/>
      <c r="P257" s="13"/>
      <c r="Q257" s="6"/>
      <c r="R257" s="6"/>
      <c r="S257" s="6"/>
      <c r="T257" s="6"/>
    </row>
    <row r="258" spans="15:20" x14ac:dyDescent="0.3">
      <c r="O258" s="6"/>
      <c r="P258" s="13"/>
      <c r="Q258" s="6"/>
      <c r="R258" s="6"/>
      <c r="S258" s="6"/>
      <c r="T258" s="6"/>
    </row>
    <row r="259" spans="15:20" x14ac:dyDescent="0.3">
      <c r="O259" s="6"/>
      <c r="P259" s="13"/>
      <c r="Q259" s="6"/>
      <c r="R259" s="6"/>
      <c r="S259" s="6"/>
      <c r="T259" s="6"/>
    </row>
    <row r="260" spans="15:20" x14ac:dyDescent="0.3">
      <c r="O260" s="6"/>
      <c r="P260" s="13"/>
      <c r="Q260" s="6"/>
      <c r="R260" s="6"/>
      <c r="S260" s="6"/>
      <c r="T260" s="6"/>
    </row>
    <row r="261" spans="15:20" x14ac:dyDescent="0.3">
      <c r="O261" s="6"/>
      <c r="P261" s="13"/>
      <c r="Q261" s="6"/>
      <c r="R261" s="6"/>
      <c r="S261" s="6"/>
      <c r="T261" s="6"/>
    </row>
    <row r="262" spans="15:20" x14ac:dyDescent="0.3">
      <c r="O262" s="6"/>
      <c r="P262" s="13"/>
      <c r="Q262" s="6"/>
      <c r="R262" s="6"/>
      <c r="S262" s="6"/>
      <c r="T262" s="6"/>
    </row>
    <row r="263" spans="15:20" x14ac:dyDescent="0.3">
      <c r="O263" s="6"/>
      <c r="P263" s="13"/>
      <c r="Q263" s="6"/>
      <c r="R263" s="6"/>
      <c r="S263" s="6"/>
      <c r="T263" s="6"/>
    </row>
    <row r="264" spans="15:20" x14ac:dyDescent="0.3">
      <c r="O264" s="6"/>
      <c r="P264" s="13"/>
      <c r="Q264" s="6"/>
      <c r="R264" s="6"/>
      <c r="S264" s="6"/>
      <c r="T264" s="6"/>
    </row>
    <row r="265" spans="15:20" x14ac:dyDescent="0.3">
      <c r="O265" s="6"/>
      <c r="P265" s="13"/>
      <c r="Q265" s="6"/>
      <c r="R265" s="6"/>
      <c r="S265" s="6"/>
      <c r="T265" s="6"/>
    </row>
    <row r="266" spans="15:20" x14ac:dyDescent="0.3">
      <c r="O266" s="6"/>
      <c r="P266" s="13"/>
      <c r="Q266" s="6"/>
      <c r="R266" s="6"/>
      <c r="S266" s="6"/>
      <c r="T266" s="6"/>
    </row>
    <row r="267" spans="15:20" x14ac:dyDescent="0.3">
      <c r="O267" s="6"/>
      <c r="P267" s="13"/>
      <c r="Q267" s="6"/>
      <c r="R267" s="6"/>
      <c r="S267" s="6"/>
      <c r="T267" s="6"/>
    </row>
    <row r="268" spans="15:20" x14ac:dyDescent="0.3">
      <c r="O268" s="6"/>
      <c r="P268" s="13"/>
      <c r="Q268" s="6"/>
      <c r="R268" s="6"/>
      <c r="S268" s="6"/>
      <c r="T268" s="6"/>
    </row>
    <row r="269" spans="15:20" x14ac:dyDescent="0.3">
      <c r="O269" s="6"/>
      <c r="P269" s="13"/>
      <c r="Q269" s="6"/>
      <c r="R269" s="6"/>
      <c r="S269" s="6"/>
      <c r="T269" s="6"/>
    </row>
    <row r="270" spans="15:20" x14ac:dyDescent="0.3">
      <c r="O270" s="6"/>
      <c r="P270" s="13"/>
      <c r="Q270" s="6"/>
      <c r="R270" s="6"/>
      <c r="S270" s="6"/>
      <c r="T270" s="6"/>
    </row>
    <row r="271" spans="15:20" x14ac:dyDescent="0.3">
      <c r="O271" s="6"/>
      <c r="P271" s="13"/>
      <c r="Q271" s="6"/>
      <c r="R271" s="6"/>
      <c r="S271" s="6"/>
      <c r="T271" s="6"/>
    </row>
    <row r="272" spans="15:20" x14ac:dyDescent="0.3">
      <c r="O272" s="6"/>
      <c r="P272" s="13"/>
      <c r="Q272" s="6"/>
      <c r="R272" s="6"/>
      <c r="S272" s="6"/>
      <c r="T272" s="6"/>
    </row>
    <row r="273" spans="15:20" x14ac:dyDescent="0.3">
      <c r="O273" s="6"/>
      <c r="P273" s="13"/>
      <c r="Q273" s="6"/>
      <c r="R273" s="6"/>
      <c r="S273" s="6"/>
      <c r="T273" s="6"/>
    </row>
    <row r="274" spans="15:20" x14ac:dyDescent="0.3">
      <c r="O274" s="6"/>
      <c r="P274" s="13"/>
      <c r="Q274" s="6"/>
      <c r="R274" s="6"/>
      <c r="S274" s="6"/>
      <c r="T274" s="6"/>
    </row>
    <row r="275" spans="15:20" x14ac:dyDescent="0.3">
      <c r="O275" s="6"/>
      <c r="P275" s="13"/>
      <c r="Q275" s="6"/>
      <c r="R275" s="6"/>
      <c r="S275" s="6"/>
      <c r="T275" s="6"/>
    </row>
    <row r="276" spans="15:20" x14ac:dyDescent="0.3">
      <c r="O276" s="6"/>
      <c r="P276" s="13"/>
      <c r="Q276" s="6"/>
      <c r="R276" s="6"/>
      <c r="S276" s="6"/>
      <c r="T276" s="6"/>
    </row>
    <row r="277" spans="15:20" x14ac:dyDescent="0.3">
      <c r="O277" s="6"/>
      <c r="P277" s="13"/>
      <c r="Q277" s="6"/>
      <c r="R277" s="6"/>
      <c r="S277" s="6"/>
      <c r="T277" s="6"/>
    </row>
    <row r="278" spans="15:20" x14ac:dyDescent="0.3">
      <c r="O278" s="6"/>
      <c r="P278" s="13"/>
      <c r="Q278" s="6"/>
      <c r="R278" s="6"/>
      <c r="S278" s="6"/>
      <c r="T278" s="6"/>
    </row>
    <row r="279" spans="15:20" x14ac:dyDescent="0.3">
      <c r="O279" s="6"/>
      <c r="P279" s="13"/>
      <c r="Q279" s="6"/>
      <c r="R279" s="6"/>
      <c r="S279" s="6"/>
      <c r="T279" s="6"/>
    </row>
    <row r="280" spans="15:20" x14ac:dyDescent="0.3">
      <c r="O280" s="6"/>
      <c r="P280" s="13"/>
      <c r="Q280" s="6"/>
      <c r="R280" s="6"/>
      <c r="S280" s="6"/>
      <c r="T280" s="6"/>
    </row>
    <row r="281" spans="15:20" x14ac:dyDescent="0.3">
      <c r="O281" s="6"/>
      <c r="P281" s="13"/>
      <c r="Q281" s="6"/>
      <c r="R281" s="6"/>
      <c r="S281" s="6"/>
      <c r="T281" s="6"/>
    </row>
    <row r="282" spans="15:20" x14ac:dyDescent="0.3">
      <c r="O282" s="6"/>
      <c r="P282" s="13"/>
      <c r="Q282" s="6"/>
      <c r="R282" s="6"/>
      <c r="S282" s="6"/>
      <c r="T282" s="6"/>
    </row>
    <row r="283" spans="15:20" x14ac:dyDescent="0.3">
      <c r="O283" s="6"/>
      <c r="P283" s="13"/>
      <c r="Q283" s="6"/>
      <c r="R283" s="6"/>
      <c r="S283" s="6"/>
      <c r="T283" s="6"/>
    </row>
    <row r="284" spans="15:20" x14ac:dyDescent="0.3">
      <c r="O284" s="6"/>
      <c r="P284" s="13"/>
      <c r="Q284" s="6"/>
      <c r="R284" s="6"/>
      <c r="S284" s="6"/>
      <c r="T284" s="6"/>
    </row>
    <row r="285" spans="15:20" x14ac:dyDescent="0.3">
      <c r="O285" s="6"/>
      <c r="P285" s="13"/>
      <c r="Q285" s="6"/>
      <c r="R285" s="6"/>
      <c r="S285" s="6"/>
      <c r="T285" s="6"/>
    </row>
    <row r="286" spans="15:20" x14ac:dyDescent="0.3">
      <c r="O286" s="6"/>
      <c r="P286" s="13"/>
      <c r="Q286" s="6"/>
      <c r="R286" s="6"/>
      <c r="S286" s="6"/>
      <c r="T286" s="6"/>
    </row>
    <row r="287" spans="15:20" x14ac:dyDescent="0.3">
      <c r="O287" s="6"/>
      <c r="P287" s="13"/>
      <c r="Q287" s="6"/>
      <c r="R287" s="6"/>
      <c r="S287" s="6"/>
      <c r="T287" s="6"/>
    </row>
    <row r="288" spans="15:20" x14ac:dyDescent="0.3">
      <c r="O288" s="6"/>
      <c r="P288" s="13"/>
      <c r="Q288" s="6"/>
      <c r="R288" s="6"/>
      <c r="S288" s="6"/>
      <c r="T288" s="6"/>
    </row>
    <row r="289" spans="15:20" x14ac:dyDescent="0.3">
      <c r="O289" s="6"/>
      <c r="P289" s="13"/>
      <c r="Q289" s="6"/>
      <c r="R289" s="6"/>
      <c r="S289" s="6"/>
      <c r="T289" s="6"/>
    </row>
    <row r="290" spans="15:20" x14ac:dyDescent="0.3">
      <c r="O290" s="6"/>
      <c r="P290" s="13"/>
      <c r="Q290" s="6"/>
      <c r="R290" s="6"/>
      <c r="S290" s="6"/>
      <c r="T290" s="6"/>
    </row>
    <row r="291" spans="15:20" x14ac:dyDescent="0.3">
      <c r="O291" s="6"/>
      <c r="P291" s="13"/>
      <c r="Q291" s="6"/>
      <c r="R291" s="6"/>
      <c r="S291" s="6"/>
      <c r="T291" s="6"/>
    </row>
    <row r="292" spans="15:20" x14ac:dyDescent="0.3">
      <c r="O292" s="6"/>
      <c r="P292" s="13"/>
      <c r="Q292" s="6"/>
      <c r="R292" s="6"/>
      <c r="S292" s="6"/>
      <c r="T292" s="6"/>
    </row>
    <row r="293" spans="15:20" x14ac:dyDescent="0.3">
      <c r="O293" s="6"/>
      <c r="P293" s="13"/>
      <c r="Q293" s="6"/>
      <c r="R293" s="6"/>
      <c r="S293" s="6"/>
      <c r="T293" s="6"/>
    </row>
    <row r="294" spans="15:20" x14ac:dyDescent="0.3">
      <c r="O294" s="6"/>
      <c r="P294" s="13"/>
      <c r="Q294" s="6"/>
      <c r="R294" s="6"/>
      <c r="S294" s="6"/>
      <c r="T294" s="6"/>
    </row>
    <row r="295" spans="15:20" x14ac:dyDescent="0.3">
      <c r="O295" s="6"/>
      <c r="P295" s="13"/>
      <c r="Q295" s="6"/>
      <c r="R295" s="6"/>
      <c r="S295" s="6"/>
      <c r="T295" s="6"/>
    </row>
    <row r="296" spans="15:20" x14ac:dyDescent="0.3">
      <c r="O296" s="6"/>
      <c r="P296" s="13"/>
      <c r="Q296" s="6"/>
      <c r="R296" s="6"/>
      <c r="S296" s="6"/>
      <c r="T296" s="6"/>
    </row>
    <row r="297" spans="15:20" x14ac:dyDescent="0.3">
      <c r="O297" s="6"/>
      <c r="P297" s="13"/>
      <c r="Q297" s="6"/>
      <c r="R297" s="6"/>
      <c r="S297" s="6"/>
      <c r="T297" s="6"/>
    </row>
    <row r="298" spans="15:20" x14ac:dyDescent="0.3">
      <c r="O298" s="6"/>
      <c r="P298" s="13"/>
      <c r="Q298" s="6"/>
      <c r="R298" s="6"/>
      <c r="S298" s="6"/>
      <c r="T298" s="6"/>
    </row>
    <row r="299" spans="15:20" x14ac:dyDescent="0.3">
      <c r="O299" s="6"/>
      <c r="P299" s="13"/>
      <c r="Q299" s="6"/>
      <c r="R299" s="6"/>
      <c r="S299" s="6"/>
      <c r="T299" s="6"/>
    </row>
    <row r="300" spans="15:20" x14ac:dyDescent="0.3">
      <c r="O300" s="6"/>
      <c r="P300" s="13"/>
      <c r="Q300" s="6"/>
      <c r="R300" s="6"/>
      <c r="S300" s="6"/>
      <c r="T300" s="6"/>
    </row>
    <row r="301" spans="15:20" x14ac:dyDescent="0.3">
      <c r="O301" s="6"/>
      <c r="P301" s="13"/>
      <c r="Q301" s="6"/>
      <c r="R301" s="6"/>
      <c r="S301" s="6"/>
      <c r="T301" s="6"/>
    </row>
    <row r="302" spans="15:20" x14ac:dyDescent="0.3">
      <c r="O302" s="6"/>
      <c r="P302" s="13"/>
      <c r="Q302" s="6"/>
      <c r="R302" s="6"/>
      <c r="S302" s="6"/>
      <c r="T302" s="6"/>
    </row>
    <row r="303" spans="15:20" x14ac:dyDescent="0.3">
      <c r="O303" s="6"/>
      <c r="P303" s="13"/>
      <c r="Q303" s="6"/>
      <c r="R303" s="6"/>
      <c r="S303" s="6"/>
      <c r="T303" s="6"/>
    </row>
    <row r="304" spans="15:20" x14ac:dyDescent="0.3">
      <c r="O304" s="6"/>
      <c r="P304" s="13"/>
      <c r="Q304" s="6"/>
      <c r="R304" s="6"/>
      <c r="S304" s="6"/>
      <c r="T304" s="6"/>
    </row>
    <row r="305" spans="15:20" x14ac:dyDescent="0.3">
      <c r="O305" s="6"/>
      <c r="P305" s="13"/>
      <c r="Q305" s="6"/>
      <c r="R305" s="6"/>
      <c r="S305" s="6"/>
      <c r="T305" s="6"/>
    </row>
    <row r="306" spans="15:20" x14ac:dyDescent="0.3">
      <c r="O306" s="6"/>
      <c r="P306" s="13"/>
      <c r="Q306" s="6"/>
      <c r="R306" s="6"/>
      <c r="S306" s="6"/>
      <c r="T306" s="6"/>
    </row>
    <row r="307" spans="15:20" x14ac:dyDescent="0.3">
      <c r="O307" s="6"/>
      <c r="P307" s="13"/>
      <c r="Q307" s="6"/>
      <c r="R307" s="6"/>
      <c r="S307" s="6"/>
      <c r="T307" s="6"/>
    </row>
    <row r="308" spans="15:20" x14ac:dyDescent="0.3">
      <c r="O308" s="6"/>
      <c r="P308" s="13"/>
      <c r="Q308" s="6"/>
      <c r="R308" s="6"/>
      <c r="S308" s="6"/>
      <c r="T308" s="6"/>
    </row>
    <row r="309" spans="15:20" x14ac:dyDescent="0.3">
      <c r="O309" s="6"/>
      <c r="P309" s="13"/>
      <c r="Q309" s="6"/>
      <c r="R309" s="6"/>
      <c r="S309" s="6"/>
      <c r="T309" s="6"/>
    </row>
    <row r="310" spans="15:20" x14ac:dyDescent="0.3">
      <c r="O310" s="6"/>
      <c r="P310" s="13"/>
      <c r="Q310" s="6"/>
      <c r="R310" s="6"/>
      <c r="S310" s="6"/>
      <c r="T310" s="6"/>
    </row>
    <row r="311" spans="15:20" x14ac:dyDescent="0.3">
      <c r="O311" s="6"/>
      <c r="P311" s="13"/>
      <c r="Q311" s="6"/>
      <c r="R311" s="6"/>
      <c r="S311" s="6"/>
      <c r="T311" s="6"/>
    </row>
    <row r="312" spans="15:20" x14ac:dyDescent="0.3">
      <c r="O312" s="6"/>
      <c r="P312" s="13"/>
      <c r="Q312" s="6"/>
      <c r="R312" s="6"/>
      <c r="S312" s="6"/>
      <c r="T312" s="6"/>
    </row>
    <row r="313" spans="15:20" x14ac:dyDescent="0.3">
      <c r="O313" s="6"/>
      <c r="P313" s="13"/>
      <c r="Q313" s="6"/>
      <c r="R313" s="6"/>
      <c r="S313" s="6"/>
      <c r="T313" s="6"/>
    </row>
    <row r="314" spans="15:20" x14ac:dyDescent="0.3">
      <c r="O314" s="6"/>
      <c r="P314" s="13"/>
      <c r="Q314" s="6"/>
      <c r="R314" s="6"/>
      <c r="S314" s="6"/>
      <c r="T314" s="6"/>
    </row>
    <row r="315" spans="15:20" x14ac:dyDescent="0.3">
      <c r="O315" s="6"/>
      <c r="P315" s="13"/>
      <c r="Q315" s="6"/>
      <c r="R315" s="6"/>
      <c r="S315" s="6"/>
      <c r="T315" s="6"/>
    </row>
    <row r="316" spans="15:20" x14ac:dyDescent="0.3">
      <c r="O316" s="6"/>
      <c r="P316" s="13"/>
      <c r="Q316" s="6"/>
      <c r="R316" s="6"/>
      <c r="S316" s="6"/>
      <c r="T316" s="6"/>
    </row>
    <row r="317" spans="15:20" x14ac:dyDescent="0.3">
      <c r="O317" s="6"/>
      <c r="P317" s="13"/>
      <c r="Q317" s="6"/>
      <c r="R317" s="6"/>
      <c r="S317" s="6"/>
      <c r="T317" s="6"/>
    </row>
    <row r="318" spans="15:20" x14ac:dyDescent="0.3">
      <c r="O318" s="6"/>
      <c r="P318" s="13"/>
      <c r="Q318" s="6"/>
      <c r="R318" s="6"/>
      <c r="S318" s="6"/>
      <c r="T318" s="6"/>
    </row>
    <row r="319" spans="15:20" x14ac:dyDescent="0.3">
      <c r="O319" s="6"/>
      <c r="P319" s="13"/>
      <c r="Q319" s="6"/>
      <c r="R319" s="6"/>
      <c r="S319" s="6"/>
      <c r="T319" s="6"/>
    </row>
    <row r="320" spans="15:20" x14ac:dyDescent="0.3">
      <c r="O320" s="6"/>
      <c r="P320" s="13"/>
      <c r="Q320" s="6"/>
      <c r="R320" s="6"/>
      <c r="S320" s="6"/>
      <c r="T320" s="6"/>
    </row>
    <row r="321" spans="15:20" x14ac:dyDescent="0.3">
      <c r="O321" s="6"/>
      <c r="P321" s="13"/>
      <c r="Q321" s="6"/>
      <c r="R321" s="6"/>
      <c r="S321" s="6"/>
      <c r="T321" s="6"/>
    </row>
    <row r="322" spans="15:20" x14ac:dyDescent="0.3">
      <c r="O322" s="6"/>
      <c r="P322" s="13"/>
      <c r="Q322" s="6"/>
      <c r="R322" s="6"/>
      <c r="S322" s="6"/>
      <c r="T322" s="6"/>
    </row>
    <row r="323" spans="15:20" x14ac:dyDescent="0.3">
      <c r="O323" s="6"/>
      <c r="P323" s="13"/>
      <c r="Q323" s="6"/>
      <c r="R323" s="6"/>
      <c r="S323" s="6"/>
      <c r="T323" s="6"/>
    </row>
    <row r="324" spans="15:20" x14ac:dyDescent="0.3">
      <c r="O324" s="6"/>
      <c r="P324" s="13"/>
      <c r="Q324" s="6"/>
      <c r="R324" s="6"/>
      <c r="S324" s="6"/>
      <c r="T324" s="6"/>
    </row>
    <row r="325" spans="15:20" x14ac:dyDescent="0.3">
      <c r="O325" s="6"/>
      <c r="P325" s="13"/>
      <c r="Q325" s="6"/>
      <c r="R325" s="6"/>
      <c r="S325" s="6"/>
      <c r="T325" s="6"/>
    </row>
    <row r="326" spans="15:20" x14ac:dyDescent="0.3">
      <c r="O326" s="6"/>
      <c r="P326" s="13"/>
      <c r="Q326" s="6"/>
      <c r="R326" s="6"/>
      <c r="S326" s="6"/>
      <c r="T326" s="6"/>
    </row>
    <row r="327" spans="15:20" x14ac:dyDescent="0.3">
      <c r="O327" s="6"/>
      <c r="P327" s="13"/>
      <c r="Q327" s="6"/>
      <c r="R327" s="6"/>
      <c r="S327" s="6"/>
      <c r="T327" s="6"/>
    </row>
    <row r="328" spans="15:20" x14ac:dyDescent="0.3">
      <c r="O328" s="6"/>
      <c r="P328" s="13"/>
      <c r="Q328" s="6"/>
      <c r="R328" s="6"/>
      <c r="S328" s="6"/>
      <c r="T328" s="6"/>
    </row>
    <row r="329" spans="15:20" x14ac:dyDescent="0.3">
      <c r="O329" s="6"/>
      <c r="P329" s="13"/>
      <c r="Q329" s="6"/>
      <c r="R329" s="6"/>
      <c r="S329" s="6"/>
      <c r="T329" s="6"/>
    </row>
    <row r="330" spans="15:20" x14ac:dyDescent="0.3">
      <c r="O330" s="6"/>
      <c r="P330" s="13"/>
      <c r="Q330" s="6"/>
      <c r="R330" s="6"/>
      <c r="S330" s="6"/>
      <c r="T330" s="6"/>
    </row>
    <row r="331" spans="15:20" x14ac:dyDescent="0.3">
      <c r="O331" s="6"/>
      <c r="P331" s="13"/>
      <c r="Q331" s="6"/>
      <c r="R331" s="6"/>
      <c r="S331" s="6"/>
      <c r="T331" s="6"/>
    </row>
    <row r="332" spans="15:20" x14ac:dyDescent="0.3">
      <c r="O332" s="6"/>
      <c r="P332" s="13"/>
      <c r="Q332" s="6"/>
      <c r="R332" s="6"/>
      <c r="S332" s="6"/>
      <c r="T332" s="6"/>
    </row>
    <row r="333" spans="15:20" x14ac:dyDescent="0.3">
      <c r="O333" s="6"/>
      <c r="P333" s="13"/>
      <c r="Q333" s="6"/>
      <c r="R333" s="6"/>
      <c r="S333" s="6"/>
      <c r="T333" s="6"/>
    </row>
    <row r="334" spans="15:20" x14ac:dyDescent="0.3">
      <c r="O334" s="6"/>
      <c r="P334" s="13"/>
      <c r="Q334" s="6"/>
      <c r="R334" s="6"/>
      <c r="S334" s="6"/>
      <c r="T334" s="6"/>
    </row>
    <row r="335" spans="15:20" x14ac:dyDescent="0.3">
      <c r="O335" s="6"/>
      <c r="P335" s="13"/>
      <c r="Q335" s="6"/>
      <c r="R335" s="6"/>
      <c r="S335" s="6"/>
      <c r="T335" s="6"/>
    </row>
    <row r="336" spans="15:20" x14ac:dyDescent="0.3">
      <c r="O336" s="6"/>
      <c r="P336" s="13"/>
      <c r="Q336" s="6"/>
      <c r="R336" s="6"/>
      <c r="S336" s="6"/>
      <c r="T336" s="6"/>
    </row>
    <row r="337" spans="15:20" x14ac:dyDescent="0.3">
      <c r="O337" s="6"/>
      <c r="P337" s="13"/>
      <c r="Q337" s="6"/>
      <c r="R337" s="6"/>
      <c r="S337" s="6"/>
      <c r="T337" s="6"/>
    </row>
    <row r="338" spans="15:20" x14ac:dyDescent="0.3">
      <c r="O338" s="6"/>
      <c r="P338" s="13"/>
      <c r="Q338" s="6"/>
      <c r="R338" s="6"/>
      <c r="S338" s="6"/>
      <c r="T338" s="6"/>
    </row>
    <row r="339" spans="15:20" x14ac:dyDescent="0.3">
      <c r="O339" s="6"/>
      <c r="P339" s="13"/>
      <c r="Q339" s="6"/>
      <c r="R339" s="6"/>
      <c r="S339" s="6"/>
      <c r="T339" s="6"/>
    </row>
    <row r="340" spans="15:20" x14ac:dyDescent="0.3">
      <c r="O340" s="6"/>
      <c r="P340" s="13"/>
      <c r="Q340" s="6"/>
      <c r="R340" s="6"/>
      <c r="S340" s="6"/>
      <c r="T340" s="6"/>
    </row>
    <row r="341" spans="15:20" x14ac:dyDescent="0.3">
      <c r="O341" s="6"/>
      <c r="P341" s="13"/>
      <c r="Q341" s="6"/>
      <c r="R341" s="6"/>
      <c r="S341" s="6"/>
      <c r="T341" s="6"/>
    </row>
    <row r="342" spans="15:20" x14ac:dyDescent="0.3">
      <c r="O342" s="6"/>
      <c r="P342" s="13"/>
      <c r="Q342" s="6"/>
      <c r="R342" s="6"/>
      <c r="S342" s="6"/>
      <c r="T342" s="6"/>
    </row>
    <row r="343" spans="15:20" x14ac:dyDescent="0.3">
      <c r="O343" s="6"/>
      <c r="P343" s="13"/>
      <c r="Q343" s="6"/>
      <c r="R343" s="6"/>
      <c r="S343" s="6"/>
      <c r="T343" s="6"/>
    </row>
    <row r="344" spans="15:20" x14ac:dyDescent="0.3">
      <c r="O344" s="6"/>
      <c r="P344" s="13"/>
      <c r="Q344" s="6"/>
      <c r="R344" s="6"/>
      <c r="S344" s="6"/>
      <c r="T344" s="6"/>
    </row>
    <row r="345" spans="15:20" x14ac:dyDescent="0.3">
      <c r="O345" s="6"/>
      <c r="P345" s="13"/>
      <c r="Q345" s="6"/>
      <c r="R345" s="6"/>
      <c r="S345" s="6"/>
      <c r="T345" s="6"/>
    </row>
    <row r="346" spans="15:20" x14ac:dyDescent="0.3">
      <c r="O346" s="6"/>
      <c r="P346" s="13"/>
      <c r="Q346" s="6"/>
      <c r="R346" s="6"/>
      <c r="S346" s="6"/>
      <c r="T346" s="6"/>
    </row>
    <row r="347" spans="15:20" x14ac:dyDescent="0.3">
      <c r="O347" s="6"/>
      <c r="P347" s="13"/>
      <c r="Q347" s="6"/>
      <c r="R347" s="6"/>
      <c r="S347" s="6"/>
      <c r="T347" s="6"/>
    </row>
    <row r="348" spans="15:20" x14ac:dyDescent="0.3">
      <c r="O348" s="6"/>
      <c r="P348" s="13"/>
      <c r="Q348" s="6"/>
      <c r="R348" s="6"/>
      <c r="S348" s="6"/>
      <c r="T348" s="6"/>
    </row>
    <row r="349" spans="15:20" x14ac:dyDescent="0.3">
      <c r="O349" s="6"/>
      <c r="P349" s="13"/>
      <c r="Q349" s="6"/>
      <c r="R349" s="6"/>
      <c r="S349" s="6"/>
      <c r="T349" s="6"/>
    </row>
    <row r="350" spans="15:20" x14ac:dyDescent="0.3">
      <c r="O350" s="6"/>
      <c r="P350" s="13"/>
      <c r="Q350" s="6"/>
      <c r="R350" s="6"/>
      <c r="S350" s="6"/>
      <c r="T350" s="6"/>
    </row>
    <row r="351" spans="15:20" x14ac:dyDescent="0.3">
      <c r="O351" s="6"/>
      <c r="P351" s="13"/>
      <c r="Q351" s="6"/>
      <c r="R351" s="6"/>
      <c r="S351" s="6"/>
      <c r="T351" s="6"/>
    </row>
    <row r="352" spans="15:20" x14ac:dyDescent="0.3">
      <c r="O352" s="6"/>
      <c r="P352" s="13"/>
      <c r="Q352" s="6"/>
      <c r="R352" s="6"/>
      <c r="S352" s="6"/>
      <c r="T352" s="6"/>
    </row>
    <row r="353" spans="15:20" x14ac:dyDescent="0.3">
      <c r="O353" s="6"/>
      <c r="P353" s="13"/>
      <c r="Q353" s="6"/>
      <c r="R353" s="6"/>
      <c r="S353" s="6"/>
      <c r="T353" s="6"/>
    </row>
    <row r="354" spans="15:20" x14ac:dyDescent="0.3">
      <c r="O354" s="6"/>
      <c r="P354" s="13"/>
      <c r="Q354" s="6"/>
      <c r="R354" s="6"/>
      <c r="S354" s="6"/>
      <c r="T354" s="6"/>
    </row>
    <row r="355" spans="15:20" x14ac:dyDescent="0.3">
      <c r="O355" s="6"/>
      <c r="P355" s="13"/>
      <c r="Q355" s="6"/>
      <c r="R355" s="6"/>
      <c r="S355" s="6"/>
      <c r="T355" s="6"/>
    </row>
    <row r="356" spans="15:20" x14ac:dyDescent="0.3">
      <c r="O356" s="6"/>
      <c r="P356" s="13"/>
      <c r="Q356" s="6"/>
      <c r="R356" s="6"/>
      <c r="S356" s="6"/>
      <c r="T356" s="6"/>
    </row>
    <row r="357" spans="15:20" x14ac:dyDescent="0.3">
      <c r="O357" s="6"/>
      <c r="P357" s="13"/>
      <c r="Q357" s="6"/>
      <c r="R357" s="6"/>
      <c r="S357" s="6"/>
      <c r="T357" s="6"/>
    </row>
    <row r="358" spans="15:20" x14ac:dyDescent="0.3">
      <c r="O358" s="6"/>
      <c r="P358" s="13"/>
      <c r="Q358" s="6"/>
      <c r="R358" s="6"/>
      <c r="S358" s="6"/>
      <c r="T358" s="6"/>
    </row>
    <row r="359" spans="15:20" x14ac:dyDescent="0.3">
      <c r="O359" s="6"/>
      <c r="P359" s="13"/>
      <c r="Q359" s="6"/>
      <c r="R359" s="6"/>
      <c r="S359" s="6"/>
      <c r="T359" s="6"/>
    </row>
    <row r="360" spans="15:20" x14ac:dyDescent="0.3">
      <c r="O360" s="6"/>
      <c r="P360" s="13"/>
      <c r="Q360" s="6"/>
      <c r="R360" s="6"/>
      <c r="S360" s="6"/>
      <c r="T360" s="6"/>
    </row>
    <row r="361" spans="15:20" x14ac:dyDescent="0.3">
      <c r="O361" s="6"/>
      <c r="P361" s="13"/>
      <c r="Q361" s="6"/>
      <c r="R361" s="6"/>
      <c r="S361" s="6"/>
      <c r="T361" s="6"/>
    </row>
    <row r="362" spans="15:20" x14ac:dyDescent="0.3">
      <c r="O362" s="6"/>
      <c r="P362" s="13"/>
      <c r="Q362" s="6"/>
      <c r="R362" s="6"/>
      <c r="S362" s="6"/>
      <c r="T362" s="6"/>
    </row>
    <row r="363" spans="15:20" x14ac:dyDescent="0.3">
      <c r="O363" s="6"/>
      <c r="P363" s="13"/>
      <c r="Q363" s="6"/>
      <c r="R363" s="6"/>
      <c r="S363" s="6"/>
      <c r="T363" s="6"/>
    </row>
    <row r="364" spans="15:20" x14ac:dyDescent="0.3">
      <c r="O364" s="6"/>
      <c r="P364" s="13"/>
      <c r="Q364" s="6"/>
      <c r="R364" s="6"/>
      <c r="S364" s="6"/>
      <c r="T364" s="6"/>
    </row>
    <row r="365" spans="15:20" x14ac:dyDescent="0.3">
      <c r="O365" s="6"/>
      <c r="P365" s="13"/>
      <c r="Q365" s="6"/>
      <c r="R365" s="6"/>
      <c r="S365" s="6"/>
      <c r="T365" s="6"/>
    </row>
    <row r="366" spans="15:20" x14ac:dyDescent="0.3">
      <c r="O366" s="6"/>
      <c r="P366" s="13"/>
      <c r="Q366" s="6"/>
      <c r="R366" s="6"/>
      <c r="S366" s="6"/>
      <c r="T366" s="6"/>
    </row>
    <row r="367" spans="15:20" x14ac:dyDescent="0.3">
      <c r="O367" s="6"/>
      <c r="P367" s="13"/>
      <c r="Q367" s="6"/>
      <c r="R367" s="6"/>
      <c r="S367" s="6"/>
      <c r="T367" s="6"/>
    </row>
    <row r="368" spans="15:20" x14ac:dyDescent="0.3">
      <c r="O368" s="6"/>
      <c r="P368" s="13"/>
      <c r="Q368" s="6"/>
      <c r="R368" s="6"/>
      <c r="S368" s="6"/>
      <c r="T368" s="6"/>
    </row>
    <row r="369" spans="15:20" x14ac:dyDescent="0.3">
      <c r="O369" s="6"/>
      <c r="P369" s="13"/>
      <c r="Q369" s="6"/>
      <c r="R369" s="6"/>
      <c r="S369" s="6"/>
      <c r="T369" s="6"/>
    </row>
    <row r="370" spans="15:20" x14ac:dyDescent="0.3">
      <c r="O370" s="6"/>
      <c r="P370" s="13"/>
      <c r="Q370" s="6"/>
      <c r="R370" s="6"/>
      <c r="S370" s="6"/>
      <c r="T370" s="6"/>
    </row>
    <row r="371" spans="15:20" x14ac:dyDescent="0.3">
      <c r="O371" s="6"/>
      <c r="P371" s="13"/>
      <c r="Q371" s="6"/>
      <c r="R371" s="6"/>
      <c r="S371" s="6"/>
      <c r="T371" s="6"/>
    </row>
    <row r="372" spans="15:20" x14ac:dyDescent="0.3">
      <c r="O372" s="6"/>
      <c r="P372" s="13"/>
      <c r="Q372" s="6"/>
      <c r="R372" s="6"/>
      <c r="S372" s="6"/>
      <c r="T372" s="6"/>
    </row>
    <row r="373" spans="15:20" x14ac:dyDescent="0.3">
      <c r="O373" s="6"/>
      <c r="P373" s="13"/>
      <c r="Q373" s="6"/>
      <c r="R373" s="6"/>
      <c r="S373" s="6"/>
      <c r="T373" s="6"/>
    </row>
    <row r="374" spans="15:20" x14ac:dyDescent="0.3">
      <c r="O374" s="6"/>
      <c r="P374" s="13"/>
      <c r="Q374" s="6"/>
      <c r="R374" s="6"/>
      <c r="S374" s="6"/>
      <c r="T374" s="6"/>
    </row>
    <row r="375" spans="15:20" x14ac:dyDescent="0.3">
      <c r="O375" s="6"/>
      <c r="P375" s="13"/>
      <c r="Q375" s="6"/>
      <c r="R375" s="6"/>
      <c r="S375" s="6"/>
      <c r="T375" s="6"/>
    </row>
    <row r="376" spans="15:20" x14ac:dyDescent="0.3">
      <c r="O376" s="6"/>
      <c r="P376" s="13"/>
      <c r="Q376" s="6"/>
      <c r="R376" s="6"/>
      <c r="S376" s="6"/>
      <c r="T376" s="6"/>
    </row>
    <row r="377" spans="15:20" x14ac:dyDescent="0.3">
      <c r="O377" s="6"/>
      <c r="P377" s="13"/>
      <c r="Q377" s="6"/>
      <c r="R377" s="6"/>
      <c r="S377" s="6"/>
      <c r="T377" s="6"/>
    </row>
    <row r="378" spans="15:20" x14ac:dyDescent="0.3">
      <c r="O378" s="6"/>
      <c r="P378" s="13"/>
      <c r="Q378" s="6"/>
      <c r="R378" s="6"/>
      <c r="S378" s="6"/>
      <c r="T378" s="6"/>
    </row>
    <row r="379" spans="15:20" x14ac:dyDescent="0.3">
      <c r="O379" s="6"/>
      <c r="P379" s="13"/>
      <c r="Q379" s="6"/>
      <c r="R379" s="6"/>
      <c r="S379" s="6"/>
      <c r="T379" s="6"/>
    </row>
    <row r="380" spans="15:20" x14ac:dyDescent="0.3">
      <c r="O380" s="6"/>
      <c r="P380" s="13"/>
      <c r="Q380" s="6"/>
      <c r="R380" s="6"/>
      <c r="S380" s="6"/>
      <c r="T380" s="6"/>
    </row>
    <row r="381" spans="15:20" x14ac:dyDescent="0.3">
      <c r="O381" s="6"/>
      <c r="P381" s="13"/>
      <c r="Q381" s="6"/>
      <c r="R381" s="6"/>
      <c r="S381" s="6"/>
      <c r="T381" s="6"/>
    </row>
    <row r="382" spans="15:20" x14ac:dyDescent="0.3">
      <c r="O382" s="6"/>
      <c r="P382" s="13"/>
      <c r="Q382" s="6"/>
      <c r="R382" s="6"/>
      <c r="S382" s="6"/>
      <c r="T382" s="6"/>
    </row>
    <row r="383" spans="15:20" x14ac:dyDescent="0.3">
      <c r="O383" s="6"/>
      <c r="P383" s="13"/>
      <c r="Q383" s="6"/>
      <c r="R383" s="6"/>
      <c r="S383" s="6"/>
      <c r="T383" s="6"/>
    </row>
    <row r="384" spans="15:20" x14ac:dyDescent="0.3">
      <c r="O384" s="6"/>
      <c r="P384" s="13"/>
      <c r="Q384" s="6"/>
      <c r="R384" s="6"/>
      <c r="S384" s="6"/>
      <c r="T384" s="6"/>
    </row>
    <row r="385" spans="15:20" x14ac:dyDescent="0.3">
      <c r="O385" s="6"/>
      <c r="P385" s="13"/>
      <c r="Q385" s="6"/>
      <c r="R385" s="6"/>
      <c r="S385" s="6"/>
      <c r="T385" s="6"/>
    </row>
    <row r="386" spans="15:20" x14ac:dyDescent="0.3">
      <c r="O386" s="6"/>
      <c r="P386" s="13"/>
      <c r="Q386" s="6"/>
      <c r="R386" s="6"/>
      <c r="S386" s="6"/>
      <c r="T386" s="6"/>
    </row>
    <row r="387" spans="15:20" x14ac:dyDescent="0.3">
      <c r="O387" s="6"/>
      <c r="P387" s="13"/>
      <c r="Q387" s="6"/>
      <c r="R387" s="6"/>
      <c r="S387" s="6"/>
      <c r="T387" s="6"/>
    </row>
    <row r="388" spans="15:20" x14ac:dyDescent="0.3">
      <c r="O388" s="6"/>
      <c r="P388" s="13"/>
      <c r="Q388" s="6"/>
      <c r="R388" s="6"/>
      <c r="S388" s="6"/>
      <c r="T388" s="6"/>
    </row>
    <row r="389" spans="15:20" x14ac:dyDescent="0.3">
      <c r="O389" s="6"/>
      <c r="P389" s="13"/>
      <c r="Q389" s="6"/>
      <c r="R389" s="6"/>
      <c r="S389" s="6"/>
      <c r="T389" s="6"/>
    </row>
    <row r="390" spans="15:20" x14ac:dyDescent="0.3">
      <c r="O390" s="6"/>
      <c r="P390" s="13"/>
      <c r="Q390" s="6"/>
      <c r="R390" s="6"/>
      <c r="S390" s="6"/>
      <c r="T390" s="6"/>
    </row>
    <row r="391" spans="15:20" x14ac:dyDescent="0.3">
      <c r="O391" s="6"/>
      <c r="P391" s="13"/>
      <c r="Q391" s="6"/>
      <c r="R391" s="6"/>
      <c r="S391" s="6"/>
      <c r="T391" s="6"/>
    </row>
    <row r="392" spans="15:20" x14ac:dyDescent="0.3">
      <c r="O392" s="6"/>
      <c r="P392" s="13"/>
      <c r="Q392" s="6"/>
      <c r="R392" s="6"/>
      <c r="S392" s="6"/>
      <c r="T392" s="6"/>
    </row>
    <row r="393" spans="15:20" x14ac:dyDescent="0.3">
      <c r="O393" s="6"/>
      <c r="P393" s="13"/>
      <c r="Q393" s="6"/>
      <c r="R393" s="6"/>
      <c r="S393" s="6"/>
      <c r="T393" s="6"/>
    </row>
    <row r="394" spans="15:20" x14ac:dyDescent="0.3">
      <c r="O394" s="6"/>
      <c r="P394" s="13"/>
      <c r="Q394" s="6"/>
      <c r="R394" s="6"/>
      <c r="S394" s="6"/>
      <c r="T394" s="6"/>
    </row>
    <row r="395" spans="15:20" x14ac:dyDescent="0.3">
      <c r="O395" s="6"/>
      <c r="P395" s="13"/>
      <c r="Q395" s="6"/>
      <c r="R395" s="6"/>
      <c r="S395" s="6"/>
      <c r="T395" s="6"/>
    </row>
    <row r="396" spans="15:20" x14ac:dyDescent="0.3">
      <c r="O396" s="6"/>
      <c r="P396" s="13"/>
      <c r="Q396" s="6"/>
      <c r="R396" s="6"/>
      <c r="S396" s="6"/>
      <c r="T396" s="6"/>
    </row>
    <row r="397" spans="15:20" x14ac:dyDescent="0.3">
      <c r="O397" s="6"/>
      <c r="P397" s="13"/>
      <c r="Q397" s="6"/>
      <c r="R397" s="6"/>
      <c r="S397" s="6"/>
      <c r="T397" s="6"/>
    </row>
    <row r="398" spans="15:20" x14ac:dyDescent="0.3">
      <c r="O398" s="6"/>
      <c r="P398" s="13"/>
      <c r="Q398" s="6"/>
      <c r="R398" s="6"/>
      <c r="S398" s="6"/>
      <c r="T398" s="6"/>
    </row>
    <row r="399" spans="15:20" x14ac:dyDescent="0.3">
      <c r="O399" s="6"/>
      <c r="P399" s="13"/>
      <c r="Q399" s="6"/>
      <c r="R399" s="6"/>
      <c r="S399" s="6"/>
      <c r="T399" s="6"/>
    </row>
    <row r="400" spans="15:20" x14ac:dyDescent="0.3">
      <c r="O400" s="6"/>
      <c r="P400" s="13"/>
      <c r="Q400" s="6"/>
      <c r="R400" s="6"/>
      <c r="S400" s="6"/>
      <c r="T400" s="6"/>
    </row>
    <row r="401" spans="15:20" x14ac:dyDescent="0.3">
      <c r="O401" s="6"/>
      <c r="P401" s="13"/>
      <c r="Q401" s="6"/>
      <c r="R401" s="6"/>
      <c r="S401" s="6"/>
      <c r="T401" s="6"/>
    </row>
    <row r="402" spans="15:20" x14ac:dyDescent="0.3">
      <c r="O402" s="6"/>
      <c r="P402" s="13"/>
      <c r="Q402" s="6"/>
      <c r="R402" s="6"/>
      <c r="S402" s="6"/>
      <c r="T402" s="6"/>
    </row>
    <row r="403" spans="15:20" x14ac:dyDescent="0.3">
      <c r="O403" s="6"/>
      <c r="P403" s="13"/>
      <c r="Q403" s="6"/>
      <c r="R403" s="6"/>
      <c r="S403" s="6"/>
      <c r="T403" s="6"/>
    </row>
    <row r="404" spans="15:20" x14ac:dyDescent="0.3">
      <c r="O404" s="6"/>
      <c r="P404" s="13"/>
      <c r="Q404" s="6"/>
      <c r="R404" s="6"/>
      <c r="S404" s="6"/>
      <c r="T404" s="6"/>
    </row>
    <row r="405" spans="15:20" x14ac:dyDescent="0.3">
      <c r="O405" s="6"/>
      <c r="P405" s="13"/>
      <c r="Q405" s="6"/>
      <c r="R405" s="6"/>
      <c r="S405" s="6"/>
      <c r="T405" s="6"/>
    </row>
    <row r="406" spans="15:20" x14ac:dyDescent="0.3">
      <c r="O406" s="6"/>
      <c r="P406" s="13"/>
      <c r="Q406" s="6"/>
      <c r="R406" s="6"/>
      <c r="S406" s="6"/>
      <c r="T406" s="6"/>
    </row>
    <row r="407" spans="15:20" x14ac:dyDescent="0.3">
      <c r="O407" s="6"/>
      <c r="P407" s="13"/>
      <c r="Q407" s="6"/>
      <c r="R407" s="6"/>
      <c r="S407" s="6"/>
      <c r="T407" s="6"/>
    </row>
    <row r="408" spans="15:20" x14ac:dyDescent="0.3">
      <c r="O408" s="6"/>
      <c r="P408" s="13"/>
      <c r="Q408" s="6"/>
      <c r="R408" s="6"/>
      <c r="S408" s="6"/>
      <c r="T408" s="6"/>
    </row>
    <row r="409" spans="15:20" x14ac:dyDescent="0.3">
      <c r="O409" s="6"/>
      <c r="P409" s="13"/>
      <c r="Q409" s="6"/>
      <c r="R409" s="6"/>
      <c r="S409" s="6"/>
      <c r="T409" s="6"/>
    </row>
    <row r="410" spans="15:20" x14ac:dyDescent="0.3">
      <c r="O410" s="6"/>
      <c r="P410" s="13"/>
      <c r="Q410" s="6"/>
      <c r="R410" s="6"/>
      <c r="S410" s="6"/>
      <c r="T410" s="6"/>
    </row>
    <row r="411" spans="15:20" x14ac:dyDescent="0.3">
      <c r="O411" s="6"/>
      <c r="P411" s="13"/>
      <c r="Q411" s="6"/>
      <c r="R411" s="6"/>
      <c r="S411" s="6"/>
      <c r="T411" s="6"/>
    </row>
    <row r="412" spans="15:20" x14ac:dyDescent="0.3">
      <c r="O412" s="6"/>
      <c r="P412" s="13"/>
      <c r="Q412" s="6"/>
      <c r="R412" s="6"/>
      <c r="S412" s="6"/>
      <c r="T412" s="6"/>
    </row>
    <row r="413" spans="15:20" x14ac:dyDescent="0.3">
      <c r="O413" s="6"/>
      <c r="P413" s="13"/>
      <c r="Q413" s="6"/>
      <c r="R413" s="6"/>
      <c r="S413" s="6"/>
      <c r="T413" s="6"/>
    </row>
    <row r="414" spans="15:20" x14ac:dyDescent="0.3">
      <c r="O414" s="6"/>
      <c r="P414" s="13"/>
      <c r="Q414" s="6"/>
      <c r="R414" s="6"/>
      <c r="S414" s="6"/>
      <c r="T414" s="6"/>
    </row>
    <row r="415" spans="15:20" x14ac:dyDescent="0.3">
      <c r="O415" s="6"/>
      <c r="P415" s="13"/>
      <c r="Q415" s="6"/>
      <c r="R415" s="6"/>
      <c r="S415" s="6"/>
      <c r="T415" s="6"/>
    </row>
    <row r="416" spans="15:20" x14ac:dyDescent="0.3">
      <c r="O416" s="6"/>
      <c r="P416" s="13"/>
      <c r="Q416" s="6"/>
      <c r="R416" s="6"/>
      <c r="S416" s="6"/>
      <c r="T416" s="6"/>
    </row>
    <row r="417" spans="15:20" x14ac:dyDescent="0.3">
      <c r="O417" s="6"/>
      <c r="P417" s="13"/>
      <c r="Q417" s="6"/>
      <c r="R417" s="6"/>
      <c r="S417" s="6"/>
      <c r="T417" s="6"/>
    </row>
  </sheetData>
  <mergeCells count="15">
    <mergeCell ref="B3:B5"/>
    <mergeCell ref="C3:C5"/>
    <mergeCell ref="D3:D5"/>
    <mergeCell ref="G3:J3"/>
    <mergeCell ref="G4:I4"/>
    <mergeCell ref="P80:P100"/>
    <mergeCell ref="P68:P79"/>
    <mergeCell ref="P58:P67"/>
    <mergeCell ref="P34:P42"/>
    <mergeCell ref="K3:K5"/>
    <mergeCell ref="P5:P8"/>
    <mergeCell ref="P9:P12"/>
    <mergeCell ref="P13:P18"/>
    <mergeCell ref="P19:P27"/>
    <mergeCell ref="P28:P33"/>
  </mergeCells>
  <phoneticPr fontId="91" type="noConversion"/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A1:V126"/>
  <sheetViews>
    <sheetView topLeftCell="A8" zoomScale="89" workbookViewId="0">
      <selection activeCell="O20" sqref="O20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2" customWidth="1"/>
    <col min="5" max="5" width="13" style="12" bestFit="1" customWidth="1"/>
    <col min="6" max="6" width="8.88671875" style="12"/>
    <col min="7" max="7" width="10.44140625" style="12" bestFit="1" customWidth="1"/>
    <col min="8" max="10" width="8.88671875" style="1"/>
    <col min="11" max="11" width="10.5546875" style="1" bestFit="1" customWidth="1"/>
    <col min="12" max="12" width="8.88671875" style="1"/>
    <col min="13" max="13" width="13" style="12" bestFit="1" customWidth="1"/>
    <col min="14" max="14" width="12.6640625" style="1" customWidth="1"/>
    <col min="15" max="15" width="9.77734375" style="1" bestFit="1" customWidth="1"/>
    <col min="16" max="16" width="11" style="1" customWidth="1"/>
    <col min="17" max="18" width="8.88671875" style="1"/>
    <col min="19" max="19" width="15.44140625" style="1" customWidth="1"/>
    <col min="20" max="16384" width="8.88671875" style="1"/>
  </cols>
  <sheetData>
    <row r="1" spans="2:20" ht="15" thickBot="1" x14ac:dyDescent="0.35"/>
    <row r="2" spans="2:20" x14ac:dyDescent="0.3">
      <c r="B2" s="1262" t="s">
        <v>562</v>
      </c>
      <c r="C2" s="1262"/>
      <c r="D2" s="1262"/>
      <c r="E2" s="1262"/>
      <c r="F2" s="1262"/>
      <c r="G2" s="1262"/>
      <c r="H2" s="1262"/>
      <c r="J2" s="1262" t="s">
        <v>563</v>
      </c>
      <c r="K2" s="1262"/>
      <c r="L2" s="1262"/>
      <c r="M2" s="1262"/>
      <c r="N2" s="1262"/>
      <c r="O2" s="1262"/>
      <c r="P2" s="1262"/>
      <c r="R2" s="1381" t="s">
        <v>564</v>
      </c>
      <c r="S2" s="1383"/>
    </row>
    <row r="3" spans="2:20" ht="28.8" x14ac:dyDescent="0.3">
      <c r="B3" s="14" t="s">
        <v>70</v>
      </c>
      <c r="C3" s="14" t="s">
        <v>0</v>
      </c>
      <c r="D3" s="14" t="s">
        <v>26</v>
      </c>
      <c r="E3" s="14" t="s">
        <v>558</v>
      </c>
      <c r="F3" s="14" t="s">
        <v>560</v>
      </c>
      <c r="G3" s="14" t="s">
        <v>559</v>
      </c>
      <c r="H3" s="14" t="s">
        <v>561</v>
      </c>
      <c r="J3" s="14" t="s">
        <v>70</v>
      </c>
      <c r="K3" s="14" t="s">
        <v>0</v>
      </c>
      <c r="L3" s="14" t="s">
        <v>26</v>
      </c>
      <c r="M3" s="14" t="s">
        <v>558</v>
      </c>
      <c r="N3" s="383" t="s">
        <v>568</v>
      </c>
      <c r="O3" s="14" t="s">
        <v>559</v>
      </c>
      <c r="P3" s="383" t="s">
        <v>569</v>
      </c>
      <c r="R3" s="956" t="s">
        <v>565</v>
      </c>
      <c r="S3" s="957" t="s">
        <v>566</v>
      </c>
    </row>
    <row r="4" spans="2:20" ht="15" thickBot="1" x14ac:dyDescent="0.35">
      <c r="B4" s="13"/>
      <c r="C4" s="73"/>
      <c r="D4" s="73"/>
      <c r="E4" s="13"/>
      <c r="F4" s="39"/>
      <c r="G4" s="40"/>
      <c r="H4" s="39"/>
      <c r="J4" s="13"/>
      <c r="K4" s="73"/>
      <c r="L4" s="73"/>
      <c r="M4" s="13"/>
      <c r="N4" s="39"/>
      <c r="O4" s="40"/>
      <c r="P4" s="39"/>
      <c r="R4" s="958">
        <v>6</v>
      </c>
      <c r="S4" s="1030">
        <v>12</v>
      </c>
    </row>
    <row r="5" spans="2:20" x14ac:dyDescent="0.3">
      <c r="B5" s="13">
        <v>1</v>
      </c>
      <c r="C5" s="73">
        <v>46268</v>
      </c>
      <c r="D5" s="73" t="s">
        <v>12</v>
      </c>
      <c r="E5" s="13">
        <v>16</v>
      </c>
      <c r="F5" s="39">
        <f t="shared" ref="F5:F18" si="0">E5*$R$4</f>
        <v>96</v>
      </c>
      <c r="G5" s="40">
        <v>0.2</v>
      </c>
      <c r="H5" s="39">
        <f>F5*(1-G5)</f>
        <v>76.800000000000011</v>
      </c>
      <c r="J5" s="13">
        <v>1</v>
      </c>
      <c r="K5" s="73">
        <v>46268</v>
      </c>
      <c r="L5" s="73" t="s">
        <v>12</v>
      </c>
      <c r="M5" s="13">
        <v>9</v>
      </c>
      <c r="N5" s="39">
        <f t="shared" ref="N5:N39" si="1">M5*$S$4</f>
        <v>108</v>
      </c>
      <c r="O5" s="40">
        <v>0.2</v>
      </c>
      <c r="P5" s="39">
        <f t="shared" ref="P5:P10" si="2">N5*(1-O5)</f>
        <v>86.4</v>
      </c>
      <c r="S5" s="10"/>
    </row>
    <row r="6" spans="2:20" x14ac:dyDescent="0.3">
      <c r="B6" s="13">
        <v>2</v>
      </c>
      <c r="C6" s="73">
        <v>46269</v>
      </c>
      <c r="D6" s="13" t="s">
        <v>12</v>
      </c>
      <c r="E6" s="13">
        <v>5</v>
      </c>
      <c r="F6" s="39">
        <f t="shared" si="0"/>
        <v>30</v>
      </c>
      <c r="G6" s="40">
        <v>0.2</v>
      </c>
      <c r="H6" s="39">
        <f>F6*(1-G6)</f>
        <v>24</v>
      </c>
      <c r="J6" s="13">
        <v>2</v>
      </c>
      <c r="K6" s="73">
        <v>46269</v>
      </c>
      <c r="L6" s="13" t="s">
        <v>12</v>
      </c>
      <c r="M6" s="13">
        <v>4</v>
      </c>
      <c r="N6" s="39">
        <f t="shared" si="1"/>
        <v>48</v>
      </c>
      <c r="O6" s="40">
        <v>0.2</v>
      </c>
      <c r="P6" s="39">
        <f t="shared" si="2"/>
        <v>38.400000000000006</v>
      </c>
      <c r="S6" s="174"/>
    </row>
    <row r="7" spans="2:20" x14ac:dyDescent="0.3">
      <c r="B7" s="13">
        <v>3</v>
      </c>
      <c r="C7" s="73">
        <v>46269</v>
      </c>
      <c r="D7" s="13" t="s">
        <v>13</v>
      </c>
      <c r="E7" s="13">
        <v>12</v>
      </c>
      <c r="F7" s="39">
        <f t="shared" si="0"/>
        <v>72</v>
      </c>
      <c r="G7" s="40">
        <v>0.2</v>
      </c>
      <c r="H7" s="39">
        <f>F7*(1-G7)</f>
        <v>57.6</v>
      </c>
      <c r="J7" s="13">
        <v>3</v>
      </c>
      <c r="K7" s="73">
        <v>46269</v>
      </c>
      <c r="L7" s="13" t="s">
        <v>13</v>
      </c>
      <c r="M7" s="13">
        <v>10</v>
      </c>
      <c r="N7" s="39">
        <f t="shared" si="1"/>
        <v>120</v>
      </c>
      <c r="O7" s="40">
        <v>0.2</v>
      </c>
      <c r="P7" s="39">
        <f t="shared" si="2"/>
        <v>96</v>
      </c>
    </row>
    <row r="8" spans="2:20" x14ac:dyDescent="0.3">
      <c r="B8" s="13">
        <v>4</v>
      </c>
      <c r="C8" s="73">
        <v>46270</v>
      </c>
      <c r="D8" s="13" t="s">
        <v>12</v>
      </c>
      <c r="E8" s="13">
        <v>10</v>
      </c>
      <c r="F8" s="39">
        <f t="shared" si="0"/>
        <v>60</v>
      </c>
      <c r="G8" s="40">
        <v>0.2</v>
      </c>
      <c r="H8" s="39">
        <f>F8*(1-G8)</f>
        <v>48</v>
      </c>
      <c r="J8" s="13">
        <v>4</v>
      </c>
      <c r="K8" s="73">
        <v>46270</v>
      </c>
      <c r="L8" s="13" t="s">
        <v>12</v>
      </c>
      <c r="M8" s="13">
        <v>10</v>
      </c>
      <c r="N8" s="39">
        <f t="shared" si="1"/>
        <v>120</v>
      </c>
      <c r="O8" s="40">
        <v>0.2</v>
      </c>
      <c r="P8" s="39">
        <f t="shared" si="2"/>
        <v>96</v>
      </c>
    </row>
    <row r="9" spans="2:20" ht="15" thickBot="1" x14ac:dyDescent="0.35">
      <c r="B9" s="13">
        <v>5</v>
      </c>
      <c r="C9" s="73">
        <v>46274</v>
      </c>
      <c r="D9" s="13" t="s">
        <v>12</v>
      </c>
      <c r="E9" s="13">
        <v>4</v>
      </c>
      <c r="F9" s="39">
        <f t="shared" si="0"/>
        <v>24</v>
      </c>
      <c r="G9" s="40">
        <v>0.18</v>
      </c>
      <c r="H9" s="39">
        <f t="shared" ref="H9:H14" si="3">F9*(1-G9)</f>
        <v>19.68</v>
      </c>
      <c r="J9" s="13">
        <v>5</v>
      </c>
      <c r="K9" s="73">
        <v>46274</v>
      </c>
      <c r="L9" s="13" t="s">
        <v>12</v>
      </c>
      <c r="M9" s="13">
        <v>4</v>
      </c>
      <c r="N9" s="39">
        <f t="shared" si="1"/>
        <v>48</v>
      </c>
      <c r="O9" s="40">
        <v>0.18</v>
      </c>
      <c r="P9" s="39">
        <f t="shared" si="2"/>
        <v>39.36</v>
      </c>
    </row>
    <row r="10" spans="2:20" x14ac:dyDescent="0.3">
      <c r="B10" s="13">
        <v>6</v>
      </c>
      <c r="C10" s="73">
        <v>46274</v>
      </c>
      <c r="D10" s="13" t="s">
        <v>13</v>
      </c>
      <c r="E10" s="13">
        <v>12</v>
      </c>
      <c r="F10" s="39">
        <f t="shared" si="0"/>
        <v>72</v>
      </c>
      <c r="G10" s="40">
        <v>0.19</v>
      </c>
      <c r="H10" s="39">
        <f t="shared" si="3"/>
        <v>58.320000000000007</v>
      </c>
      <c r="J10" s="13">
        <v>6</v>
      </c>
      <c r="K10" s="73">
        <v>46274</v>
      </c>
      <c r="L10" s="13" t="s">
        <v>13</v>
      </c>
      <c r="M10" s="13">
        <v>12</v>
      </c>
      <c r="N10" s="39">
        <f t="shared" si="1"/>
        <v>144</v>
      </c>
      <c r="O10" s="40">
        <v>0.19</v>
      </c>
      <c r="P10" s="39">
        <f t="shared" si="2"/>
        <v>116.64000000000001</v>
      </c>
      <c r="R10" s="1381" t="s">
        <v>567</v>
      </c>
      <c r="S10" s="1382"/>
      <c r="T10" s="1383"/>
    </row>
    <row r="11" spans="2:20" ht="15" thickBot="1" x14ac:dyDescent="0.35">
      <c r="B11" s="13">
        <v>7</v>
      </c>
      <c r="C11" s="73">
        <v>46275</v>
      </c>
      <c r="D11" s="13" t="s">
        <v>12</v>
      </c>
      <c r="E11" s="13">
        <v>4</v>
      </c>
      <c r="F11" s="39">
        <f t="shared" si="0"/>
        <v>24</v>
      </c>
      <c r="G11" s="40">
        <v>0.2</v>
      </c>
      <c r="H11" s="39">
        <f t="shared" si="3"/>
        <v>19.200000000000003</v>
      </c>
      <c r="J11" s="13">
        <v>7</v>
      </c>
      <c r="K11" s="73">
        <v>46275</v>
      </c>
      <c r="L11" s="13" t="s">
        <v>12</v>
      </c>
      <c r="M11" s="13">
        <v>8</v>
      </c>
      <c r="N11" s="39">
        <f t="shared" si="1"/>
        <v>96</v>
      </c>
      <c r="O11" s="40">
        <v>0.2</v>
      </c>
      <c r="P11" s="39">
        <f t="shared" ref="P11:P30" si="4">N11*(1-O11)</f>
        <v>76.800000000000011</v>
      </c>
      <c r="R11" s="1384">
        <f>SUM(P4:P234,H4:H233)</f>
        <v>3975.42</v>
      </c>
      <c r="S11" s="1385"/>
      <c r="T11" s="1386"/>
    </row>
    <row r="12" spans="2:20" x14ac:dyDescent="0.3">
      <c r="B12" s="13">
        <v>8</v>
      </c>
      <c r="C12" s="73">
        <v>46275</v>
      </c>
      <c r="D12" s="13" t="s">
        <v>13</v>
      </c>
      <c r="E12" s="13">
        <v>3</v>
      </c>
      <c r="F12" s="13">
        <f t="shared" si="0"/>
        <v>18</v>
      </c>
      <c r="G12" s="40">
        <v>0.18</v>
      </c>
      <c r="H12" s="39">
        <f t="shared" si="3"/>
        <v>14.760000000000002</v>
      </c>
      <c r="J12" s="13">
        <v>8</v>
      </c>
      <c r="K12" s="73">
        <v>46275</v>
      </c>
      <c r="L12" s="13" t="s">
        <v>13</v>
      </c>
      <c r="M12" s="13">
        <v>3</v>
      </c>
      <c r="N12" s="39">
        <f t="shared" si="1"/>
        <v>36</v>
      </c>
      <c r="O12" s="40">
        <v>0.18</v>
      </c>
      <c r="P12" s="39">
        <f t="shared" si="4"/>
        <v>29.520000000000003</v>
      </c>
    </row>
    <row r="13" spans="2:20" x14ac:dyDescent="0.3">
      <c r="B13" s="13">
        <v>9</v>
      </c>
      <c r="C13" s="73">
        <v>46276</v>
      </c>
      <c r="D13" s="13" t="s">
        <v>12</v>
      </c>
      <c r="E13" s="13">
        <v>8</v>
      </c>
      <c r="F13" s="13">
        <f t="shared" si="0"/>
        <v>48</v>
      </c>
      <c r="G13" s="40">
        <v>0.19</v>
      </c>
      <c r="H13" s="39">
        <f t="shared" si="3"/>
        <v>38.880000000000003</v>
      </c>
      <c r="J13" s="13">
        <v>9</v>
      </c>
      <c r="K13" s="73">
        <v>46276</v>
      </c>
      <c r="L13" s="13" t="s">
        <v>12</v>
      </c>
      <c r="M13" s="13">
        <v>8</v>
      </c>
      <c r="N13" s="39">
        <f t="shared" si="1"/>
        <v>96</v>
      </c>
      <c r="O13" s="40">
        <v>0.19</v>
      </c>
      <c r="P13" s="39">
        <f t="shared" si="4"/>
        <v>77.760000000000005</v>
      </c>
      <c r="S13" s="10"/>
      <c r="T13" s="10"/>
    </row>
    <row r="14" spans="2:20" x14ac:dyDescent="0.3">
      <c r="B14" s="13">
        <v>10</v>
      </c>
      <c r="C14" s="73">
        <v>46276</v>
      </c>
      <c r="D14" s="13" t="s">
        <v>13</v>
      </c>
      <c r="E14" s="13">
        <v>4</v>
      </c>
      <c r="F14" s="13">
        <f t="shared" si="0"/>
        <v>24</v>
      </c>
      <c r="G14" s="40">
        <v>0.19</v>
      </c>
      <c r="H14" s="39">
        <f t="shared" si="3"/>
        <v>19.440000000000001</v>
      </c>
      <c r="J14" s="13">
        <v>10</v>
      </c>
      <c r="K14" s="73">
        <v>46276</v>
      </c>
      <c r="L14" s="13" t="s">
        <v>13</v>
      </c>
      <c r="M14" s="13">
        <v>6</v>
      </c>
      <c r="N14" s="39">
        <f t="shared" si="1"/>
        <v>72</v>
      </c>
      <c r="O14" s="40">
        <v>0.19</v>
      </c>
      <c r="P14" s="39">
        <f t="shared" si="4"/>
        <v>58.320000000000007</v>
      </c>
    </row>
    <row r="15" spans="2:20" x14ac:dyDescent="0.3">
      <c r="B15" s="13">
        <v>11</v>
      </c>
      <c r="C15" s="73">
        <v>46277</v>
      </c>
      <c r="D15" s="13" t="s">
        <v>12</v>
      </c>
      <c r="E15" s="13">
        <v>7</v>
      </c>
      <c r="F15" s="39">
        <f t="shared" si="0"/>
        <v>42</v>
      </c>
      <c r="G15" s="40">
        <v>0.19</v>
      </c>
      <c r="H15" s="39">
        <f t="shared" ref="H15:H18" si="5">F15*(1-G15)</f>
        <v>34.020000000000003</v>
      </c>
      <c r="J15" s="13">
        <v>11</v>
      </c>
      <c r="K15" s="73">
        <v>46277</v>
      </c>
      <c r="L15" s="13" t="s">
        <v>12</v>
      </c>
      <c r="M15" s="13">
        <v>7</v>
      </c>
      <c r="N15" s="39">
        <f t="shared" si="1"/>
        <v>84</v>
      </c>
      <c r="O15" s="40">
        <v>0.19</v>
      </c>
      <c r="P15" s="39">
        <f t="shared" si="4"/>
        <v>68.040000000000006</v>
      </c>
    </row>
    <row r="16" spans="2:20" x14ac:dyDescent="0.3">
      <c r="B16" s="13">
        <v>12</v>
      </c>
      <c r="C16" s="73">
        <v>46277</v>
      </c>
      <c r="D16" s="13" t="s">
        <v>13</v>
      </c>
      <c r="E16" s="13">
        <v>11</v>
      </c>
      <c r="F16" s="13">
        <f t="shared" si="0"/>
        <v>66</v>
      </c>
      <c r="G16" s="40">
        <v>0.18</v>
      </c>
      <c r="H16" s="39">
        <f t="shared" si="5"/>
        <v>54.120000000000005</v>
      </c>
      <c r="J16" s="13">
        <v>12</v>
      </c>
      <c r="K16" s="73">
        <v>46277</v>
      </c>
      <c r="L16" s="13" t="s">
        <v>13</v>
      </c>
      <c r="M16" s="13">
        <v>11</v>
      </c>
      <c r="N16" s="39">
        <f t="shared" si="1"/>
        <v>132</v>
      </c>
      <c r="O16" s="40">
        <v>0.18</v>
      </c>
      <c r="P16" s="39">
        <f t="shared" si="4"/>
        <v>108.24000000000001</v>
      </c>
    </row>
    <row r="17" spans="1:22" s="669" customFormat="1" x14ac:dyDescent="0.3">
      <c r="A17" s="1388">
        <v>6</v>
      </c>
      <c r="B17" s="13">
        <v>13</v>
      </c>
      <c r="C17" s="62">
        <v>46278</v>
      </c>
      <c r="D17" s="13" t="s">
        <v>13</v>
      </c>
      <c r="E17" s="13">
        <v>10</v>
      </c>
      <c r="F17" s="13">
        <f t="shared" si="0"/>
        <v>60</v>
      </c>
      <c r="G17" s="40">
        <v>0.21</v>
      </c>
      <c r="H17" s="39">
        <f t="shared" si="5"/>
        <v>47.400000000000006</v>
      </c>
      <c r="I17" s="1"/>
      <c r="J17" s="13">
        <v>13</v>
      </c>
      <c r="K17" s="73">
        <v>46278</v>
      </c>
      <c r="L17" s="13" t="s">
        <v>13</v>
      </c>
      <c r="M17" s="13">
        <v>10</v>
      </c>
      <c r="N17" s="39">
        <f t="shared" si="1"/>
        <v>120</v>
      </c>
      <c r="O17" s="40">
        <v>0.21</v>
      </c>
      <c r="P17" s="39">
        <f t="shared" si="4"/>
        <v>94.800000000000011</v>
      </c>
      <c r="Q17" s="1"/>
      <c r="R17" s="1"/>
      <c r="S17" s="1"/>
      <c r="T17" s="1"/>
      <c r="U17" s="1"/>
      <c r="V17" s="1"/>
    </row>
    <row r="18" spans="1:22" s="669" customFormat="1" x14ac:dyDescent="0.3">
      <c r="A18" s="1388"/>
      <c r="B18" s="13">
        <v>14</v>
      </c>
      <c r="C18" s="62">
        <v>46279</v>
      </c>
      <c r="D18" s="13" t="s">
        <v>12</v>
      </c>
      <c r="E18" s="13">
        <v>9</v>
      </c>
      <c r="F18" s="13">
        <f t="shared" si="0"/>
        <v>54</v>
      </c>
      <c r="G18" s="40">
        <v>0.21</v>
      </c>
      <c r="H18" s="39">
        <f t="shared" si="5"/>
        <v>42.660000000000004</v>
      </c>
      <c r="I18" s="1"/>
      <c r="J18" s="13">
        <v>14</v>
      </c>
      <c r="K18" s="73">
        <v>46279</v>
      </c>
      <c r="L18" s="13" t="s">
        <v>12</v>
      </c>
      <c r="M18" s="13">
        <v>7</v>
      </c>
      <c r="N18" s="39">
        <f t="shared" si="1"/>
        <v>84</v>
      </c>
      <c r="O18" s="40">
        <v>0.21</v>
      </c>
      <c r="P18" s="39">
        <f t="shared" si="4"/>
        <v>66.36</v>
      </c>
      <c r="Q18" s="1"/>
      <c r="R18" s="1"/>
      <c r="S18" s="1"/>
      <c r="T18" s="1"/>
      <c r="U18" s="1"/>
      <c r="V18" s="1"/>
    </row>
    <row r="19" spans="1:22" s="669" customFormat="1" x14ac:dyDescent="0.3">
      <c r="A19" s="1388"/>
      <c r="B19" s="13">
        <v>15</v>
      </c>
      <c r="C19" s="62">
        <v>46279</v>
      </c>
      <c r="D19" s="13" t="s">
        <v>13</v>
      </c>
      <c r="E19" s="13">
        <v>6</v>
      </c>
      <c r="F19" s="13">
        <f>E19*$R$4</f>
        <v>36</v>
      </c>
      <c r="G19" s="40">
        <v>0.19</v>
      </c>
      <c r="H19" s="39">
        <f>F19*(1-G19)</f>
        <v>29.160000000000004</v>
      </c>
      <c r="I19" s="1"/>
      <c r="J19" s="13"/>
      <c r="K19" s="73"/>
      <c r="L19" s="13"/>
      <c r="M19" s="13"/>
      <c r="N19" s="39"/>
      <c r="O19" s="40"/>
      <c r="P19" s="39"/>
      <c r="Q19" s="1"/>
      <c r="R19" s="1"/>
      <c r="S19" s="1"/>
      <c r="T19" s="1"/>
      <c r="U19" s="1"/>
      <c r="V19" s="1"/>
    </row>
    <row r="20" spans="1:22" s="669" customFormat="1" x14ac:dyDescent="0.3">
      <c r="A20" s="1388"/>
      <c r="B20" s="13">
        <v>16</v>
      </c>
      <c r="C20" s="62">
        <v>46280</v>
      </c>
      <c r="D20" s="13"/>
      <c r="E20" s="13"/>
      <c r="F20" s="13">
        <f t="shared" ref="F20:F36" si="6">E20*$R$4</f>
        <v>0</v>
      </c>
      <c r="G20" s="40">
        <v>0.2</v>
      </c>
      <c r="H20" s="39">
        <f t="shared" ref="H20:H79" si="7">F20*(1-G20)</f>
        <v>0</v>
      </c>
      <c r="I20" s="1"/>
      <c r="J20" s="13">
        <v>15</v>
      </c>
      <c r="K20" s="62">
        <v>46280</v>
      </c>
      <c r="L20" s="13" t="s">
        <v>12</v>
      </c>
      <c r="M20" s="13">
        <v>7</v>
      </c>
      <c r="N20" s="39">
        <f t="shared" si="1"/>
        <v>84</v>
      </c>
      <c r="O20" s="40">
        <v>0.2</v>
      </c>
      <c r="P20" s="39">
        <f t="shared" si="4"/>
        <v>67.2</v>
      </c>
      <c r="Q20" s="1"/>
      <c r="R20" s="1"/>
      <c r="S20" s="1"/>
      <c r="T20" s="1"/>
      <c r="U20" s="1"/>
      <c r="V20" s="1"/>
    </row>
    <row r="21" spans="1:22" s="954" customFormat="1" x14ac:dyDescent="0.3">
      <c r="A21" s="1387">
        <v>9</v>
      </c>
      <c r="B21" s="13">
        <v>21</v>
      </c>
      <c r="C21" s="62">
        <v>46282</v>
      </c>
      <c r="D21" s="13" t="s">
        <v>653</v>
      </c>
      <c r="E21" s="13"/>
      <c r="F21" s="13">
        <f t="shared" si="6"/>
        <v>0</v>
      </c>
      <c r="G21" s="40"/>
      <c r="H21" s="39">
        <f t="shared" si="7"/>
        <v>0</v>
      </c>
      <c r="I21" s="1"/>
      <c r="J21" s="13">
        <v>20</v>
      </c>
      <c r="K21" s="62">
        <v>46282</v>
      </c>
      <c r="L21" s="13" t="s">
        <v>13</v>
      </c>
      <c r="M21" s="13">
        <v>10</v>
      </c>
      <c r="N21" s="13">
        <f t="shared" si="1"/>
        <v>120</v>
      </c>
      <c r="O21" s="40">
        <v>0.2</v>
      </c>
      <c r="P21" s="39">
        <f t="shared" si="4"/>
        <v>96</v>
      </c>
      <c r="Q21" s="1"/>
      <c r="R21" s="1"/>
      <c r="S21" s="1"/>
      <c r="T21" s="1"/>
      <c r="U21" s="1"/>
      <c r="V21" s="1"/>
    </row>
    <row r="22" spans="1:22" s="954" customFormat="1" x14ac:dyDescent="0.3">
      <c r="A22" s="1387"/>
      <c r="B22" s="13">
        <v>22</v>
      </c>
      <c r="C22" s="62">
        <v>46283</v>
      </c>
      <c r="D22" s="13" t="s">
        <v>653</v>
      </c>
      <c r="E22" s="13"/>
      <c r="F22" s="13">
        <f t="shared" si="6"/>
        <v>0</v>
      </c>
      <c r="G22" s="40"/>
      <c r="H22" s="39">
        <f t="shared" si="7"/>
        <v>0</v>
      </c>
      <c r="I22" s="1"/>
      <c r="J22" s="13">
        <v>21</v>
      </c>
      <c r="K22" s="62">
        <v>46283</v>
      </c>
      <c r="L22" s="13" t="s">
        <v>12</v>
      </c>
      <c r="M22" s="13">
        <v>10</v>
      </c>
      <c r="N22" s="13">
        <f t="shared" si="1"/>
        <v>120</v>
      </c>
      <c r="O22" s="40">
        <v>0.23</v>
      </c>
      <c r="P22" s="39">
        <f t="shared" si="4"/>
        <v>92.4</v>
      </c>
      <c r="Q22" s="1"/>
      <c r="R22" s="1"/>
      <c r="S22" s="1"/>
      <c r="T22" s="1"/>
      <c r="U22" s="1"/>
      <c r="V22" s="1"/>
    </row>
    <row r="23" spans="1:22" s="954" customFormat="1" x14ac:dyDescent="0.3">
      <c r="A23" s="1387"/>
      <c r="B23" s="13">
        <v>23</v>
      </c>
      <c r="C23" s="62">
        <v>46283</v>
      </c>
      <c r="D23" s="13" t="s">
        <v>653</v>
      </c>
      <c r="E23" s="13"/>
      <c r="F23" s="13">
        <f t="shared" si="6"/>
        <v>0</v>
      </c>
      <c r="G23" s="40"/>
      <c r="H23" s="39">
        <f t="shared" si="7"/>
        <v>0</v>
      </c>
      <c r="I23" s="1"/>
      <c r="J23" s="13">
        <v>22</v>
      </c>
      <c r="K23" s="62">
        <v>46283</v>
      </c>
      <c r="L23" s="13" t="s">
        <v>13</v>
      </c>
      <c r="M23" s="13">
        <v>3</v>
      </c>
      <c r="N23" s="13">
        <f t="shared" si="1"/>
        <v>36</v>
      </c>
      <c r="O23" s="40">
        <v>0.19</v>
      </c>
      <c r="P23" s="39">
        <f t="shared" si="4"/>
        <v>29.160000000000004</v>
      </c>
      <c r="Q23" s="1"/>
      <c r="R23" s="1"/>
      <c r="S23" s="1"/>
      <c r="T23" s="1"/>
      <c r="U23" s="1"/>
      <c r="V23" s="1"/>
    </row>
    <row r="24" spans="1:22" x14ac:dyDescent="0.3">
      <c r="A24" s="1387"/>
      <c r="B24" s="13">
        <v>24</v>
      </c>
      <c r="C24" s="62">
        <v>46284</v>
      </c>
      <c r="D24" s="13" t="s">
        <v>653</v>
      </c>
      <c r="E24" s="13"/>
      <c r="F24" s="13">
        <f t="shared" si="6"/>
        <v>0</v>
      </c>
      <c r="G24" s="40"/>
      <c r="H24" s="39">
        <f t="shared" si="7"/>
        <v>0</v>
      </c>
      <c r="J24" s="13">
        <v>23</v>
      </c>
      <c r="K24" s="62">
        <v>46284</v>
      </c>
      <c r="L24" s="13" t="s">
        <v>12</v>
      </c>
      <c r="M24" s="13">
        <v>10</v>
      </c>
      <c r="N24" s="13">
        <f t="shared" si="1"/>
        <v>120</v>
      </c>
      <c r="O24" s="40">
        <v>0.21</v>
      </c>
      <c r="P24" s="39">
        <f t="shared" si="4"/>
        <v>94.800000000000011</v>
      </c>
    </row>
    <row r="25" spans="1:22" x14ac:dyDescent="0.3">
      <c r="A25" s="1387"/>
      <c r="B25" s="13">
        <v>25</v>
      </c>
      <c r="C25" s="62">
        <v>46284</v>
      </c>
      <c r="D25" s="13" t="s">
        <v>653</v>
      </c>
      <c r="E25" s="13"/>
      <c r="F25" s="13">
        <f t="shared" si="6"/>
        <v>0</v>
      </c>
      <c r="G25" s="40"/>
      <c r="H25" s="39">
        <f t="shared" si="7"/>
        <v>0</v>
      </c>
      <c r="J25" s="13">
        <v>24</v>
      </c>
      <c r="K25" s="62">
        <v>46284</v>
      </c>
      <c r="L25" s="13" t="s">
        <v>13</v>
      </c>
      <c r="M25" s="13">
        <v>10</v>
      </c>
      <c r="N25" s="13">
        <f t="shared" si="1"/>
        <v>120</v>
      </c>
      <c r="O25" s="40">
        <v>0.21</v>
      </c>
      <c r="P25" s="39">
        <f t="shared" si="4"/>
        <v>94.800000000000011</v>
      </c>
    </row>
    <row r="26" spans="1:22" x14ac:dyDescent="0.3">
      <c r="A26" s="1387"/>
      <c r="B26" s="13">
        <v>26</v>
      </c>
      <c r="C26" s="62">
        <v>46285</v>
      </c>
      <c r="D26" s="13" t="s">
        <v>12</v>
      </c>
      <c r="E26" s="13"/>
      <c r="F26" s="13">
        <f t="shared" si="6"/>
        <v>0</v>
      </c>
      <c r="G26" s="40"/>
      <c r="H26" s="39">
        <f t="shared" si="7"/>
        <v>0</v>
      </c>
      <c r="J26" s="13">
        <v>25</v>
      </c>
      <c r="K26" s="62">
        <v>46285</v>
      </c>
      <c r="L26" s="13" t="s">
        <v>12</v>
      </c>
      <c r="M26" s="13"/>
      <c r="N26" s="13">
        <f t="shared" si="1"/>
        <v>0</v>
      </c>
      <c r="O26" s="13"/>
      <c r="P26" s="39">
        <f t="shared" si="4"/>
        <v>0</v>
      </c>
    </row>
    <row r="27" spans="1:22" x14ac:dyDescent="0.3">
      <c r="A27" s="1387"/>
      <c r="B27" s="13">
        <v>27</v>
      </c>
      <c r="C27" s="62">
        <v>46285</v>
      </c>
      <c r="D27" s="13" t="s">
        <v>13</v>
      </c>
      <c r="E27" s="13">
        <v>6</v>
      </c>
      <c r="F27" s="13">
        <f t="shared" si="6"/>
        <v>36</v>
      </c>
      <c r="G27" s="40">
        <v>0.2</v>
      </c>
      <c r="H27" s="39">
        <f>F27*(1-G27)</f>
        <v>28.8</v>
      </c>
      <c r="J27" s="13">
        <v>26</v>
      </c>
      <c r="K27" s="62">
        <v>46285</v>
      </c>
      <c r="L27" s="13" t="s">
        <v>13</v>
      </c>
      <c r="M27" s="13">
        <v>15</v>
      </c>
      <c r="N27" s="13">
        <f t="shared" si="1"/>
        <v>180</v>
      </c>
      <c r="O27" s="40">
        <v>0.21</v>
      </c>
      <c r="P27" s="39">
        <f t="shared" si="4"/>
        <v>142.20000000000002</v>
      </c>
    </row>
    <row r="28" spans="1:22" x14ac:dyDescent="0.3">
      <c r="A28" s="1387">
        <v>10</v>
      </c>
      <c r="B28" s="13">
        <v>28</v>
      </c>
      <c r="C28" s="62">
        <v>46286</v>
      </c>
      <c r="D28" s="13"/>
      <c r="E28" s="13"/>
      <c r="F28" s="13">
        <f t="shared" si="6"/>
        <v>0</v>
      </c>
      <c r="G28" s="13"/>
      <c r="H28" s="39">
        <f t="shared" si="7"/>
        <v>0</v>
      </c>
      <c r="J28" s="13">
        <v>27</v>
      </c>
      <c r="K28" s="62">
        <v>46286</v>
      </c>
      <c r="L28" s="13" t="s">
        <v>12</v>
      </c>
      <c r="M28" s="13">
        <v>10</v>
      </c>
      <c r="N28" s="13">
        <f t="shared" si="1"/>
        <v>120</v>
      </c>
      <c r="O28" s="40">
        <v>0.22</v>
      </c>
      <c r="P28" s="39">
        <f t="shared" si="4"/>
        <v>93.600000000000009</v>
      </c>
    </row>
    <row r="29" spans="1:22" x14ac:dyDescent="0.3">
      <c r="A29" s="1387"/>
      <c r="B29" s="13">
        <v>29</v>
      </c>
      <c r="C29" s="62">
        <v>46286</v>
      </c>
      <c r="D29" s="13"/>
      <c r="E29" s="13"/>
      <c r="F29" s="13">
        <f t="shared" si="6"/>
        <v>0</v>
      </c>
      <c r="G29" s="13"/>
      <c r="H29" s="39">
        <f t="shared" si="7"/>
        <v>0</v>
      </c>
      <c r="J29" s="13">
        <v>28</v>
      </c>
      <c r="K29" s="62">
        <v>46286</v>
      </c>
      <c r="L29" s="13" t="s">
        <v>13</v>
      </c>
      <c r="M29" s="13">
        <v>10</v>
      </c>
      <c r="N29" s="13">
        <f t="shared" si="1"/>
        <v>120</v>
      </c>
      <c r="O29" s="40">
        <v>0.23</v>
      </c>
      <c r="P29" s="39">
        <f t="shared" si="4"/>
        <v>92.4</v>
      </c>
    </row>
    <row r="30" spans="1:22" x14ac:dyDescent="0.3">
      <c r="A30" s="1387"/>
      <c r="B30" s="13">
        <v>30</v>
      </c>
      <c r="C30" s="62">
        <v>46287</v>
      </c>
      <c r="D30" s="13"/>
      <c r="E30" s="13"/>
      <c r="F30" s="13">
        <f t="shared" si="6"/>
        <v>0</v>
      </c>
      <c r="G30" s="13"/>
      <c r="H30" s="39">
        <f t="shared" si="7"/>
        <v>0</v>
      </c>
      <c r="J30" s="13">
        <v>29</v>
      </c>
      <c r="K30" s="62">
        <v>46287</v>
      </c>
      <c r="L30" s="13" t="s">
        <v>12</v>
      </c>
      <c r="M30" s="13">
        <v>10</v>
      </c>
      <c r="N30" s="13">
        <f t="shared" si="1"/>
        <v>120</v>
      </c>
      <c r="O30" s="40">
        <v>0.25</v>
      </c>
      <c r="P30" s="13">
        <f t="shared" si="4"/>
        <v>90</v>
      </c>
    </row>
    <row r="31" spans="1:22" x14ac:dyDescent="0.3">
      <c r="A31" s="1387"/>
      <c r="B31" s="13">
        <v>31</v>
      </c>
      <c r="C31" s="62">
        <v>46287</v>
      </c>
      <c r="D31" s="13"/>
      <c r="E31" s="13"/>
      <c r="F31" s="13">
        <f t="shared" si="6"/>
        <v>0</v>
      </c>
      <c r="G31" s="13"/>
      <c r="H31" s="39">
        <f t="shared" si="7"/>
        <v>0</v>
      </c>
      <c r="J31" s="13">
        <v>30</v>
      </c>
      <c r="K31" s="62">
        <v>46287</v>
      </c>
      <c r="L31" s="13" t="s">
        <v>13</v>
      </c>
      <c r="M31" s="13">
        <v>10</v>
      </c>
      <c r="N31" s="13">
        <f t="shared" si="1"/>
        <v>120</v>
      </c>
      <c r="O31" s="40">
        <v>0.21</v>
      </c>
      <c r="P31" s="39">
        <f t="shared" ref="P31:P39" si="8">N31*(1-O31)</f>
        <v>94.800000000000011</v>
      </c>
    </row>
    <row r="32" spans="1:22" x14ac:dyDescent="0.3">
      <c r="B32" s="13">
        <v>32</v>
      </c>
      <c r="C32" s="62">
        <v>46288</v>
      </c>
      <c r="D32" s="13"/>
      <c r="E32" s="13"/>
      <c r="F32" s="13">
        <f t="shared" si="6"/>
        <v>0</v>
      </c>
      <c r="G32" s="13"/>
      <c r="H32" s="668">
        <f t="shared" si="7"/>
        <v>0</v>
      </c>
      <c r="J32" s="13">
        <v>31</v>
      </c>
      <c r="K32" s="62">
        <v>46288</v>
      </c>
      <c r="L32" s="13" t="s">
        <v>12</v>
      </c>
      <c r="M32" s="13">
        <v>8</v>
      </c>
      <c r="N32" s="13">
        <f t="shared" si="1"/>
        <v>96</v>
      </c>
      <c r="O32" s="40">
        <v>0.21</v>
      </c>
      <c r="P32" s="39">
        <f t="shared" si="8"/>
        <v>75.84</v>
      </c>
    </row>
    <row r="33" spans="2:16" x14ac:dyDescent="0.3">
      <c r="B33" s="13">
        <v>33</v>
      </c>
      <c r="C33" s="62">
        <v>46288</v>
      </c>
      <c r="D33" s="13"/>
      <c r="E33" s="13"/>
      <c r="F33" s="13">
        <f t="shared" si="6"/>
        <v>0</v>
      </c>
      <c r="G33" s="13"/>
      <c r="H33" s="668">
        <f t="shared" si="7"/>
        <v>0</v>
      </c>
      <c r="J33" s="13">
        <v>32</v>
      </c>
      <c r="K33" s="62">
        <v>46288</v>
      </c>
      <c r="L33" s="13" t="s">
        <v>13</v>
      </c>
      <c r="M33" s="13"/>
      <c r="N33" s="13">
        <f t="shared" si="1"/>
        <v>0</v>
      </c>
      <c r="O33" s="40"/>
      <c r="P33" s="13"/>
    </row>
    <row r="34" spans="2:16" x14ac:dyDescent="0.3">
      <c r="B34" s="13">
        <v>34</v>
      </c>
      <c r="C34" s="62">
        <v>46289</v>
      </c>
      <c r="D34" s="13"/>
      <c r="E34" s="13"/>
      <c r="F34" s="13">
        <f t="shared" si="6"/>
        <v>0</v>
      </c>
      <c r="G34" s="13"/>
      <c r="H34" s="668">
        <f t="shared" si="7"/>
        <v>0</v>
      </c>
      <c r="J34" s="13">
        <v>33</v>
      </c>
      <c r="K34" s="62">
        <v>46290</v>
      </c>
      <c r="L34" s="13" t="s">
        <v>12</v>
      </c>
      <c r="M34" s="13"/>
      <c r="N34" s="13">
        <f t="shared" si="1"/>
        <v>0</v>
      </c>
      <c r="O34" s="40"/>
      <c r="P34" s="13"/>
    </row>
    <row r="35" spans="2:16" x14ac:dyDescent="0.3">
      <c r="B35" s="13">
        <v>35</v>
      </c>
      <c r="C35" s="62">
        <v>46289</v>
      </c>
      <c r="D35" s="13"/>
      <c r="E35" s="13"/>
      <c r="F35" s="13">
        <f t="shared" si="6"/>
        <v>0</v>
      </c>
      <c r="G35" s="13"/>
      <c r="H35" s="668">
        <f t="shared" si="7"/>
        <v>0</v>
      </c>
      <c r="J35" s="13">
        <v>34</v>
      </c>
      <c r="K35" s="62">
        <v>46290</v>
      </c>
      <c r="L35" s="13" t="s">
        <v>13</v>
      </c>
      <c r="M35" s="13">
        <v>5</v>
      </c>
      <c r="N35" s="13">
        <f t="shared" si="1"/>
        <v>60</v>
      </c>
      <c r="O35" s="882">
        <v>0.24</v>
      </c>
      <c r="P35" s="39">
        <f t="shared" si="8"/>
        <v>45.6</v>
      </c>
    </row>
    <row r="36" spans="2:16" x14ac:dyDescent="0.3">
      <c r="B36" s="13">
        <v>36</v>
      </c>
      <c r="C36" s="62">
        <v>46290</v>
      </c>
      <c r="D36" s="13" t="s">
        <v>12</v>
      </c>
      <c r="E36" s="13">
        <v>4</v>
      </c>
      <c r="F36" s="13">
        <f t="shared" si="6"/>
        <v>24</v>
      </c>
      <c r="G36" s="40">
        <v>0.24</v>
      </c>
      <c r="H36" s="668">
        <f t="shared" si="7"/>
        <v>18.240000000000002</v>
      </c>
      <c r="J36" s="13">
        <v>35</v>
      </c>
      <c r="K36" s="62">
        <v>46291</v>
      </c>
      <c r="L36" s="13" t="s">
        <v>12</v>
      </c>
      <c r="M36" s="13">
        <v>4</v>
      </c>
      <c r="N36" s="13">
        <f t="shared" si="1"/>
        <v>48</v>
      </c>
      <c r="O36" s="882">
        <v>0.24</v>
      </c>
      <c r="P36" s="39">
        <f t="shared" si="8"/>
        <v>36.480000000000004</v>
      </c>
    </row>
    <row r="37" spans="2:16" x14ac:dyDescent="0.3">
      <c r="B37" s="13">
        <v>37</v>
      </c>
      <c r="C37" s="62">
        <v>46290</v>
      </c>
      <c r="D37" s="13" t="s">
        <v>13</v>
      </c>
      <c r="E37" s="13">
        <v>15</v>
      </c>
      <c r="F37" s="13">
        <f t="shared" ref="F37:F100" si="9">E37*$R$4</f>
        <v>90</v>
      </c>
      <c r="G37" s="40">
        <v>0.24</v>
      </c>
      <c r="H37" s="668">
        <f t="shared" si="7"/>
        <v>68.400000000000006</v>
      </c>
      <c r="J37" s="13">
        <v>36</v>
      </c>
      <c r="K37" s="62">
        <v>46291</v>
      </c>
      <c r="L37" s="13" t="s">
        <v>13</v>
      </c>
      <c r="M37" s="13">
        <v>13</v>
      </c>
      <c r="N37" s="13">
        <f t="shared" si="1"/>
        <v>156</v>
      </c>
      <c r="O37" s="882">
        <v>0.24</v>
      </c>
      <c r="P37" s="39">
        <f t="shared" si="8"/>
        <v>118.56</v>
      </c>
    </row>
    <row r="38" spans="2:16" x14ac:dyDescent="0.3">
      <c r="B38" s="13">
        <v>38</v>
      </c>
      <c r="C38" s="62">
        <v>46291</v>
      </c>
      <c r="D38" s="13" t="s">
        <v>12</v>
      </c>
      <c r="E38" s="13">
        <v>9</v>
      </c>
      <c r="F38" s="13">
        <f t="shared" si="9"/>
        <v>54</v>
      </c>
      <c r="G38" s="40">
        <v>0.24</v>
      </c>
      <c r="H38" s="668">
        <f t="shared" si="7"/>
        <v>41.04</v>
      </c>
      <c r="J38" s="13">
        <v>37</v>
      </c>
      <c r="K38" s="62">
        <v>46292</v>
      </c>
      <c r="L38" s="13" t="s">
        <v>12</v>
      </c>
      <c r="M38" s="13"/>
      <c r="N38" s="13">
        <f t="shared" si="1"/>
        <v>0</v>
      </c>
      <c r="O38" s="882"/>
      <c r="P38" s="39"/>
    </row>
    <row r="39" spans="2:16" x14ac:dyDescent="0.3">
      <c r="B39" s="13">
        <v>39</v>
      </c>
      <c r="C39" s="62">
        <v>46291</v>
      </c>
      <c r="D39" s="13" t="s">
        <v>13</v>
      </c>
      <c r="E39" s="13">
        <v>8</v>
      </c>
      <c r="F39" s="13">
        <f t="shared" si="9"/>
        <v>48</v>
      </c>
      <c r="G39" s="40">
        <v>0.25</v>
      </c>
      <c r="H39" s="668">
        <f t="shared" si="7"/>
        <v>36</v>
      </c>
      <c r="J39" s="13">
        <v>38</v>
      </c>
      <c r="K39" s="62">
        <v>46292</v>
      </c>
      <c r="L39" s="13" t="s">
        <v>13</v>
      </c>
      <c r="M39" s="13">
        <v>3</v>
      </c>
      <c r="N39" s="13">
        <f t="shared" si="1"/>
        <v>36</v>
      </c>
      <c r="O39" s="882">
        <v>0.24</v>
      </c>
      <c r="P39" s="39">
        <f t="shared" si="8"/>
        <v>27.36</v>
      </c>
    </row>
    <row r="40" spans="2:16" x14ac:dyDescent="0.3">
      <c r="B40" s="13">
        <v>40</v>
      </c>
      <c r="C40" s="62">
        <v>46292</v>
      </c>
      <c r="D40" s="13" t="s">
        <v>12</v>
      </c>
      <c r="E40" s="13"/>
      <c r="F40" s="13">
        <f t="shared" si="9"/>
        <v>0</v>
      </c>
      <c r="G40" s="13"/>
      <c r="H40" s="668">
        <f t="shared" si="7"/>
        <v>0</v>
      </c>
      <c r="J40" s="13">
        <v>39</v>
      </c>
      <c r="K40" s="62">
        <v>46293</v>
      </c>
      <c r="L40" s="13" t="s">
        <v>12</v>
      </c>
      <c r="M40" s="13">
        <v>8</v>
      </c>
      <c r="N40" s="13">
        <f t="shared" ref="N40:N44" si="10">M40*$S$4</f>
        <v>96</v>
      </c>
      <c r="O40" s="243">
        <v>0.23</v>
      </c>
      <c r="P40" s="13">
        <f t="shared" ref="P40:P44" si="11">N40*(1-O40)</f>
        <v>73.92</v>
      </c>
    </row>
    <row r="41" spans="2:16" x14ac:dyDescent="0.3">
      <c r="B41" s="13">
        <v>41</v>
      </c>
      <c r="C41" s="62">
        <v>46292</v>
      </c>
      <c r="D41" s="13" t="s">
        <v>13</v>
      </c>
      <c r="E41" s="13">
        <v>5</v>
      </c>
      <c r="F41" s="13">
        <f t="shared" si="9"/>
        <v>30</v>
      </c>
      <c r="G41" s="40">
        <v>0.25</v>
      </c>
      <c r="H41" s="668">
        <f t="shared" si="7"/>
        <v>22.5</v>
      </c>
      <c r="J41" s="13">
        <v>40</v>
      </c>
      <c r="K41" s="62">
        <v>46293</v>
      </c>
      <c r="L41" s="13" t="s">
        <v>13</v>
      </c>
      <c r="M41" s="13">
        <v>8</v>
      </c>
      <c r="N41" s="13">
        <f t="shared" si="10"/>
        <v>96</v>
      </c>
      <c r="O41" s="243">
        <v>0.23</v>
      </c>
      <c r="P41" s="13">
        <f t="shared" si="11"/>
        <v>73.92</v>
      </c>
    </row>
    <row r="42" spans="2:16" x14ac:dyDescent="0.3">
      <c r="B42" s="13">
        <v>42</v>
      </c>
      <c r="C42" s="62">
        <v>46293</v>
      </c>
      <c r="D42" s="13" t="s">
        <v>12</v>
      </c>
      <c r="E42" s="13">
        <v>4</v>
      </c>
      <c r="F42" s="13">
        <f t="shared" si="9"/>
        <v>24</v>
      </c>
      <c r="G42" s="40">
        <v>0.23</v>
      </c>
      <c r="H42" s="668">
        <f t="shared" si="7"/>
        <v>18.48</v>
      </c>
      <c r="J42" s="13">
        <v>41</v>
      </c>
      <c r="K42" s="62">
        <v>46294</v>
      </c>
      <c r="L42" s="13" t="s">
        <v>12</v>
      </c>
      <c r="M42" s="13">
        <v>10</v>
      </c>
      <c r="N42" s="13">
        <f t="shared" si="10"/>
        <v>120</v>
      </c>
      <c r="O42" s="243">
        <v>0.23</v>
      </c>
      <c r="P42" s="13">
        <f t="shared" si="11"/>
        <v>92.4</v>
      </c>
    </row>
    <row r="43" spans="2:16" x14ac:dyDescent="0.3">
      <c r="B43" s="13">
        <v>43</v>
      </c>
      <c r="C43" s="62">
        <v>46293</v>
      </c>
      <c r="D43" s="13" t="s">
        <v>13</v>
      </c>
      <c r="E43" s="13">
        <v>5</v>
      </c>
      <c r="F43" s="13">
        <f t="shared" si="9"/>
        <v>30</v>
      </c>
      <c r="G43" s="40">
        <v>0.23</v>
      </c>
      <c r="H43" s="668">
        <f t="shared" si="7"/>
        <v>23.1</v>
      </c>
      <c r="J43" s="13">
        <v>42</v>
      </c>
      <c r="K43" s="62">
        <v>46294</v>
      </c>
      <c r="L43" s="13" t="s">
        <v>13</v>
      </c>
      <c r="M43" s="13">
        <v>7</v>
      </c>
      <c r="N43" s="13">
        <f t="shared" si="10"/>
        <v>84</v>
      </c>
      <c r="O43" s="40">
        <v>0.23</v>
      </c>
      <c r="P43" s="13">
        <f t="shared" si="11"/>
        <v>64.680000000000007</v>
      </c>
    </row>
    <row r="44" spans="2:16" x14ac:dyDescent="0.3">
      <c r="B44" s="13">
        <v>44</v>
      </c>
      <c r="C44" s="62">
        <v>46294</v>
      </c>
      <c r="D44" s="13" t="s">
        <v>12</v>
      </c>
      <c r="E44" s="13"/>
      <c r="F44" s="13">
        <f t="shared" si="9"/>
        <v>0</v>
      </c>
      <c r="G44" s="13"/>
      <c r="H44" s="668">
        <f t="shared" si="7"/>
        <v>0</v>
      </c>
      <c r="J44" s="13">
        <v>43</v>
      </c>
      <c r="K44" s="62">
        <v>46295</v>
      </c>
      <c r="L44" s="13" t="s">
        <v>12</v>
      </c>
      <c r="M44" s="13">
        <v>8</v>
      </c>
      <c r="N44" s="13">
        <f t="shared" si="10"/>
        <v>96</v>
      </c>
      <c r="O44" s="40">
        <v>0.21</v>
      </c>
      <c r="P44" s="13">
        <f t="shared" si="11"/>
        <v>75.84</v>
      </c>
    </row>
    <row r="45" spans="2:16" x14ac:dyDescent="0.3">
      <c r="B45" s="13">
        <v>45</v>
      </c>
      <c r="C45" s="62">
        <v>46294</v>
      </c>
      <c r="D45" s="13" t="s">
        <v>13</v>
      </c>
      <c r="E45" s="13">
        <v>7</v>
      </c>
      <c r="F45" s="13">
        <f t="shared" si="9"/>
        <v>42</v>
      </c>
      <c r="G45" s="40">
        <v>0.23</v>
      </c>
      <c r="H45" s="668">
        <f t="shared" si="7"/>
        <v>32.340000000000003</v>
      </c>
      <c r="J45" s="13">
        <v>44</v>
      </c>
      <c r="K45" s="62">
        <v>46295</v>
      </c>
      <c r="L45" s="13" t="s">
        <v>13</v>
      </c>
      <c r="M45" s="13"/>
      <c r="N45" s="13">
        <f t="shared" ref="N45:N49" si="12">M45*$S$4</f>
        <v>0</v>
      </c>
      <c r="O45" s="13"/>
      <c r="P45" s="13">
        <f t="shared" ref="P45:P47" si="13">N45*(1-O45)</f>
        <v>0</v>
      </c>
    </row>
    <row r="46" spans="2:16" x14ac:dyDescent="0.3">
      <c r="B46" s="13">
        <v>46</v>
      </c>
      <c r="C46" s="62">
        <v>46295</v>
      </c>
      <c r="D46" s="13" t="s">
        <v>12</v>
      </c>
      <c r="E46" s="13">
        <v>3</v>
      </c>
      <c r="F46" s="13">
        <f t="shared" si="9"/>
        <v>18</v>
      </c>
      <c r="G46" s="40">
        <v>0.21</v>
      </c>
      <c r="H46" s="668">
        <f t="shared" si="7"/>
        <v>14.22</v>
      </c>
      <c r="J46" s="13">
        <v>45</v>
      </c>
      <c r="K46" s="62">
        <v>46297</v>
      </c>
      <c r="L46" s="13" t="s">
        <v>12</v>
      </c>
      <c r="M46" s="13">
        <v>1</v>
      </c>
      <c r="N46" s="13">
        <f t="shared" si="12"/>
        <v>12</v>
      </c>
      <c r="O46" s="40">
        <v>0.22</v>
      </c>
      <c r="P46" s="13">
        <f t="shared" si="13"/>
        <v>9.36</v>
      </c>
    </row>
    <row r="47" spans="2:16" x14ac:dyDescent="0.3">
      <c r="B47" s="13">
        <v>47</v>
      </c>
      <c r="C47" s="62">
        <v>46295</v>
      </c>
      <c r="D47" s="13" t="s">
        <v>13</v>
      </c>
      <c r="E47" s="13">
        <v>1</v>
      </c>
      <c r="F47" s="13">
        <f>E47*$R$4</f>
        <v>6</v>
      </c>
      <c r="G47" s="40">
        <v>0.21</v>
      </c>
      <c r="H47" s="668">
        <f>F47*(1-G47)</f>
        <v>4.74</v>
      </c>
      <c r="J47" s="13">
        <v>46</v>
      </c>
      <c r="K47" s="62">
        <v>46297</v>
      </c>
      <c r="L47" s="13" t="s">
        <v>13</v>
      </c>
      <c r="M47" s="13">
        <v>10</v>
      </c>
      <c r="N47" s="13">
        <f t="shared" si="12"/>
        <v>120</v>
      </c>
      <c r="O47" s="243">
        <v>0.22</v>
      </c>
      <c r="P47" s="6">
        <f t="shared" si="13"/>
        <v>93.600000000000009</v>
      </c>
    </row>
    <row r="48" spans="2:16" x14ac:dyDescent="0.3">
      <c r="B48" s="13">
        <v>48</v>
      </c>
      <c r="C48" s="6"/>
      <c r="D48" s="13"/>
      <c r="E48" s="13"/>
      <c r="F48" s="13">
        <f t="shared" si="9"/>
        <v>0</v>
      </c>
      <c r="G48" s="13"/>
      <c r="H48" s="668">
        <f t="shared" si="7"/>
        <v>0</v>
      </c>
      <c r="J48" s="13">
        <v>47</v>
      </c>
      <c r="K48" s="62">
        <v>46298</v>
      </c>
      <c r="L48" s="13" t="s">
        <v>12</v>
      </c>
      <c r="M48" s="13">
        <v>12</v>
      </c>
      <c r="N48" s="13">
        <f t="shared" si="12"/>
        <v>144</v>
      </c>
      <c r="O48" s="243">
        <v>0.21</v>
      </c>
      <c r="P48" s="6">
        <f t="shared" ref="P48:P49" si="14">N48*(1-O48)</f>
        <v>113.76</v>
      </c>
    </row>
    <row r="49" spans="2:16" x14ac:dyDescent="0.3">
      <c r="B49" s="13">
        <v>49</v>
      </c>
      <c r="C49" s="6"/>
      <c r="D49" s="13"/>
      <c r="E49" s="13"/>
      <c r="F49" s="13">
        <f t="shared" si="9"/>
        <v>0</v>
      </c>
      <c r="G49" s="13"/>
      <c r="H49" s="668">
        <f t="shared" si="7"/>
        <v>0</v>
      </c>
      <c r="J49" s="13">
        <v>48</v>
      </c>
      <c r="K49" s="62">
        <v>46298</v>
      </c>
      <c r="L49" s="13" t="s">
        <v>13</v>
      </c>
      <c r="M49" s="13">
        <v>15</v>
      </c>
      <c r="N49" s="13">
        <f t="shared" si="12"/>
        <v>180</v>
      </c>
      <c r="O49" s="243">
        <v>0.21</v>
      </c>
      <c r="P49" s="6">
        <f t="shared" si="14"/>
        <v>142.20000000000002</v>
      </c>
    </row>
    <row r="50" spans="2:16" x14ac:dyDescent="0.3">
      <c r="B50" s="13">
        <v>50</v>
      </c>
      <c r="C50" s="6"/>
      <c r="D50" s="13"/>
      <c r="E50" s="13"/>
      <c r="F50" s="13">
        <f t="shared" si="9"/>
        <v>0</v>
      </c>
      <c r="G50" s="13"/>
      <c r="H50" s="668">
        <f t="shared" si="7"/>
        <v>0</v>
      </c>
      <c r="J50" s="13">
        <v>49</v>
      </c>
      <c r="K50" s="6"/>
      <c r="L50" s="13" t="s">
        <v>12</v>
      </c>
      <c r="M50" s="13"/>
      <c r="N50" s="6"/>
      <c r="O50" s="6"/>
      <c r="P50" s="6"/>
    </row>
    <row r="51" spans="2:16" x14ac:dyDescent="0.3">
      <c r="B51" s="13">
        <v>51</v>
      </c>
      <c r="C51" s="6"/>
      <c r="D51" s="13"/>
      <c r="E51" s="13"/>
      <c r="F51" s="13">
        <f t="shared" si="9"/>
        <v>0</v>
      </c>
      <c r="G51" s="13"/>
      <c r="H51" s="668">
        <f t="shared" si="7"/>
        <v>0</v>
      </c>
      <c r="J51" s="13">
        <v>50</v>
      </c>
      <c r="K51" s="6"/>
      <c r="L51" s="13" t="s">
        <v>13</v>
      </c>
      <c r="M51" s="13"/>
      <c r="N51" s="6"/>
      <c r="O51" s="6"/>
      <c r="P51" s="6"/>
    </row>
    <row r="52" spans="2:16" x14ac:dyDescent="0.3">
      <c r="B52" s="13">
        <v>52</v>
      </c>
      <c r="C52" s="6"/>
      <c r="D52" s="13"/>
      <c r="E52" s="13"/>
      <c r="F52" s="13">
        <f t="shared" si="9"/>
        <v>0</v>
      </c>
      <c r="G52" s="13"/>
      <c r="H52" s="668">
        <f t="shared" si="7"/>
        <v>0</v>
      </c>
      <c r="J52" s="13">
        <v>51</v>
      </c>
      <c r="K52" s="6"/>
      <c r="L52" s="13" t="s">
        <v>12</v>
      </c>
      <c r="M52" s="13"/>
      <c r="N52" s="6"/>
      <c r="O52" s="6"/>
      <c r="P52" s="6"/>
    </row>
    <row r="53" spans="2:16" x14ac:dyDescent="0.3">
      <c r="B53" s="13">
        <v>53</v>
      </c>
      <c r="C53" s="6"/>
      <c r="D53" s="13"/>
      <c r="E53" s="13"/>
      <c r="F53" s="13">
        <f t="shared" si="9"/>
        <v>0</v>
      </c>
      <c r="G53" s="13"/>
      <c r="H53" s="668">
        <f t="shared" si="7"/>
        <v>0</v>
      </c>
      <c r="J53" s="13">
        <v>52</v>
      </c>
      <c r="K53" s="6"/>
      <c r="L53" s="13" t="s">
        <v>13</v>
      </c>
      <c r="M53" s="13"/>
      <c r="N53" s="6"/>
      <c r="O53" s="6"/>
      <c r="P53" s="6"/>
    </row>
    <row r="54" spans="2:16" x14ac:dyDescent="0.3">
      <c r="B54" s="13">
        <v>54</v>
      </c>
      <c r="C54" s="6"/>
      <c r="D54" s="13"/>
      <c r="E54" s="13"/>
      <c r="F54" s="13">
        <f t="shared" si="9"/>
        <v>0</v>
      </c>
      <c r="G54" s="13"/>
      <c r="H54" s="668">
        <f t="shared" si="7"/>
        <v>0</v>
      </c>
      <c r="J54" s="13">
        <v>53</v>
      </c>
      <c r="K54" s="6"/>
      <c r="L54" s="13" t="s">
        <v>12</v>
      </c>
      <c r="M54" s="13"/>
      <c r="N54" s="6"/>
      <c r="O54" s="6"/>
      <c r="P54" s="6"/>
    </row>
    <row r="55" spans="2:16" x14ac:dyDescent="0.3">
      <c r="B55" s="13">
        <v>55</v>
      </c>
      <c r="C55" s="6"/>
      <c r="D55" s="13"/>
      <c r="E55" s="13"/>
      <c r="F55" s="13">
        <f t="shared" si="9"/>
        <v>0</v>
      </c>
      <c r="G55" s="13"/>
      <c r="H55" s="668">
        <f t="shared" si="7"/>
        <v>0</v>
      </c>
      <c r="J55" s="13">
        <v>54</v>
      </c>
      <c r="K55" s="6"/>
      <c r="L55" s="13" t="s">
        <v>13</v>
      </c>
      <c r="M55" s="13"/>
      <c r="N55" s="6"/>
      <c r="O55" s="6"/>
      <c r="P55" s="6"/>
    </row>
    <row r="56" spans="2:16" x14ac:dyDescent="0.3">
      <c r="B56" s="13">
        <v>56</v>
      </c>
      <c r="C56" s="6"/>
      <c r="D56" s="13"/>
      <c r="E56" s="13"/>
      <c r="F56" s="13">
        <f t="shared" si="9"/>
        <v>0</v>
      </c>
      <c r="G56" s="13"/>
      <c r="H56" s="668">
        <f t="shared" si="7"/>
        <v>0</v>
      </c>
      <c r="J56" s="13">
        <v>55</v>
      </c>
      <c r="K56" s="6"/>
      <c r="L56" s="13" t="s">
        <v>12</v>
      </c>
      <c r="M56" s="13"/>
      <c r="N56" s="6"/>
      <c r="O56" s="6"/>
      <c r="P56" s="6"/>
    </row>
    <row r="57" spans="2:16" x14ac:dyDescent="0.3">
      <c r="B57" s="13">
        <v>57</v>
      </c>
      <c r="C57" s="6"/>
      <c r="D57" s="13"/>
      <c r="E57" s="13"/>
      <c r="F57" s="13">
        <f t="shared" si="9"/>
        <v>0</v>
      </c>
      <c r="G57" s="13"/>
      <c r="H57" s="668">
        <f t="shared" si="7"/>
        <v>0</v>
      </c>
      <c r="J57" s="13">
        <v>56</v>
      </c>
      <c r="K57" s="6"/>
      <c r="L57" s="13" t="s">
        <v>13</v>
      </c>
      <c r="M57" s="13"/>
      <c r="N57" s="6"/>
      <c r="O57" s="6"/>
      <c r="P57" s="6"/>
    </row>
    <row r="58" spans="2:16" x14ac:dyDescent="0.3">
      <c r="B58" s="13">
        <v>58</v>
      </c>
      <c r="C58" s="6"/>
      <c r="D58" s="13"/>
      <c r="E58" s="13"/>
      <c r="F58" s="13">
        <f t="shared" si="9"/>
        <v>0</v>
      </c>
      <c r="G58" s="13"/>
      <c r="H58" s="668">
        <f t="shared" si="7"/>
        <v>0</v>
      </c>
      <c r="J58" s="13">
        <v>57</v>
      </c>
      <c r="K58" s="6"/>
      <c r="L58" s="13" t="s">
        <v>12</v>
      </c>
      <c r="M58" s="13"/>
      <c r="N58" s="6"/>
      <c r="O58" s="6"/>
      <c r="P58" s="6"/>
    </row>
    <row r="59" spans="2:16" x14ac:dyDescent="0.3">
      <c r="B59" s="13">
        <v>59</v>
      </c>
      <c r="C59" s="6"/>
      <c r="D59" s="13"/>
      <c r="E59" s="13"/>
      <c r="F59" s="13">
        <f t="shared" si="9"/>
        <v>0</v>
      </c>
      <c r="G59" s="13"/>
      <c r="H59" s="668">
        <f t="shared" si="7"/>
        <v>0</v>
      </c>
      <c r="J59" s="13">
        <v>58</v>
      </c>
      <c r="K59" s="6"/>
      <c r="L59" s="13" t="s">
        <v>13</v>
      </c>
      <c r="M59" s="13"/>
      <c r="N59" s="6"/>
      <c r="O59" s="6"/>
      <c r="P59" s="6"/>
    </row>
    <row r="60" spans="2:16" x14ac:dyDescent="0.3">
      <c r="B60" s="13">
        <v>60</v>
      </c>
      <c r="C60" s="6"/>
      <c r="D60" s="13"/>
      <c r="E60" s="13"/>
      <c r="F60" s="13">
        <f t="shared" si="9"/>
        <v>0</v>
      </c>
      <c r="G60" s="13"/>
      <c r="H60" s="668">
        <f t="shared" si="7"/>
        <v>0</v>
      </c>
      <c r="J60" s="13">
        <v>59</v>
      </c>
      <c r="K60" s="6"/>
      <c r="L60" s="13" t="s">
        <v>12</v>
      </c>
      <c r="M60" s="13"/>
      <c r="N60" s="6"/>
      <c r="O60" s="6"/>
      <c r="P60" s="6"/>
    </row>
    <row r="61" spans="2:16" x14ac:dyDescent="0.3">
      <c r="B61" s="13">
        <v>61</v>
      </c>
      <c r="C61" s="6"/>
      <c r="D61" s="13"/>
      <c r="E61" s="13"/>
      <c r="F61" s="13">
        <f t="shared" si="9"/>
        <v>0</v>
      </c>
      <c r="G61" s="13"/>
      <c r="H61" s="668">
        <f t="shared" si="7"/>
        <v>0</v>
      </c>
      <c r="J61" s="13">
        <v>60</v>
      </c>
      <c r="K61" s="6"/>
      <c r="L61" s="13" t="s">
        <v>13</v>
      </c>
      <c r="M61" s="13"/>
      <c r="N61" s="6"/>
      <c r="O61" s="6"/>
      <c r="P61" s="6"/>
    </row>
    <row r="62" spans="2:16" x14ac:dyDescent="0.3">
      <c r="B62" s="13">
        <v>62</v>
      </c>
      <c r="C62" s="6"/>
      <c r="D62" s="13"/>
      <c r="E62" s="13"/>
      <c r="F62" s="13">
        <f t="shared" si="9"/>
        <v>0</v>
      </c>
      <c r="G62" s="13"/>
      <c r="H62" s="668">
        <f t="shared" si="7"/>
        <v>0</v>
      </c>
      <c r="J62" s="13">
        <v>61</v>
      </c>
      <c r="K62" s="6"/>
      <c r="L62" s="13" t="s">
        <v>12</v>
      </c>
      <c r="M62" s="13"/>
      <c r="N62" s="6"/>
      <c r="O62" s="6"/>
      <c r="P62" s="6"/>
    </row>
    <row r="63" spans="2:16" x14ac:dyDescent="0.3">
      <c r="B63" s="13">
        <v>63</v>
      </c>
      <c r="C63" s="6"/>
      <c r="D63" s="13"/>
      <c r="E63" s="13"/>
      <c r="F63" s="13">
        <f t="shared" si="9"/>
        <v>0</v>
      </c>
      <c r="G63" s="13"/>
      <c r="H63" s="668">
        <f t="shared" si="7"/>
        <v>0</v>
      </c>
      <c r="J63" s="13">
        <v>62</v>
      </c>
      <c r="K63" s="6"/>
      <c r="L63" s="13" t="s">
        <v>13</v>
      </c>
      <c r="M63" s="13"/>
      <c r="N63" s="6"/>
      <c r="O63" s="6"/>
      <c r="P63" s="6"/>
    </row>
    <row r="64" spans="2:16" x14ac:dyDescent="0.3">
      <c r="B64" s="13">
        <v>64</v>
      </c>
      <c r="C64" s="6"/>
      <c r="D64" s="13"/>
      <c r="E64" s="13"/>
      <c r="F64" s="13">
        <f t="shared" si="9"/>
        <v>0</v>
      </c>
      <c r="G64" s="13"/>
      <c r="H64" s="668">
        <f t="shared" si="7"/>
        <v>0</v>
      </c>
      <c r="J64" s="13">
        <v>63</v>
      </c>
      <c r="K64" s="6"/>
      <c r="L64" s="13" t="s">
        <v>12</v>
      </c>
      <c r="M64" s="13"/>
      <c r="N64" s="6"/>
      <c r="O64" s="6"/>
      <c r="P64" s="6"/>
    </row>
    <row r="65" spans="2:16" x14ac:dyDescent="0.3">
      <c r="B65" s="13">
        <v>65</v>
      </c>
      <c r="C65" s="6"/>
      <c r="D65" s="13"/>
      <c r="E65" s="13"/>
      <c r="F65" s="13">
        <f t="shared" si="9"/>
        <v>0</v>
      </c>
      <c r="G65" s="13"/>
      <c r="H65" s="668">
        <f t="shared" si="7"/>
        <v>0</v>
      </c>
      <c r="J65" s="13">
        <v>64</v>
      </c>
      <c r="K65" s="6"/>
      <c r="L65" s="13" t="s">
        <v>13</v>
      </c>
      <c r="M65" s="13"/>
      <c r="N65" s="6"/>
      <c r="O65" s="6"/>
      <c r="P65" s="6"/>
    </row>
    <row r="66" spans="2:16" x14ac:dyDescent="0.3">
      <c r="B66" s="13">
        <v>66</v>
      </c>
      <c r="C66" s="6"/>
      <c r="D66" s="13"/>
      <c r="E66" s="13"/>
      <c r="F66" s="13">
        <f t="shared" si="9"/>
        <v>0</v>
      </c>
      <c r="G66" s="13"/>
      <c r="H66" s="668">
        <f t="shared" si="7"/>
        <v>0</v>
      </c>
      <c r="J66" s="13">
        <v>65</v>
      </c>
      <c r="K66" s="6"/>
      <c r="L66" s="13" t="s">
        <v>12</v>
      </c>
      <c r="M66" s="13"/>
      <c r="N66" s="6"/>
      <c r="O66" s="6"/>
      <c r="P66" s="6"/>
    </row>
    <row r="67" spans="2:16" x14ac:dyDescent="0.3">
      <c r="B67" s="13">
        <v>67</v>
      </c>
      <c r="C67" s="6"/>
      <c r="D67" s="13"/>
      <c r="E67" s="13"/>
      <c r="F67" s="13">
        <f t="shared" si="9"/>
        <v>0</v>
      </c>
      <c r="G67" s="13"/>
      <c r="H67" s="668">
        <f t="shared" si="7"/>
        <v>0</v>
      </c>
      <c r="J67" s="13">
        <v>66</v>
      </c>
      <c r="K67" s="6"/>
      <c r="L67" s="13" t="s">
        <v>13</v>
      </c>
      <c r="M67" s="13"/>
      <c r="N67" s="6"/>
      <c r="O67" s="6"/>
      <c r="P67" s="6"/>
    </row>
    <row r="68" spans="2:16" x14ac:dyDescent="0.3">
      <c r="B68" s="13">
        <v>68</v>
      </c>
      <c r="C68" s="6"/>
      <c r="D68" s="13"/>
      <c r="E68" s="13"/>
      <c r="F68" s="13">
        <f t="shared" si="9"/>
        <v>0</v>
      </c>
      <c r="G68" s="13"/>
      <c r="H68" s="668">
        <f t="shared" si="7"/>
        <v>0</v>
      </c>
      <c r="J68" s="13">
        <v>67</v>
      </c>
      <c r="K68" s="6"/>
      <c r="L68" s="13" t="s">
        <v>12</v>
      </c>
      <c r="M68" s="13"/>
      <c r="N68" s="6"/>
      <c r="O68" s="6"/>
      <c r="P68" s="6"/>
    </row>
    <row r="69" spans="2:16" x14ac:dyDescent="0.3">
      <c r="B69" s="13">
        <v>69</v>
      </c>
      <c r="C69" s="6"/>
      <c r="D69" s="13"/>
      <c r="E69" s="13"/>
      <c r="F69" s="13">
        <f t="shared" si="9"/>
        <v>0</v>
      </c>
      <c r="G69" s="13"/>
      <c r="H69" s="668">
        <f t="shared" si="7"/>
        <v>0</v>
      </c>
      <c r="J69" s="13">
        <v>68</v>
      </c>
      <c r="K69" s="6"/>
      <c r="L69" s="13" t="s">
        <v>13</v>
      </c>
      <c r="M69" s="13"/>
      <c r="N69" s="6"/>
      <c r="O69" s="6"/>
      <c r="P69" s="6"/>
    </row>
    <row r="70" spans="2:16" x14ac:dyDescent="0.3">
      <c r="B70" s="13">
        <v>70</v>
      </c>
      <c r="C70" s="6"/>
      <c r="D70" s="13"/>
      <c r="E70" s="13"/>
      <c r="F70" s="13">
        <f t="shared" si="9"/>
        <v>0</v>
      </c>
      <c r="G70" s="13"/>
      <c r="H70" s="668">
        <f t="shared" si="7"/>
        <v>0</v>
      </c>
      <c r="J70" s="13">
        <v>69</v>
      </c>
      <c r="K70" s="6"/>
      <c r="L70" s="13" t="s">
        <v>12</v>
      </c>
      <c r="M70" s="13"/>
      <c r="N70" s="6"/>
      <c r="O70" s="6"/>
      <c r="P70" s="6"/>
    </row>
    <row r="71" spans="2:16" x14ac:dyDescent="0.3">
      <c r="B71" s="13">
        <v>71</v>
      </c>
      <c r="C71" s="6"/>
      <c r="D71" s="13"/>
      <c r="E71" s="13"/>
      <c r="F71" s="13">
        <f t="shared" si="9"/>
        <v>0</v>
      </c>
      <c r="G71" s="13"/>
      <c r="H71" s="668">
        <f t="shared" si="7"/>
        <v>0</v>
      </c>
      <c r="J71" s="13">
        <v>70</v>
      </c>
      <c r="K71" s="6"/>
      <c r="L71" s="13" t="s">
        <v>13</v>
      </c>
      <c r="M71" s="13"/>
      <c r="N71" s="6"/>
      <c r="O71" s="6"/>
      <c r="P71" s="6"/>
    </row>
    <row r="72" spans="2:16" x14ac:dyDescent="0.3">
      <c r="B72" s="13">
        <v>72</v>
      </c>
      <c r="C72" s="6"/>
      <c r="D72" s="13"/>
      <c r="E72" s="13"/>
      <c r="F72" s="13">
        <f t="shared" si="9"/>
        <v>0</v>
      </c>
      <c r="G72" s="13"/>
      <c r="H72" s="668">
        <f t="shared" si="7"/>
        <v>0</v>
      </c>
      <c r="J72" s="13">
        <v>71</v>
      </c>
      <c r="K72" s="6"/>
      <c r="L72" s="13" t="s">
        <v>12</v>
      </c>
      <c r="M72" s="13"/>
      <c r="N72" s="6"/>
      <c r="O72" s="6"/>
      <c r="P72" s="6"/>
    </row>
    <row r="73" spans="2:16" x14ac:dyDescent="0.3">
      <c r="B73" s="13">
        <v>73</v>
      </c>
      <c r="C73" s="6"/>
      <c r="D73" s="13"/>
      <c r="E73" s="13"/>
      <c r="F73" s="13">
        <f t="shared" si="9"/>
        <v>0</v>
      </c>
      <c r="G73" s="13"/>
      <c r="H73" s="668">
        <f t="shared" si="7"/>
        <v>0</v>
      </c>
      <c r="J73" s="13">
        <v>72</v>
      </c>
      <c r="K73" s="6"/>
      <c r="L73" s="13" t="s">
        <v>13</v>
      </c>
      <c r="M73" s="13"/>
      <c r="N73" s="6"/>
      <c r="O73" s="6"/>
      <c r="P73" s="6"/>
    </row>
    <row r="74" spans="2:16" x14ac:dyDescent="0.3">
      <c r="B74" s="13">
        <v>74</v>
      </c>
      <c r="C74" s="6"/>
      <c r="D74" s="13"/>
      <c r="E74" s="13"/>
      <c r="F74" s="13">
        <f t="shared" si="9"/>
        <v>0</v>
      </c>
      <c r="G74" s="13"/>
      <c r="H74" s="668">
        <f t="shared" si="7"/>
        <v>0</v>
      </c>
      <c r="J74" s="13">
        <v>73</v>
      </c>
      <c r="K74" s="6"/>
      <c r="L74" s="13" t="s">
        <v>12</v>
      </c>
      <c r="M74" s="13"/>
      <c r="N74" s="6"/>
      <c r="O74" s="6"/>
      <c r="P74" s="6"/>
    </row>
    <row r="75" spans="2:16" x14ac:dyDescent="0.3">
      <c r="B75" s="13">
        <v>75</v>
      </c>
      <c r="C75" s="6"/>
      <c r="D75" s="13"/>
      <c r="E75" s="13"/>
      <c r="F75" s="13">
        <f t="shared" si="9"/>
        <v>0</v>
      </c>
      <c r="G75" s="13"/>
      <c r="H75" s="668">
        <f t="shared" si="7"/>
        <v>0</v>
      </c>
      <c r="J75" s="13">
        <v>74</v>
      </c>
      <c r="K75" s="6"/>
      <c r="L75" s="13" t="s">
        <v>13</v>
      </c>
      <c r="M75" s="13"/>
      <c r="N75" s="6"/>
      <c r="O75" s="6"/>
      <c r="P75" s="6"/>
    </row>
    <row r="76" spans="2:16" x14ac:dyDescent="0.3">
      <c r="B76" s="13">
        <v>76</v>
      </c>
      <c r="C76" s="6"/>
      <c r="D76" s="13"/>
      <c r="E76" s="13"/>
      <c r="F76" s="13">
        <f t="shared" si="9"/>
        <v>0</v>
      </c>
      <c r="G76" s="13"/>
      <c r="H76" s="668">
        <f t="shared" si="7"/>
        <v>0</v>
      </c>
      <c r="J76" s="13">
        <v>75</v>
      </c>
      <c r="K76" s="6"/>
      <c r="L76" s="13" t="s">
        <v>12</v>
      </c>
      <c r="M76" s="13"/>
      <c r="N76" s="6"/>
      <c r="O76" s="6"/>
      <c r="P76" s="6"/>
    </row>
    <row r="77" spans="2:16" x14ac:dyDescent="0.3">
      <c r="B77" s="13">
        <v>77</v>
      </c>
      <c r="C77" s="6"/>
      <c r="D77" s="13"/>
      <c r="E77" s="13"/>
      <c r="F77" s="13">
        <f t="shared" si="9"/>
        <v>0</v>
      </c>
      <c r="G77" s="13"/>
      <c r="H77" s="668">
        <f t="shared" si="7"/>
        <v>0</v>
      </c>
      <c r="J77" s="13">
        <v>76</v>
      </c>
      <c r="K77" s="6"/>
      <c r="L77" s="13" t="s">
        <v>13</v>
      </c>
      <c r="M77" s="13"/>
      <c r="N77" s="6"/>
      <c r="O77" s="6"/>
      <c r="P77" s="6"/>
    </row>
    <row r="78" spans="2:16" x14ac:dyDescent="0.3">
      <c r="B78" s="13">
        <v>78</v>
      </c>
      <c r="C78" s="6"/>
      <c r="D78" s="13"/>
      <c r="E78" s="13"/>
      <c r="F78" s="13">
        <f t="shared" si="9"/>
        <v>0</v>
      </c>
      <c r="G78" s="13"/>
      <c r="H78" s="668">
        <f t="shared" si="7"/>
        <v>0</v>
      </c>
      <c r="J78" s="13">
        <v>77</v>
      </c>
      <c r="K78" s="6"/>
      <c r="L78" s="13" t="s">
        <v>12</v>
      </c>
      <c r="M78" s="13"/>
      <c r="N78" s="6"/>
      <c r="O78" s="6"/>
      <c r="P78" s="6"/>
    </row>
    <row r="79" spans="2:16" x14ac:dyDescent="0.3">
      <c r="B79" s="13">
        <v>79</v>
      </c>
      <c r="C79" s="6"/>
      <c r="D79" s="13"/>
      <c r="E79" s="13"/>
      <c r="F79" s="13">
        <f t="shared" si="9"/>
        <v>0</v>
      </c>
      <c r="G79" s="13"/>
      <c r="H79" s="668">
        <f t="shared" si="7"/>
        <v>0</v>
      </c>
      <c r="J79" s="13">
        <v>78</v>
      </c>
      <c r="K79" s="6"/>
      <c r="L79" s="13" t="s">
        <v>13</v>
      </c>
      <c r="M79" s="13"/>
      <c r="N79" s="6"/>
      <c r="O79" s="6"/>
      <c r="P79" s="6"/>
    </row>
    <row r="80" spans="2:16" x14ac:dyDescent="0.3">
      <c r="B80" s="13">
        <v>80</v>
      </c>
      <c r="C80" s="6"/>
      <c r="D80" s="13"/>
      <c r="E80" s="13"/>
      <c r="F80" s="13">
        <f t="shared" si="9"/>
        <v>0</v>
      </c>
      <c r="G80" s="13"/>
      <c r="H80" s="668">
        <f t="shared" ref="H80:H126" si="15">F80*(1-G80)</f>
        <v>0</v>
      </c>
      <c r="J80" s="13">
        <v>79</v>
      </c>
      <c r="K80" s="6"/>
      <c r="L80" s="13" t="s">
        <v>12</v>
      </c>
      <c r="M80" s="13"/>
      <c r="N80" s="6"/>
      <c r="O80" s="6"/>
      <c r="P80" s="6"/>
    </row>
    <row r="81" spans="2:16" x14ac:dyDescent="0.3">
      <c r="B81" s="13">
        <v>81</v>
      </c>
      <c r="C81" s="6"/>
      <c r="D81" s="13"/>
      <c r="E81" s="13"/>
      <c r="F81" s="13">
        <f t="shared" si="9"/>
        <v>0</v>
      </c>
      <c r="G81" s="13"/>
      <c r="H81" s="668">
        <f t="shared" si="15"/>
        <v>0</v>
      </c>
      <c r="J81" s="13">
        <v>80</v>
      </c>
      <c r="K81" s="6"/>
      <c r="L81" s="13" t="s">
        <v>13</v>
      </c>
      <c r="M81" s="13"/>
      <c r="N81" s="6"/>
      <c r="O81" s="6"/>
      <c r="P81" s="6"/>
    </row>
    <row r="82" spans="2:16" x14ac:dyDescent="0.3">
      <c r="B82" s="13">
        <v>82</v>
      </c>
      <c r="C82" s="6"/>
      <c r="D82" s="13"/>
      <c r="E82" s="13"/>
      <c r="F82" s="13">
        <f t="shared" si="9"/>
        <v>0</v>
      </c>
      <c r="G82" s="13"/>
      <c r="H82" s="668">
        <f t="shared" si="15"/>
        <v>0</v>
      </c>
      <c r="J82" s="13">
        <v>81</v>
      </c>
      <c r="K82" s="6"/>
      <c r="L82" s="13" t="s">
        <v>12</v>
      </c>
      <c r="M82" s="13"/>
      <c r="N82" s="6"/>
      <c r="O82" s="6"/>
      <c r="P82" s="6"/>
    </row>
    <row r="83" spans="2:16" x14ac:dyDescent="0.3">
      <c r="B83" s="13">
        <v>83</v>
      </c>
      <c r="C83" s="6"/>
      <c r="D83" s="13"/>
      <c r="E83" s="13"/>
      <c r="F83" s="13">
        <f t="shared" si="9"/>
        <v>0</v>
      </c>
      <c r="G83" s="13"/>
      <c r="H83" s="668">
        <f t="shared" si="15"/>
        <v>0</v>
      </c>
      <c r="J83" s="13">
        <v>82</v>
      </c>
      <c r="K83" s="6"/>
      <c r="L83" s="13" t="s">
        <v>13</v>
      </c>
      <c r="M83" s="13"/>
      <c r="N83" s="6"/>
      <c r="O83" s="6"/>
      <c r="P83" s="6"/>
    </row>
    <row r="84" spans="2:16" x14ac:dyDescent="0.3">
      <c r="B84" s="13">
        <v>84</v>
      </c>
      <c r="C84" s="6"/>
      <c r="D84" s="13"/>
      <c r="E84" s="13"/>
      <c r="F84" s="13">
        <f t="shared" si="9"/>
        <v>0</v>
      </c>
      <c r="G84" s="13"/>
      <c r="H84" s="668">
        <f t="shared" si="15"/>
        <v>0</v>
      </c>
      <c r="J84" s="13">
        <v>83</v>
      </c>
      <c r="K84" s="6"/>
      <c r="L84" s="13" t="s">
        <v>12</v>
      </c>
      <c r="M84" s="13"/>
      <c r="N84" s="6"/>
      <c r="O84" s="6"/>
      <c r="P84" s="6"/>
    </row>
    <row r="85" spans="2:16" x14ac:dyDescent="0.3">
      <c r="B85" s="13">
        <v>85</v>
      </c>
      <c r="C85" s="6"/>
      <c r="D85" s="13"/>
      <c r="E85" s="13"/>
      <c r="F85" s="13">
        <f t="shared" si="9"/>
        <v>0</v>
      </c>
      <c r="G85" s="13"/>
      <c r="H85" s="668">
        <f t="shared" si="15"/>
        <v>0</v>
      </c>
      <c r="J85" s="13">
        <v>84</v>
      </c>
      <c r="K85" s="6"/>
      <c r="L85" s="13" t="s">
        <v>13</v>
      </c>
      <c r="M85" s="13"/>
      <c r="N85" s="6"/>
      <c r="O85" s="6"/>
      <c r="P85" s="6"/>
    </row>
    <row r="86" spans="2:16" x14ac:dyDescent="0.3">
      <c r="B86" s="13">
        <v>86</v>
      </c>
      <c r="C86" s="6"/>
      <c r="D86" s="13"/>
      <c r="E86" s="13"/>
      <c r="F86" s="13">
        <f t="shared" si="9"/>
        <v>0</v>
      </c>
      <c r="G86" s="13"/>
      <c r="H86" s="668">
        <f t="shared" si="15"/>
        <v>0</v>
      </c>
      <c r="J86" s="13">
        <v>85</v>
      </c>
      <c r="K86" s="6"/>
      <c r="L86" s="13" t="s">
        <v>12</v>
      </c>
      <c r="M86" s="13"/>
      <c r="N86" s="6"/>
      <c r="O86" s="6"/>
      <c r="P86" s="6"/>
    </row>
    <row r="87" spans="2:16" x14ac:dyDescent="0.3">
      <c r="B87" s="13">
        <v>87</v>
      </c>
      <c r="C87" s="6"/>
      <c r="D87" s="13"/>
      <c r="E87" s="13"/>
      <c r="F87" s="13">
        <f t="shared" si="9"/>
        <v>0</v>
      </c>
      <c r="G87" s="13"/>
      <c r="H87" s="668">
        <f t="shared" si="15"/>
        <v>0</v>
      </c>
      <c r="J87" s="13">
        <v>86</v>
      </c>
      <c r="K87" s="6"/>
      <c r="L87" s="13" t="s">
        <v>13</v>
      </c>
      <c r="M87" s="13"/>
      <c r="N87" s="6"/>
      <c r="O87" s="6"/>
      <c r="P87" s="6"/>
    </row>
    <row r="88" spans="2:16" x14ac:dyDescent="0.3">
      <c r="B88" s="13">
        <v>88</v>
      </c>
      <c r="C88" s="6"/>
      <c r="D88" s="13"/>
      <c r="E88" s="13"/>
      <c r="F88" s="13">
        <f t="shared" si="9"/>
        <v>0</v>
      </c>
      <c r="G88" s="13"/>
      <c r="H88" s="668">
        <f t="shared" si="15"/>
        <v>0</v>
      </c>
      <c r="J88" s="13">
        <v>87</v>
      </c>
      <c r="K88" s="6"/>
      <c r="L88" s="13" t="s">
        <v>12</v>
      </c>
      <c r="M88" s="13"/>
      <c r="N88" s="6"/>
      <c r="O88" s="6"/>
      <c r="P88" s="6"/>
    </row>
    <row r="89" spans="2:16" x14ac:dyDescent="0.3">
      <c r="B89" s="13">
        <v>89</v>
      </c>
      <c r="C89" s="6"/>
      <c r="D89" s="13"/>
      <c r="E89" s="13"/>
      <c r="F89" s="13">
        <f t="shared" si="9"/>
        <v>0</v>
      </c>
      <c r="G89" s="13"/>
      <c r="H89" s="668">
        <f t="shared" si="15"/>
        <v>0</v>
      </c>
      <c r="J89" s="13">
        <v>88</v>
      </c>
      <c r="K89" s="6"/>
      <c r="L89" s="13" t="s">
        <v>13</v>
      </c>
      <c r="M89" s="13"/>
      <c r="N89" s="6"/>
      <c r="O89" s="6"/>
      <c r="P89" s="6"/>
    </row>
    <row r="90" spans="2:16" x14ac:dyDescent="0.3">
      <c r="B90" s="13">
        <v>90</v>
      </c>
      <c r="C90" s="6"/>
      <c r="D90" s="13"/>
      <c r="E90" s="13"/>
      <c r="F90" s="13">
        <f t="shared" si="9"/>
        <v>0</v>
      </c>
      <c r="G90" s="13"/>
      <c r="H90" s="668">
        <f t="shared" si="15"/>
        <v>0</v>
      </c>
      <c r="J90" s="13">
        <v>89</v>
      </c>
      <c r="K90" s="6"/>
      <c r="L90" s="13" t="s">
        <v>12</v>
      </c>
      <c r="M90" s="13"/>
      <c r="N90" s="6"/>
      <c r="O90" s="6"/>
      <c r="P90" s="6"/>
    </row>
    <row r="91" spans="2:16" x14ac:dyDescent="0.3">
      <c r="B91" s="13">
        <v>91</v>
      </c>
      <c r="C91" s="6"/>
      <c r="D91" s="13"/>
      <c r="E91" s="13"/>
      <c r="F91" s="13">
        <f t="shared" si="9"/>
        <v>0</v>
      </c>
      <c r="G91" s="13"/>
      <c r="H91" s="668">
        <f t="shared" si="15"/>
        <v>0</v>
      </c>
      <c r="J91" s="13">
        <v>90</v>
      </c>
      <c r="K91" s="6"/>
      <c r="L91" s="13" t="s">
        <v>13</v>
      </c>
      <c r="M91" s="13"/>
      <c r="N91" s="6"/>
      <c r="O91" s="6"/>
      <c r="P91" s="6"/>
    </row>
    <row r="92" spans="2:16" x14ac:dyDescent="0.3">
      <c r="B92" s="13">
        <v>92</v>
      </c>
      <c r="C92" s="6"/>
      <c r="D92" s="13"/>
      <c r="E92" s="13"/>
      <c r="F92" s="13">
        <f t="shared" si="9"/>
        <v>0</v>
      </c>
      <c r="G92" s="13"/>
      <c r="H92" s="668">
        <f t="shared" si="15"/>
        <v>0</v>
      </c>
      <c r="J92" s="13">
        <v>91</v>
      </c>
      <c r="K92" s="6"/>
      <c r="L92" s="13" t="s">
        <v>12</v>
      </c>
      <c r="M92" s="13"/>
      <c r="N92" s="6"/>
      <c r="O92" s="6"/>
      <c r="P92" s="6"/>
    </row>
    <row r="93" spans="2:16" x14ac:dyDescent="0.3">
      <c r="B93" s="13">
        <v>93</v>
      </c>
      <c r="C93" s="6"/>
      <c r="D93" s="13"/>
      <c r="E93" s="13"/>
      <c r="F93" s="13">
        <f t="shared" si="9"/>
        <v>0</v>
      </c>
      <c r="G93" s="13"/>
      <c r="H93" s="668">
        <f t="shared" si="15"/>
        <v>0</v>
      </c>
      <c r="J93" s="13">
        <v>92</v>
      </c>
      <c r="K93" s="6"/>
      <c r="L93" s="13" t="s">
        <v>13</v>
      </c>
      <c r="M93" s="13"/>
      <c r="N93" s="6"/>
      <c r="O93" s="6"/>
      <c r="P93" s="6"/>
    </row>
    <row r="94" spans="2:16" x14ac:dyDescent="0.3">
      <c r="B94" s="13">
        <v>94</v>
      </c>
      <c r="C94" s="6"/>
      <c r="D94" s="13"/>
      <c r="E94" s="13"/>
      <c r="F94" s="13">
        <f t="shared" si="9"/>
        <v>0</v>
      </c>
      <c r="G94" s="13"/>
      <c r="H94" s="668">
        <f t="shared" si="15"/>
        <v>0</v>
      </c>
      <c r="J94" s="13">
        <v>93</v>
      </c>
      <c r="K94" s="6"/>
      <c r="L94" s="13" t="s">
        <v>12</v>
      </c>
      <c r="M94" s="13"/>
      <c r="N94" s="6"/>
      <c r="O94" s="6"/>
      <c r="P94" s="6"/>
    </row>
    <row r="95" spans="2:16" x14ac:dyDescent="0.3">
      <c r="B95" s="13">
        <v>95</v>
      </c>
      <c r="C95" s="6"/>
      <c r="D95" s="13"/>
      <c r="E95" s="13"/>
      <c r="F95" s="13">
        <f t="shared" si="9"/>
        <v>0</v>
      </c>
      <c r="G95" s="13"/>
      <c r="H95" s="668">
        <f t="shared" si="15"/>
        <v>0</v>
      </c>
      <c r="J95" s="13">
        <v>94</v>
      </c>
      <c r="K95" s="6"/>
      <c r="L95" s="13" t="s">
        <v>13</v>
      </c>
      <c r="M95" s="13"/>
      <c r="N95" s="6"/>
      <c r="O95" s="6"/>
      <c r="P95" s="6"/>
    </row>
    <row r="96" spans="2:16" x14ac:dyDescent="0.3">
      <c r="B96" s="13">
        <v>96</v>
      </c>
      <c r="C96" s="6"/>
      <c r="D96" s="13"/>
      <c r="E96" s="13"/>
      <c r="F96" s="13">
        <f t="shared" si="9"/>
        <v>0</v>
      </c>
      <c r="G96" s="13"/>
      <c r="H96" s="668">
        <f t="shared" si="15"/>
        <v>0</v>
      </c>
      <c r="J96" s="13">
        <v>95</v>
      </c>
      <c r="K96" s="6"/>
      <c r="L96" s="13" t="s">
        <v>12</v>
      </c>
      <c r="M96" s="13"/>
      <c r="N96" s="6"/>
      <c r="O96" s="6"/>
      <c r="P96" s="6"/>
    </row>
    <row r="97" spans="2:16" x14ac:dyDescent="0.3">
      <c r="B97" s="13">
        <v>97</v>
      </c>
      <c r="C97" s="6"/>
      <c r="D97" s="13"/>
      <c r="E97" s="13"/>
      <c r="F97" s="13">
        <f t="shared" si="9"/>
        <v>0</v>
      </c>
      <c r="G97" s="13"/>
      <c r="H97" s="668">
        <f t="shared" si="15"/>
        <v>0</v>
      </c>
      <c r="J97" s="13">
        <v>96</v>
      </c>
      <c r="K97" s="6"/>
      <c r="L97" s="13" t="s">
        <v>13</v>
      </c>
      <c r="M97" s="13"/>
      <c r="N97" s="6"/>
      <c r="O97" s="6"/>
      <c r="P97" s="6"/>
    </row>
    <row r="98" spans="2:16" x14ac:dyDescent="0.3">
      <c r="B98" s="13">
        <v>98</v>
      </c>
      <c r="C98" s="6"/>
      <c r="D98" s="13"/>
      <c r="E98" s="13"/>
      <c r="F98" s="13">
        <f t="shared" si="9"/>
        <v>0</v>
      </c>
      <c r="G98" s="13"/>
      <c r="H98" s="668">
        <f t="shared" si="15"/>
        <v>0</v>
      </c>
      <c r="J98" s="13">
        <v>97</v>
      </c>
      <c r="K98" s="6"/>
      <c r="L98" s="13" t="s">
        <v>12</v>
      </c>
      <c r="M98" s="13"/>
      <c r="N98" s="6"/>
      <c r="O98" s="6"/>
      <c r="P98" s="6"/>
    </row>
    <row r="99" spans="2:16" x14ac:dyDescent="0.3">
      <c r="B99" s="13">
        <v>99</v>
      </c>
      <c r="C99" s="6"/>
      <c r="D99" s="13"/>
      <c r="E99" s="13"/>
      <c r="F99" s="13">
        <f t="shared" si="9"/>
        <v>0</v>
      </c>
      <c r="G99" s="13"/>
      <c r="H99" s="668">
        <f t="shared" si="15"/>
        <v>0</v>
      </c>
      <c r="J99" s="13">
        <v>98</v>
      </c>
      <c r="K99" s="6"/>
      <c r="L99" s="13" t="s">
        <v>13</v>
      </c>
      <c r="M99" s="13"/>
      <c r="N99" s="6"/>
      <c r="O99" s="6"/>
      <c r="P99" s="6"/>
    </row>
    <row r="100" spans="2:16" x14ac:dyDescent="0.3">
      <c r="B100" s="13">
        <v>100</v>
      </c>
      <c r="C100" s="6"/>
      <c r="D100" s="13"/>
      <c r="E100" s="13"/>
      <c r="F100" s="13">
        <f t="shared" si="9"/>
        <v>0</v>
      </c>
      <c r="G100" s="13"/>
      <c r="H100" s="668">
        <f t="shared" si="15"/>
        <v>0</v>
      </c>
      <c r="J100" s="13">
        <v>99</v>
      </c>
      <c r="K100" s="6"/>
      <c r="L100" s="13" t="s">
        <v>12</v>
      </c>
      <c r="M100" s="13"/>
      <c r="N100" s="6"/>
      <c r="O100" s="6"/>
      <c r="P100" s="6"/>
    </row>
    <row r="101" spans="2:16" x14ac:dyDescent="0.3">
      <c r="B101" s="13">
        <v>101</v>
      </c>
      <c r="C101" s="6"/>
      <c r="D101" s="13"/>
      <c r="E101" s="13"/>
      <c r="F101" s="13">
        <f t="shared" ref="F101:F126" si="16">E101*$R$4</f>
        <v>0</v>
      </c>
      <c r="G101" s="13"/>
      <c r="H101" s="668">
        <f t="shared" si="15"/>
        <v>0</v>
      </c>
      <c r="J101" s="13">
        <v>100</v>
      </c>
      <c r="K101" s="6"/>
      <c r="L101" s="13" t="s">
        <v>13</v>
      </c>
      <c r="M101" s="13"/>
      <c r="N101" s="6"/>
      <c r="O101" s="6"/>
      <c r="P101" s="6"/>
    </row>
    <row r="102" spans="2:16" x14ac:dyDescent="0.3">
      <c r="B102" s="13">
        <v>102</v>
      </c>
      <c r="C102" s="6"/>
      <c r="D102" s="13"/>
      <c r="E102" s="13"/>
      <c r="F102" s="13">
        <f t="shared" si="16"/>
        <v>0</v>
      </c>
      <c r="G102" s="13"/>
      <c r="H102" s="668">
        <f t="shared" si="15"/>
        <v>0</v>
      </c>
      <c r="J102" s="13">
        <v>101</v>
      </c>
      <c r="K102" s="6"/>
      <c r="L102" s="13" t="s">
        <v>12</v>
      </c>
      <c r="M102" s="13"/>
      <c r="N102" s="6"/>
      <c r="O102" s="6"/>
      <c r="P102" s="6"/>
    </row>
    <row r="103" spans="2:16" x14ac:dyDescent="0.3">
      <c r="B103" s="13">
        <v>103</v>
      </c>
      <c r="C103" s="6"/>
      <c r="D103" s="13"/>
      <c r="E103" s="13"/>
      <c r="F103" s="13">
        <f t="shared" si="16"/>
        <v>0</v>
      </c>
      <c r="G103" s="13"/>
      <c r="H103" s="668">
        <f t="shared" si="15"/>
        <v>0</v>
      </c>
      <c r="J103" s="13">
        <v>102</v>
      </c>
      <c r="K103" s="6"/>
      <c r="L103" s="13" t="s">
        <v>13</v>
      </c>
      <c r="M103" s="13"/>
      <c r="N103" s="6"/>
      <c r="O103" s="6"/>
      <c r="P103" s="6"/>
    </row>
    <row r="104" spans="2:16" x14ac:dyDescent="0.3">
      <c r="B104" s="13">
        <v>104</v>
      </c>
      <c r="C104" s="6"/>
      <c r="D104" s="13"/>
      <c r="E104" s="13"/>
      <c r="F104" s="13">
        <f t="shared" si="16"/>
        <v>0</v>
      </c>
      <c r="G104" s="13"/>
      <c r="H104" s="668">
        <f t="shared" si="15"/>
        <v>0</v>
      </c>
      <c r="J104" s="13">
        <v>103</v>
      </c>
      <c r="K104" s="6"/>
      <c r="L104" s="13" t="s">
        <v>12</v>
      </c>
      <c r="M104" s="13"/>
      <c r="N104" s="6"/>
      <c r="O104" s="6"/>
      <c r="P104" s="6"/>
    </row>
    <row r="105" spans="2:16" x14ac:dyDescent="0.3">
      <c r="B105" s="13">
        <v>105</v>
      </c>
      <c r="C105" s="6"/>
      <c r="D105" s="13"/>
      <c r="E105" s="13"/>
      <c r="F105" s="13">
        <f t="shared" si="16"/>
        <v>0</v>
      </c>
      <c r="G105" s="13"/>
      <c r="H105" s="668">
        <f t="shared" si="15"/>
        <v>0</v>
      </c>
      <c r="J105" s="13">
        <v>104</v>
      </c>
      <c r="K105" s="6"/>
      <c r="L105" s="13" t="s">
        <v>13</v>
      </c>
      <c r="M105" s="13"/>
      <c r="N105" s="6"/>
      <c r="O105" s="6"/>
      <c r="P105" s="6"/>
    </row>
    <row r="106" spans="2:16" x14ac:dyDescent="0.3">
      <c r="B106" s="13">
        <v>106</v>
      </c>
      <c r="C106" s="6"/>
      <c r="D106" s="13"/>
      <c r="E106" s="13"/>
      <c r="F106" s="13">
        <f t="shared" si="16"/>
        <v>0</v>
      </c>
      <c r="G106" s="13"/>
      <c r="H106" s="668">
        <f t="shared" si="15"/>
        <v>0</v>
      </c>
      <c r="J106" s="13">
        <v>105</v>
      </c>
      <c r="K106" s="6"/>
      <c r="L106" s="13" t="s">
        <v>12</v>
      </c>
      <c r="M106" s="13"/>
      <c r="N106" s="6"/>
      <c r="O106" s="6"/>
      <c r="P106" s="6"/>
    </row>
    <row r="107" spans="2:16" x14ac:dyDescent="0.3">
      <c r="B107" s="13">
        <v>107</v>
      </c>
      <c r="C107" s="6"/>
      <c r="D107" s="13"/>
      <c r="E107" s="13"/>
      <c r="F107" s="13">
        <f t="shared" si="16"/>
        <v>0</v>
      </c>
      <c r="G107" s="13"/>
      <c r="H107" s="668">
        <f t="shared" si="15"/>
        <v>0</v>
      </c>
      <c r="J107" s="13">
        <v>106</v>
      </c>
      <c r="K107" s="6"/>
      <c r="L107" s="13" t="s">
        <v>13</v>
      </c>
      <c r="M107" s="13"/>
      <c r="N107" s="6"/>
      <c r="O107" s="6"/>
      <c r="P107" s="6"/>
    </row>
    <row r="108" spans="2:16" x14ac:dyDescent="0.3">
      <c r="B108" s="13">
        <v>108</v>
      </c>
      <c r="C108" s="6"/>
      <c r="D108" s="13"/>
      <c r="E108" s="13"/>
      <c r="F108" s="13">
        <f t="shared" si="16"/>
        <v>0</v>
      </c>
      <c r="G108" s="13"/>
      <c r="H108" s="668">
        <f t="shared" si="15"/>
        <v>0</v>
      </c>
      <c r="J108" s="13">
        <v>107</v>
      </c>
      <c r="K108" s="6"/>
      <c r="L108" s="13" t="s">
        <v>12</v>
      </c>
      <c r="M108" s="13"/>
      <c r="N108" s="6"/>
      <c r="O108" s="6"/>
      <c r="P108" s="6"/>
    </row>
    <row r="109" spans="2:16" x14ac:dyDescent="0.3">
      <c r="B109" s="13">
        <v>109</v>
      </c>
      <c r="C109" s="6"/>
      <c r="D109" s="13"/>
      <c r="E109" s="13"/>
      <c r="F109" s="13">
        <f t="shared" si="16"/>
        <v>0</v>
      </c>
      <c r="G109" s="13"/>
      <c r="H109" s="668">
        <f t="shared" si="15"/>
        <v>0</v>
      </c>
      <c r="J109" s="13">
        <v>108</v>
      </c>
      <c r="K109" s="6"/>
      <c r="L109" s="13" t="s">
        <v>13</v>
      </c>
      <c r="M109" s="13"/>
      <c r="N109" s="6"/>
      <c r="O109" s="6"/>
      <c r="P109" s="6"/>
    </row>
    <row r="110" spans="2:16" x14ac:dyDescent="0.3">
      <c r="B110" s="13">
        <v>110</v>
      </c>
      <c r="C110" s="6"/>
      <c r="D110" s="13"/>
      <c r="E110" s="13"/>
      <c r="F110" s="13">
        <f t="shared" si="16"/>
        <v>0</v>
      </c>
      <c r="G110" s="13"/>
      <c r="H110" s="668">
        <f t="shared" si="15"/>
        <v>0</v>
      </c>
      <c r="J110" s="13">
        <v>109</v>
      </c>
      <c r="K110" s="6"/>
      <c r="L110" s="13" t="s">
        <v>12</v>
      </c>
      <c r="M110" s="13"/>
      <c r="N110" s="6"/>
      <c r="O110" s="6"/>
      <c r="P110" s="6"/>
    </row>
    <row r="111" spans="2:16" x14ac:dyDescent="0.3">
      <c r="B111" s="13">
        <v>111</v>
      </c>
      <c r="C111" s="6"/>
      <c r="D111" s="13"/>
      <c r="E111" s="13"/>
      <c r="F111" s="13">
        <f t="shared" si="16"/>
        <v>0</v>
      </c>
      <c r="G111" s="13"/>
      <c r="H111" s="668">
        <f t="shared" si="15"/>
        <v>0</v>
      </c>
      <c r="J111" s="13">
        <v>110</v>
      </c>
      <c r="K111" s="6"/>
      <c r="L111" s="13" t="s">
        <v>13</v>
      </c>
      <c r="M111" s="13"/>
      <c r="N111" s="6"/>
      <c r="O111" s="6"/>
      <c r="P111" s="6"/>
    </row>
    <row r="112" spans="2:16" x14ac:dyDescent="0.3">
      <c r="B112" s="13">
        <v>112</v>
      </c>
      <c r="C112" s="6"/>
      <c r="D112" s="13"/>
      <c r="E112" s="13"/>
      <c r="F112" s="13">
        <f t="shared" si="16"/>
        <v>0</v>
      </c>
      <c r="G112" s="13"/>
      <c r="H112" s="668">
        <f t="shared" si="15"/>
        <v>0</v>
      </c>
      <c r="J112" s="13">
        <v>111</v>
      </c>
      <c r="K112" s="6"/>
      <c r="L112" s="13" t="s">
        <v>12</v>
      </c>
      <c r="M112" s="13"/>
      <c r="N112" s="6"/>
      <c r="O112" s="6"/>
      <c r="P112" s="6"/>
    </row>
    <row r="113" spans="2:16" x14ac:dyDescent="0.3">
      <c r="B113" s="13">
        <v>113</v>
      </c>
      <c r="C113" s="6"/>
      <c r="D113" s="13"/>
      <c r="E113" s="13"/>
      <c r="F113" s="13">
        <f t="shared" si="16"/>
        <v>0</v>
      </c>
      <c r="G113" s="13"/>
      <c r="H113" s="668">
        <f t="shared" si="15"/>
        <v>0</v>
      </c>
      <c r="J113" s="13">
        <v>112</v>
      </c>
      <c r="K113" s="6"/>
      <c r="L113" s="13" t="s">
        <v>13</v>
      </c>
      <c r="M113" s="13"/>
      <c r="N113" s="6"/>
      <c r="O113" s="6"/>
      <c r="P113" s="6"/>
    </row>
    <row r="114" spans="2:16" x14ac:dyDescent="0.3">
      <c r="B114" s="13">
        <v>114</v>
      </c>
      <c r="C114" s="6"/>
      <c r="D114" s="13"/>
      <c r="E114" s="13"/>
      <c r="F114" s="13">
        <f t="shared" si="16"/>
        <v>0</v>
      </c>
      <c r="G114" s="13"/>
      <c r="H114" s="668">
        <f t="shared" si="15"/>
        <v>0</v>
      </c>
      <c r="J114" s="13">
        <v>113</v>
      </c>
      <c r="K114" s="6"/>
      <c r="L114" s="13" t="s">
        <v>12</v>
      </c>
      <c r="M114" s="13"/>
      <c r="N114" s="6"/>
      <c r="O114" s="6"/>
      <c r="P114" s="6"/>
    </row>
    <row r="115" spans="2:16" x14ac:dyDescent="0.3">
      <c r="B115" s="13">
        <v>115</v>
      </c>
      <c r="C115" s="6"/>
      <c r="D115" s="13"/>
      <c r="E115" s="13"/>
      <c r="F115" s="13">
        <f t="shared" si="16"/>
        <v>0</v>
      </c>
      <c r="G115" s="13"/>
      <c r="H115" s="668">
        <f t="shared" si="15"/>
        <v>0</v>
      </c>
      <c r="J115" s="13">
        <v>114</v>
      </c>
      <c r="K115" s="6"/>
      <c r="L115" s="13" t="s">
        <v>13</v>
      </c>
      <c r="M115" s="13"/>
      <c r="N115" s="6"/>
      <c r="O115" s="6"/>
      <c r="P115" s="6"/>
    </row>
    <row r="116" spans="2:16" x14ac:dyDescent="0.3">
      <c r="B116" s="13">
        <v>116</v>
      </c>
      <c r="C116" s="6"/>
      <c r="D116" s="13"/>
      <c r="E116" s="13"/>
      <c r="F116" s="13">
        <f t="shared" si="16"/>
        <v>0</v>
      </c>
      <c r="G116" s="13"/>
      <c r="H116" s="668">
        <f t="shared" si="15"/>
        <v>0</v>
      </c>
      <c r="J116" s="13">
        <v>115</v>
      </c>
      <c r="K116" s="6"/>
      <c r="L116" s="13" t="s">
        <v>12</v>
      </c>
      <c r="M116" s="13"/>
      <c r="N116" s="6"/>
      <c r="O116" s="6"/>
      <c r="P116" s="6"/>
    </row>
    <row r="117" spans="2:16" x14ac:dyDescent="0.3">
      <c r="B117" s="13">
        <v>117</v>
      </c>
      <c r="C117" s="6"/>
      <c r="D117" s="13"/>
      <c r="E117" s="13"/>
      <c r="F117" s="13">
        <f t="shared" si="16"/>
        <v>0</v>
      </c>
      <c r="G117" s="13"/>
      <c r="H117" s="668">
        <f t="shared" si="15"/>
        <v>0</v>
      </c>
      <c r="J117" s="13">
        <v>116</v>
      </c>
      <c r="K117" s="6"/>
      <c r="L117" s="13" t="s">
        <v>13</v>
      </c>
      <c r="M117" s="13"/>
      <c r="N117" s="6"/>
      <c r="O117" s="6"/>
      <c r="P117" s="6"/>
    </row>
    <row r="118" spans="2:16" x14ac:dyDescent="0.3">
      <c r="B118" s="13">
        <v>118</v>
      </c>
      <c r="C118" s="6"/>
      <c r="D118" s="13"/>
      <c r="E118" s="13"/>
      <c r="F118" s="13">
        <f t="shared" si="16"/>
        <v>0</v>
      </c>
      <c r="G118" s="13"/>
      <c r="H118" s="668">
        <f t="shared" si="15"/>
        <v>0</v>
      </c>
      <c r="J118" s="13">
        <v>117</v>
      </c>
      <c r="K118" s="6"/>
      <c r="L118" s="13" t="s">
        <v>12</v>
      </c>
      <c r="M118" s="13"/>
      <c r="N118" s="6"/>
      <c r="O118" s="6"/>
      <c r="P118" s="6"/>
    </row>
    <row r="119" spans="2:16" x14ac:dyDescent="0.3">
      <c r="B119" s="13">
        <v>119</v>
      </c>
      <c r="C119" s="6"/>
      <c r="D119" s="13"/>
      <c r="E119" s="13"/>
      <c r="F119" s="13">
        <f t="shared" si="16"/>
        <v>0</v>
      </c>
      <c r="G119" s="13"/>
      <c r="H119" s="668">
        <f t="shared" si="15"/>
        <v>0</v>
      </c>
      <c r="J119" s="13">
        <v>118</v>
      </c>
      <c r="K119" s="6"/>
      <c r="L119" s="13" t="s">
        <v>13</v>
      </c>
      <c r="M119" s="13"/>
      <c r="N119" s="6"/>
      <c r="O119" s="6"/>
      <c r="P119" s="6"/>
    </row>
    <row r="120" spans="2:16" x14ac:dyDescent="0.3">
      <c r="B120" s="13">
        <v>120</v>
      </c>
      <c r="C120" s="6"/>
      <c r="D120" s="13"/>
      <c r="E120" s="13"/>
      <c r="F120" s="13">
        <f t="shared" si="16"/>
        <v>0</v>
      </c>
      <c r="G120" s="13"/>
      <c r="H120" s="668">
        <f t="shared" si="15"/>
        <v>0</v>
      </c>
      <c r="J120" s="13">
        <v>119</v>
      </c>
      <c r="K120" s="6"/>
      <c r="L120" s="13" t="s">
        <v>12</v>
      </c>
      <c r="M120" s="13"/>
      <c r="N120" s="6"/>
      <c r="O120" s="6"/>
      <c r="P120" s="6"/>
    </row>
    <row r="121" spans="2:16" x14ac:dyDescent="0.3">
      <c r="B121" s="13">
        <v>121</v>
      </c>
      <c r="C121" s="6"/>
      <c r="D121" s="13"/>
      <c r="E121" s="13"/>
      <c r="F121" s="13">
        <f t="shared" si="16"/>
        <v>0</v>
      </c>
      <c r="G121" s="13"/>
      <c r="H121" s="668">
        <f t="shared" si="15"/>
        <v>0</v>
      </c>
      <c r="J121" s="13">
        <v>120</v>
      </c>
      <c r="K121" s="6"/>
      <c r="L121" s="13" t="s">
        <v>13</v>
      </c>
      <c r="M121" s="13"/>
      <c r="N121" s="6"/>
      <c r="O121" s="6"/>
      <c r="P121" s="6"/>
    </row>
    <row r="122" spans="2:16" x14ac:dyDescent="0.3">
      <c r="B122" s="13">
        <v>122</v>
      </c>
      <c r="C122" s="6"/>
      <c r="D122" s="13"/>
      <c r="E122" s="13"/>
      <c r="F122" s="13">
        <f t="shared" si="16"/>
        <v>0</v>
      </c>
      <c r="G122" s="13"/>
      <c r="H122" s="668">
        <f t="shared" si="15"/>
        <v>0</v>
      </c>
      <c r="J122" s="13">
        <v>121</v>
      </c>
      <c r="K122" s="6"/>
      <c r="L122" s="13" t="s">
        <v>12</v>
      </c>
      <c r="M122" s="13"/>
      <c r="N122" s="6"/>
      <c r="O122" s="6"/>
      <c r="P122" s="6"/>
    </row>
    <row r="123" spans="2:16" x14ac:dyDescent="0.3">
      <c r="B123" s="13">
        <v>123</v>
      </c>
      <c r="C123" s="6"/>
      <c r="D123" s="13"/>
      <c r="E123" s="13"/>
      <c r="F123" s="13">
        <f t="shared" si="16"/>
        <v>0</v>
      </c>
      <c r="G123" s="13"/>
      <c r="H123" s="668">
        <f t="shared" si="15"/>
        <v>0</v>
      </c>
      <c r="J123" s="13">
        <v>122</v>
      </c>
      <c r="K123" s="6"/>
      <c r="L123" s="13" t="s">
        <v>13</v>
      </c>
      <c r="M123" s="13"/>
      <c r="N123" s="6"/>
      <c r="O123" s="6"/>
      <c r="P123" s="6"/>
    </row>
    <row r="124" spans="2:16" x14ac:dyDescent="0.3">
      <c r="B124" s="13">
        <v>124</v>
      </c>
      <c r="C124" s="6"/>
      <c r="D124" s="13"/>
      <c r="E124" s="13"/>
      <c r="F124" s="13">
        <f t="shared" si="16"/>
        <v>0</v>
      </c>
      <c r="G124" s="13"/>
      <c r="H124" s="668">
        <f t="shared" si="15"/>
        <v>0</v>
      </c>
      <c r="J124" s="13">
        <v>123</v>
      </c>
      <c r="K124" s="6"/>
      <c r="L124" s="13" t="s">
        <v>12</v>
      </c>
      <c r="M124" s="13"/>
      <c r="N124" s="6"/>
      <c r="O124" s="6"/>
      <c r="P124" s="6"/>
    </row>
    <row r="125" spans="2:16" x14ac:dyDescent="0.3">
      <c r="B125" s="13">
        <v>125</v>
      </c>
      <c r="C125" s="6"/>
      <c r="D125" s="13"/>
      <c r="E125" s="13"/>
      <c r="F125" s="13">
        <f t="shared" si="16"/>
        <v>0</v>
      </c>
      <c r="G125" s="13"/>
      <c r="H125" s="668">
        <f t="shared" si="15"/>
        <v>0</v>
      </c>
      <c r="J125" s="13">
        <v>124</v>
      </c>
      <c r="K125" s="6"/>
      <c r="L125" s="13" t="s">
        <v>13</v>
      </c>
      <c r="M125" s="13"/>
      <c r="N125" s="6"/>
      <c r="O125" s="6"/>
      <c r="P125" s="6"/>
    </row>
    <row r="126" spans="2:16" x14ac:dyDescent="0.3">
      <c r="B126" s="13">
        <v>126</v>
      </c>
      <c r="C126" s="6"/>
      <c r="D126" s="13"/>
      <c r="E126" s="13"/>
      <c r="F126" s="13">
        <f t="shared" si="16"/>
        <v>0</v>
      </c>
      <c r="G126" s="13"/>
      <c r="H126" s="668">
        <f t="shared" si="15"/>
        <v>0</v>
      </c>
      <c r="J126" s="13">
        <v>125</v>
      </c>
      <c r="K126" s="6"/>
      <c r="L126" s="6"/>
      <c r="M126" s="13"/>
      <c r="N126" s="6"/>
      <c r="O126" s="6"/>
      <c r="P126" s="6"/>
    </row>
  </sheetData>
  <mergeCells count="8">
    <mergeCell ref="R10:T10"/>
    <mergeCell ref="R11:T11"/>
    <mergeCell ref="R2:S2"/>
    <mergeCell ref="A28:A31"/>
    <mergeCell ref="A21:A27"/>
    <mergeCell ref="A17:A20"/>
    <mergeCell ref="B2:H2"/>
    <mergeCell ref="J2:P2"/>
  </mergeCells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664-05C5-4080-8792-BB8CFC1D76D1}">
  <dimension ref="A2:CN111"/>
  <sheetViews>
    <sheetView tabSelected="1" topLeftCell="F1" zoomScale="72" zoomScaleNormal="85" workbookViewId="0">
      <pane ySplit="4" topLeftCell="A62" activePane="bottomLeft" state="frozen"/>
      <selection pane="bottomLeft" activeCell="P75" sqref="P75"/>
    </sheetView>
  </sheetViews>
  <sheetFormatPr defaultColWidth="8.77734375" defaultRowHeight="14.4" x14ac:dyDescent="0.3"/>
  <cols>
    <col min="1" max="1" width="8.77734375" style="584"/>
    <col min="2" max="2" width="10.44140625" style="1" bestFit="1" customWidth="1"/>
    <col min="3" max="3" width="9.77734375" style="1" customWidth="1"/>
    <col min="4" max="4" width="29.33203125" style="12" bestFit="1" customWidth="1"/>
    <col min="5" max="5" width="47.33203125" style="12" bestFit="1" customWidth="1"/>
    <col min="6" max="6" width="9.77734375" style="584" customWidth="1"/>
    <col min="7" max="7" width="8.77734375" style="432" customWidth="1"/>
    <col min="8" max="8" width="20.5546875" style="12" customWidth="1"/>
    <col min="9" max="9" width="18.88671875" style="332" customWidth="1"/>
    <col min="10" max="10" width="18.88671875" style="432" customWidth="1"/>
    <col min="11" max="11" width="9.77734375" style="432" customWidth="1"/>
    <col min="12" max="12" width="20.88671875" style="432" bestFit="1" customWidth="1"/>
    <col min="13" max="13" width="27.88671875" style="332" customWidth="1"/>
    <col min="14" max="14" width="16.6640625" style="432" customWidth="1"/>
    <col min="15" max="15" width="15.77734375" style="332" bestFit="1" customWidth="1"/>
    <col min="16" max="16" width="18.88671875" style="432" bestFit="1" customWidth="1"/>
    <col min="17" max="17" width="18.88671875" style="332" customWidth="1"/>
    <col min="18" max="18" width="14.21875" style="432" bestFit="1" customWidth="1"/>
    <col min="19" max="19" width="14.6640625" style="12" bestFit="1" customWidth="1"/>
    <col min="20" max="22" width="14.77734375" style="1" bestFit="1" customWidth="1"/>
    <col min="23" max="23" width="17.44140625" style="1" bestFit="1" customWidth="1"/>
    <col min="24" max="25" width="14.77734375" style="12" customWidth="1"/>
    <col min="26" max="26" width="13.44140625" style="584" customWidth="1"/>
    <col min="27" max="27" width="14.33203125" style="1" customWidth="1"/>
    <col min="28" max="28" width="21.88671875" style="924" customWidth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9.21875" style="1" customWidth="1"/>
    <col min="33" max="33" width="12.21875" style="1" bestFit="1" customWidth="1"/>
    <col min="34" max="34" width="8.77734375" style="1"/>
    <col min="35" max="35" width="13.21875" style="1" customWidth="1"/>
    <col min="36" max="36" width="15.109375" style="1" customWidth="1"/>
    <col min="37" max="37" width="8.77734375" style="1"/>
    <col min="38" max="38" width="14.44140625" style="1" customWidth="1"/>
    <col min="39" max="16384" width="8.77734375" style="1"/>
  </cols>
  <sheetData>
    <row r="2" spans="1:92" ht="21" x14ac:dyDescent="0.4">
      <c r="B2" s="128" t="s">
        <v>167</v>
      </c>
      <c r="C2" s="128" t="s">
        <v>168</v>
      </c>
      <c r="D2" s="508"/>
      <c r="E2" s="508"/>
      <c r="H2" s="1465" t="s">
        <v>32</v>
      </c>
      <c r="I2" s="1465"/>
      <c r="J2" s="1465"/>
      <c r="K2" s="1465"/>
    </row>
    <row r="3" spans="1:92" ht="15" thickBot="1" x14ac:dyDescent="0.35"/>
    <row r="4" spans="1:92" ht="29.4" thickBot="1" x14ac:dyDescent="0.35">
      <c r="A4" s="585" t="s">
        <v>544</v>
      </c>
      <c r="B4" s="1466" t="s">
        <v>0</v>
      </c>
      <c r="C4" s="1467"/>
      <c r="D4" s="804" t="s">
        <v>1</v>
      </c>
      <c r="E4" s="804" t="s">
        <v>176</v>
      </c>
      <c r="F4" s="805" t="s">
        <v>26</v>
      </c>
      <c r="G4" s="805" t="s">
        <v>33</v>
      </c>
      <c r="H4" s="806" t="s">
        <v>278</v>
      </c>
      <c r="I4" s="806" t="s">
        <v>438</v>
      </c>
      <c r="J4" s="806" t="s">
        <v>443</v>
      </c>
      <c r="K4" s="805" t="s">
        <v>34</v>
      </c>
      <c r="L4" s="806" t="s">
        <v>35</v>
      </c>
      <c r="M4" s="805" t="s">
        <v>437</v>
      </c>
      <c r="N4" s="805" t="s">
        <v>207</v>
      </c>
      <c r="O4" s="805" t="s">
        <v>36</v>
      </c>
      <c r="P4" s="805" t="s">
        <v>37</v>
      </c>
      <c r="Q4" s="805" t="s">
        <v>511</v>
      </c>
      <c r="R4" s="805" t="s">
        <v>127</v>
      </c>
      <c r="S4" s="805" t="s">
        <v>299</v>
      </c>
      <c r="T4" s="805" t="s">
        <v>153</v>
      </c>
      <c r="U4" s="805" t="s">
        <v>154</v>
      </c>
      <c r="V4" s="803" t="s">
        <v>155</v>
      </c>
      <c r="W4" s="805" t="s">
        <v>219</v>
      </c>
      <c r="X4" s="805" t="s">
        <v>220</v>
      </c>
      <c r="Y4" s="803" t="s">
        <v>221</v>
      </c>
      <c r="Z4" s="918" t="s">
        <v>583</v>
      </c>
      <c r="AB4" s="925" t="s">
        <v>512</v>
      </c>
      <c r="AC4" s="721" t="s">
        <v>580</v>
      </c>
    </row>
    <row r="5" spans="1:92" ht="30.6" customHeight="1" thickBot="1" x14ac:dyDescent="0.35">
      <c r="A5" s="1451">
        <v>1</v>
      </c>
      <c r="B5" s="1225">
        <v>46265</v>
      </c>
      <c r="C5" s="1225"/>
      <c r="D5" s="741" t="s">
        <v>440</v>
      </c>
      <c r="E5" s="741" t="s">
        <v>439</v>
      </c>
      <c r="F5" s="863" t="s">
        <v>12</v>
      </c>
      <c r="G5" s="812">
        <v>0.2271</v>
      </c>
      <c r="H5" s="553">
        <v>116.84</v>
      </c>
      <c r="I5" s="553">
        <f t="shared" ref="I5:I11" si="0">H5/((720-R5)/60)</f>
        <v>11.198722044728434</v>
      </c>
      <c r="J5" s="553">
        <f>H5</f>
        <v>116.84</v>
      </c>
      <c r="K5" s="876">
        <v>1.135</v>
      </c>
      <c r="L5" s="877">
        <v>0.68</v>
      </c>
      <c r="M5" s="553">
        <f>H5*K5*G5</f>
        <v>30.116503140000003</v>
      </c>
      <c r="N5" s="1431">
        <f>SUM(M5:M6)</f>
        <v>95.90021999999999</v>
      </c>
      <c r="O5" s="553">
        <f t="shared" ref="O5:O11" si="1">M5/((720-R5)/60)</f>
        <v>2.8865657961661344</v>
      </c>
      <c r="P5" s="1431">
        <f>'Milling Down Time Hours'!Q5</f>
        <v>22.433333333333334</v>
      </c>
      <c r="Q5" s="553">
        <f t="shared" ref="Q5:Q15" si="2">720-R5</f>
        <v>626</v>
      </c>
      <c r="R5" s="553">
        <f>'Milling Down Time Hours'!G5</f>
        <v>94</v>
      </c>
      <c r="S5" s="1439">
        <f>SUM(M5:M8)</f>
        <v>292.31360000000001</v>
      </c>
      <c r="T5" s="555">
        <f>IFERROR(AVERAGE('LT Ball Mill'!F4:F6),"")</f>
        <v>0.96699999999999997</v>
      </c>
      <c r="U5" s="555">
        <f>AVERAGE('LT Ball Mill'!G4:G6)</f>
        <v>0.41</v>
      </c>
      <c r="V5" s="555">
        <f>AVERAGE('LT Ball Mill'!H4:H6)</f>
        <v>6.1096666666666666</v>
      </c>
      <c r="W5" s="469">
        <f t="shared" ref="W5:W46" si="3">T5*M5</f>
        <v>29.122658536380001</v>
      </c>
      <c r="X5" s="553">
        <f>M5*U5</f>
        <v>12.347766287400001</v>
      </c>
      <c r="Y5" s="553">
        <f t="shared" ref="Y5:Y46" si="4">M5*V5</f>
        <v>184.00179535102001</v>
      </c>
      <c r="Z5" s="863"/>
      <c r="AB5" s="926">
        <f t="shared" ref="AB5:AB49" si="5">W5*$AC$5</f>
        <v>72806646.340949997</v>
      </c>
      <c r="AC5" s="722">
        <v>2500000</v>
      </c>
      <c r="AE5" s="719"/>
      <c r="AG5" s="1421" t="s">
        <v>38</v>
      </c>
      <c r="AH5" s="1422"/>
      <c r="AI5" s="1422"/>
      <c r="AJ5" s="1423"/>
      <c r="AL5" s="709" t="s">
        <v>214</v>
      </c>
      <c r="AM5" s="710">
        <v>10.7</v>
      </c>
      <c r="AN5" s="711" t="s">
        <v>216</v>
      </c>
    </row>
    <row r="6" spans="1:92" ht="16.2" thickBot="1" x14ac:dyDescent="0.35">
      <c r="A6" s="1451"/>
      <c r="B6" s="1225"/>
      <c r="C6" s="1225"/>
      <c r="D6" s="741" t="s">
        <v>441</v>
      </c>
      <c r="E6" s="741" t="s">
        <v>439</v>
      </c>
      <c r="F6" s="863" t="s">
        <v>13</v>
      </c>
      <c r="G6" s="812">
        <v>0.36</v>
      </c>
      <c r="H6" s="1097">
        <f>J6-H5</f>
        <v>98.859999999999985</v>
      </c>
      <c r="I6" s="553">
        <f t="shared" si="0"/>
        <v>8.2383333333333315</v>
      </c>
      <c r="J6" s="553">
        <v>215.7</v>
      </c>
      <c r="K6" s="876">
        <v>1.2350000000000001</v>
      </c>
      <c r="L6" s="877">
        <v>0.68</v>
      </c>
      <c r="M6" s="553">
        <f>(J6*K6*G6)-SUM(M5)</f>
        <v>65.783716859999984</v>
      </c>
      <c r="N6" s="1431"/>
      <c r="O6" s="553">
        <f t="shared" si="1"/>
        <v>5.4819764049999984</v>
      </c>
      <c r="P6" s="1431"/>
      <c r="Q6" s="553">
        <f t="shared" si="2"/>
        <v>720</v>
      </c>
      <c r="R6" s="553">
        <f>'Milling Down Time Hours'!G6</f>
        <v>0</v>
      </c>
      <c r="S6" s="1439"/>
      <c r="T6" s="555">
        <f>AVERAGE('LT Ball Mill'!F7:F9)</f>
        <v>0.60899999999999999</v>
      </c>
      <c r="U6" s="555">
        <f>AVERAGE('LT Ball Mill'!G7:G9)</f>
        <v>0.52833333333333343</v>
      </c>
      <c r="V6" s="555">
        <f>AVERAGE('LT Ball Mill'!H7:H9)</f>
        <v>7.623333333333334</v>
      </c>
      <c r="W6" s="469">
        <f>T6*M6</f>
        <v>40.062283567739989</v>
      </c>
      <c r="X6" s="553">
        <f>M6*U6</f>
        <v>34.7557304077</v>
      </c>
      <c r="Y6" s="553">
        <f t="shared" si="4"/>
        <v>501.49120152939992</v>
      </c>
      <c r="Z6" s="863"/>
      <c r="AB6" s="927">
        <f t="shared" si="5"/>
        <v>100155708.91934997</v>
      </c>
      <c r="AD6" s="719"/>
      <c r="AE6" s="719"/>
      <c r="AG6" s="699"/>
      <c r="AH6" s="706" t="s">
        <v>39</v>
      </c>
      <c r="AI6" s="720">
        <v>1190</v>
      </c>
      <c r="AJ6" s="700" t="s">
        <v>40</v>
      </c>
      <c r="AK6" s="705"/>
      <c r="AL6" s="712" t="s">
        <v>215</v>
      </c>
      <c r="AM6" s="718">
        <v>2.8</v>
      </c>
      <c r="AN6" s="714" t="s">
        <v>216</v>
      </c>
    </row>
    <row r="7" spans="1:92" s="426" customFormat="1" ht="15.6" x14ac:dyDescent="0.3">
      <c r="A7" s="1451"/>
      <c r="B7" s="1225">
        <v>46266</v>
      </c>
      <c r="C7" s="1225"/>
      <c r="D7" s="741" t="s">
        <v>440</v>
      </c>
      <c r="E7" s="741" t="s">
        <v>439</v>
      </c>
      <c r="F7" s="863" t="s">
        <v>12</v>
      </c>
      <c r="G7" s="877">
        <v>0.38790000000000002</v>
      </c>
      <c r="H7" s="553">
        <f>J7-SUM(H5:H6)</f>
        <v>143.30000000000001</v>
      </c>
      <c r="I7" s="553">
        <f t="shared" si="0"/>
        <v>11.941666666666668</v>
      </c>
      <c r="J7" s="553">
        <v>359</v>
      </c>
      <c r="K7" s="876">
        <v>1.2549999999999999</v>
      </c>
      <c r="L7" s="877">
        <v>0.7</v>
      </c>
      <c r="M7" s="553">
        <f>(J7*K7*G7)-SUM(M5:M6)</f>
        <v>78.8661855</v>
      </c>
      <c r="N7" s="1431">
        <f>SUM(M7:M8)</f>
        <v>196.41338000000002</v>
      </c>
      <c r="O7" s="553">
        <f t="shared" si="1"/>
        <v>6.5721821250000003</v>
      </c>
      <c r="P7" s="1431">
        <f>'Milling Down Time Hours'!Q6</f>
        <v>22.9</v>
      </c>
      <c r="Q7" s="553">
        <f t="shared" si="2"/>
        <v>720</v>
      </c>
      <c r="R7" s="553">
        <f>'Milling Down Time Hours'!G7</f>
        <v>0</v>
      </c>
      <c r="S7" s="1439"/>
      <c r="T7" s="555">
        <f>AVERAGE('LT Ball Mill'!F10:F12)</f>
        <v>0.64699999999999991</v>
      </c>
      <c r="U7" s="555">
        <f>AVERAGE('LT Ball Mill'!G10:G12)</f>
        <v>0.67433333333333334</v>
      </c>
      <c r="V7" s="555">
        <f>AVERAGE('LT Ball Mill'!H10:H12)</f>
        <v>7.5333333333333341</v>
      </c>
      <c r="W7" s="469">
        <f t="shared" si="3"/>
        <v>51.026422018499993</v>
      </c>
      <c r="X7" s="553">
        <f t="shared" ref="X7:X46" si="6">M7*U7</f>
        <v>53.182097755500003</v>
      </c>
      <c r="Y7" s="553">
        <f t="shared" si="4"/>
        <v>594.12526410000009</v>
      </c>
      <c r="Z7" s="863"/>
      <c r="AA7" s="1"/>
      <c r="AB7" s="927">
        <f t="shared" si="5"/>
        <v>127566055.04624999</v>
      </c>
      <c r="AC7" s="1"/>
      <c r="AD7" s="1"/>
      <c r="AE7" s="1"/>
      <c r="AF7" s="1"/>
      <c r="AG7" s="699"/>
      <c r="AH7" s="30" t="s">
        <v>41</v>
      </c>
      <c r="AI7" s="707">
        <v>1000</v>
      </c>
      <c r="AJ7" s="700" t="s">
        <v>42</v>
      </c>
      <c r="AK7" s="1"/>
      <c r="AL7" s="712" t="s">
        <v>217</v>
      </c>
      <c r="AM7" s="713">
        <f>AM5*0.5</f>
        <v>5.35</v>
      </c>
      <c r="AN7" s="714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s="426" customFormat="1" ht="16.2" thickBot="1" x14ac:dyDescent="0.35">
      <c r="A8" s="1451"/>
      <c r="B8" s="1225"/>
      <c r="C8" s="1225"/>
      <c r="D8" s="742" t="s">
        <v>441</v>
      </c>
      <c r="E8" s="742" t="s">
        <v>442</v>
      </c>
      <c r="F8" s="863" t="s">
        <v>13</v>
      </c>
      <c r="G8" s="877">
        <v>0.41</v>
      </c>
      <c r="H8" s="553">
        <f>J8-SUM(H5:H7)</f>
        <v>198</v>
      </c>
      <c r="I8" s="553">
        <f t="shared" si="0"/>
        <v>18.165137614678898</v>
      </c>
      <c r="J8" s="553">
        <v>557</v>
      </c>
      <c r="K8" s="876">
        <v>1.28</v>
      </c>
      <c r="L8" s="877">
        <v>0.7</v>
      </c>
      <c r="M8" s="553">
        <f>(K8*J8*G8)-(SUM(M5:M7))</f>
        <v>117.54719450000002</v>
      </c>
      <c r="N8" s="1431"/>
      <c r="O8" s="553">
        <f t="shared" si="1"/>
        <v>10.78414628440367</v>
      </c>
      <c r="P8" s="1431"/>
      <c r="Q8" s="553">
        <f t="shared" si="2"/>
        <v>654</v>
      </c>
      <c r="R8" s="553">
        <f>'Milling Down Time Hours'!G8</f>
        <v>66</v>
      </c>
      <c r="S8" s="1439"/>
      <c r="T8" s="555">
        <f>AVERAGE('LT Ball Mill'!F13:F15)</f>
        <v>0.60899999999999999</v>
      </c>
      <c r="U8" s="555">
        <f>AVERAGE('LT Ball Mill'!G13:G15)</f>
        <v>0.52833333333333343</v>
      </c>
      <c r="V8" s="555">
        <f>AVERAGE('LT Ball Mill'!H13:H15)</f>
        <v>7.623333333333334</v>
      </c>
      <c r="W8" s="469">
        <f t="shared" si="3"/>
        <v>71.586241450500012</v>
      </c>
      <c r="X8" s="553">
        <f t="shared" si="6"/>
        <v>62.104101094166687</v>
      </c>
      <c r="Y8" s="553">
        <f t="shared" si="4"/>
        <v>896.10144607166683</v>
      </c>
      <c r="Z8" s="863"/>
      <c r="AA8" s="1"/>
      <c r="AB8" s="927">
        <f t="shared" si="5"/>
        <v>178965603.62625003</v>
      </c>
      <c r="AC8" s="1"/>
      <c r="AD8" s="1"/>
      <c r="AE8" s="1"/>
      <c r="AF8" s="1"/>
      <c r="AG8" s="699"/>
      <c r="AH8" s="30" t="s">
        <v>43</v>
      </c>
      <c r="AI8" s="701">
        <f>+AI6/AI7</f>
        <v>1.19</v>
      </c>
      <c r="AJ8" s="700" t="s">
        <v>44</v>
      </c>
      <c r="AK8" s="1"/>
      <c r="AL8" s="715" t="s">
        <v>218</v>
      </c>
      <c r="AM8" s="716">
        <f>3.14*AM7*AM7*AM6</f>
        <v>251.64901999999995</v>
      </c>
      <c r="AN8" s="717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.6" x14ac:dyDescent="0.3">
      <c r="A9" s="1453">
        <v>2</v>
      </c>
      <c r="B9" s="1227">
        <v>46267</v>
      </c>
      <c r="C9" s="1227"/>
      <c r="D9" s="743" t="s">
        <v>440</v>
      </c>
      <c r="E9" s="743" t="s">
        <v>445</v>
      </c>
      <c r="F9" s="781" t="s">
        <v>12</v>
      </c>
      <c r="G9" s="878">
        <v>0.39</v>
      </c>
      <c r="H9" s="617">
        <f>J9</f>
        <v>215</v>
      </c>
      <c r="I9" s="485">
        <f t="shared" si="0"/>
        <v>21.5</v>
      </c>
      <c r="J9" s="617">
        <v>215</v>
      </c>
      <c r="K9" s="1099">
        <v>1.26</v>
      </c>
      <c r="L9" s="878">
        <v>0.72</v>
      </c>
      <c r="M9" s="485">
        <f>J9*K9*G9</f>
        <v>105.651</v>
      </c>
      <c r="N9" s="1454">
        <f>SUM(M9:M10)</f>
        <v>209.804</v>
      </c>
      <c r="O9" s="485">
        <f t="shared" si="1"/>
        <v>10.565099999999999</v>
      </c>
      <c r="P9" s="1454">
        <f>'Milling Down Time Hours'!Q7</f>
        <v>22</v>
      </c>
      <c r="Q9" s="485">
        <f t="shared" si="2"/>
        <v>600</v>
      </c>
      <c r="R9" s="934">
        <f>'Milling Down Time Hours'!G9</f>
        <v>120.00000000000001</v>
      </c>
      <c r="S9" s="1434">
        <f>SUM(M9:M11)</f>
        <v>300.14215000000002</v>
      </c>
      <c r="T9" s="583">
        <f>AVERAGE('LT Ball Mill'!F16:F18)</f>
        <v>0.7446666666666667</v>
      </c>
      <c r="U9" s="583">
        <f>AVERAGE('LT Ball Mill'!G16:G18)</f>
        <v>0.59</v>
      </c>
      <c r="V9" s="583">
        <f>AVERAGE('LT Ball Mill'!H16:H18)</f>
        <v>9.8400000000000016</v>
      </c>
      <c r="W9" s="472">
        <f t="shared" si="3"/>
        <v>78.674778000000003</v>
      </c>
      <c r="X9" s="485">
        <f t="shared" si="6"/>
        <v>62.334089999999996</v>
      </c>
      <c r="Y9" s="485">
        <f t="shared" si="4"/>
        <v>1039.6058400000002</v>
      </c>
      <c r="Z9" s="781"/>
      <c r="AB9" s="928">
        <f t="shared" si="5"/>
        <v>196686945</v>
      </c>
      <c r="AG9" s="723"/>
      <c r="AH9" s="724" t="s">
        <v>45</v>
      </c>
      <c r="AI9" s="725">
        <f>2.1</f>
        <v>2.1</v>
      </c>
      <c r="AJ9" s="726" t="s">
        <v>44</v>
      </c>
    </row>
    <row r="10" spans="1:92" ht="16.2" thickBot="1" x14ac:dyDescent="0.35">
      <c r="A10" s="1453"/>
      <c r="B10" s="1227"/>
      <c r="C10" s="1227"/>
      <c r="D10" s="743" t="s">
        <v>444</v>
      </c>
      <c r="E10" s="497"/>
      <c r="F10" s="781" t="s">
        <v>13</v>
      </c>
      <c r="G10" s="878">
        <v>0.4</v>
      </c>
      <c r="H10" s="617">
        <f>J10-H9</f>
        <v>198</v>
      </c>
      <c r="I10" s="485">
        <f t="shared" si="0"/>
        <v>16.5</v>
      </c>
      <c r="J10" s="617">
        <v>413</v>
      </c>
      <c r="K10" s="1099">
        <v>1.27</v>
      </c>
      <c r="L10" s="878">
        <v>0.72</v>
      </c>
      <c r="M10" s="485">
        <f>K10*J10*G10-SUM(M9)</f>
        <v>104.15300000000001</v>
      </c>
      <c r="N10" s="1454"/>
      <c r="O10" s="485">
        <f t="shared" si="1"/>
        <v>8.6794166666666666</v>
      </c>
      <c r="P10" s="1454"/>
      <c r="Q10" s="485">
        <f t="shared" si="2"/>
        <v>720</v>
      </c>
      <c r="R10" s="934">
        <f>'Milling Down Time Hours'!G10</f>
        <v>0</v>
      </c>
      <c r="S10" s="1434"/>
      <c r="T10" s="583">
        <f>AVERAGE('LT Ball Mill'!F19:F21)</f>
        <v>0.64600000000000002</v>
      </c>
      <c r="U10" s="583">
        <f>AVERAGE('LT Ball Mill'!G19:G21)</f>
        <v>1.0666666666666667</v>
      </c>
      <c r="V10" s="583">
        <f>AVERAGE('LT Ball Mill'!H19:H21)</f>
        <v>9.2566666666666659</v>
      </c>
      <c r="W10" s="472">
        <f t="shared" si="3"/>
        <v>67.282838000000012</v>
      </c>
      <c r="X10" s="485">
        <f t="shared" si="6"/>
        <v>111.09653333333334</v>
      </c>
      <c r="Y10" s="485">
        <f t="shared" si="4"/>
        <v>964.10960333333333</v>
      </c>
      <c r="Z10" s="781"/>
      <c r="AB10" s="928">
        <f t="shared" si="5"/>
        <v>168207095.00000003</v>
      </c>
      <c r="AG10" s="723"/>
      <c r="AH10" s="724" t="s">
        <v>46</v>
      </c>
      <c r="AI10" s="725">
        <v>1</v>
      </c>
      <c r="AJ10" s="726" t="s">
        <v>44</v>
      </c>
    </row>
    <row r="11" spans="1:92" s="426" customFormat="1" ht="16.2" thickBot="1" x14ac:dyDescent="0.35">
      <c r="A11" s="1453"/>
      <c r="B11" s="1227">
        <v>46268</v>
      </c>
      <c r="C11" s="1227"/>
      <c r="D11" s="743" t="s">
        <v>440</v>
      </c>
      <c r="E11" s="744" t="s">
        <v>471</v>
      </c>
      <c r="F11" s="781" t="s">
        <v>12</v>
      </c>
      <c r="G11" s="878">
        <v>0.43</v>
      </c>
      <c r="H11" s="617">
        <f>J11-H10-H9</f>
        <v>126</v>
      </c>
      <c r="I11" s="485">
        <f t="shared" si="0"/>
        <v>10.5</v>
      </c>
      <c r="J11" s="617">
        <v>539</v>
      </c>
      <c r="K11" s="1099">
        <v>1.2949999999999999</v>
      </c>
      <c r="L11" s="878">
        <v>0.71</v>
      </c>
      <c r="M11" s="485">
        <f>J11*K11*G11-SUM(M9:M10)</f>
        <v>90.338150000000013</v>
      </c>
      <c r="N11" s="1454">
        <f>SUM(M11:M12)</f>
        <v>90.338150000000013</v>
      </c>
      <c r="O11" s="485">
        <f t="shared" si="1"/>
        <v>7.5281791666666678</v>
      </c>
      <c r="P11" s="1454">
        <f>'Milling Down Time Hours'!Q8</f>
        <v>23</v>
      </c>
      <c r="Q11" s="485">
        <f t="shared" si="2"/>
        <v>720</v>
      </c>
      <c r="R11" s="934">
        <f>'Milling Down Time Hours'!G11</f>
        <v>0</v>
      </c>
      <c r="S11" s="1434"/>
      <c r="T11" s="583">
        <f>AVERAGE('LT Ball Mill'!F22:F24)</f>
        <v>0.66133333333333333</v>
      </c>
      <c r="U11" s="583">
        <f>AVERAGE('LT Ball Mill'!G22:G24)</f>
        <v>0.72333333333333327</v>
      </c>
      <c r="V11" s="583">
        <f>AVERAGE('LT Ball Mill'!H22:H24)</f>
        <v>8.0566666666666666</v>
      </c>
      <c r="W11" s="472">
        <f t="shared" si="3"/>
        <v>59.743629866666673</v>
      </c>
      <c r="X11" s="485">
        <f t="shared" si="6"/>
        <v>65.344595166666664</v>
      </c>
      <c r="Y11" s="485">
        <f t="shared" si="4"/>
        <v>727.82436183333346</v>
      </c>
      <c r="Z11" s="781"/>
      <c r="AA11" s="1"/>
      <c r="AB11" s="928">
        <f t="shared" si="5"/>
        <v>149359074.66666669</v>
      </c>
      <c r="AC11" s="1"/>
      <c r="AD11" s="1"/>
      <c r="AE11" s="1"/>
      <c r="AF11" s="1"/>
      <c r="AG11" s="699"/>
      <c r="AH11" s="706" t="s">
        <v>47</v>
      </c>
      <c r="AI11" s="708">
        <f>+(AI8-1)/(AI8-AI8/AI9)</f>
        <v>0.30481283422459887</v>
      </c>
      <c r="AJ11" s="700"/>
      <c r="AK11" s="7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s="426" customFormat="1" ht="16.2" thickBot="1" x14ac:dyDescent="0.35">
      <c r="A12" s="1453"/>
      <c r="B12" s="1241"/>
      <c r="C12" s="1241"/>
      <c r="D12" s="787" t="s">
        <v>444</v>
      </c>
      <c r="E12" s="788" t="s">
        <v>467</v>
      </c>
      <c r="F12" s="911" t="s">
        <v>13</v>
      </c>
      <c r="G12" s="892"/>
      <c r="H12" s="869"/>
      <c r="I12" s="554"/>
      <c r="J12" s="869"/>
      <c r="K12" s="869"/>
      <c r="L12" s="879"/>
      <c r="M12" s="554">
        <f t="shared" ref="M12:M74" si="7">H12*K12*G12</f>
        <v>0</v>
      </c>
      <c r="N12" s="1448"/>
      <c r="O12" s="554"/>
      <c r="P12" s="1448"/>
      <c r="Q12" s="554">
        <f t="shared" si="2"/>
        <v>660</v>
      </c>
      <c r="R12" s="960">
        <f>'Milling Down Time Hours'!G12</f>
        <v>60.000000000000007</v>
      </c>
      <c r="S12" s="1428"/>
      <c r="T12" s="789"/>
      <c r="U12" s="789"/>
      <c r="V12" s="789"/>
      <c r="W12" s="543">
        <f t="shared" si="3"/>
        <v>0</v>
      </c>
      <c r="X12" s="554">
        <f t="shared" si="6"/>
        <v>0</v>
      </c>
      <c r="Y12" s="554">
        <f t="shared" si="4"/>
        <v>0</v>
      </c>
      <c r="Z12" s="911"/>
      <c r="AA12" s="1"/>
      <c r="AB12" s="929">
        <f t="shared" si="5"/>
        <v>0</v>
      </c>
      <c r="AC12" s="1"/>
      <c r="AD12" s="1"/>
      <c r="AE12" s="1"/>
      <c r="AF12" s="1"/>
      <c r="AG12" s="723"/>
      <c r="AH12" s="724" t="s">
        <v>48</v>
      </c>
      <c r="AI12" s="727">
        <f>+AI11*AI6</f>
        <v>362.72727272727263</v>
      </c>
      <c r="AJ12" s="726" t="s">
        <v>40</v>
      </c>
      <c r="AK12" s="7"/>
      <c r="AL12" s="111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.6" x14ac:dyDescent="0.3">
      <c r="A13" s="1476"/>
      <c r="B13" s="1458">
        <v>46269</v>
      </c>
      <c r="C13" s="1257"/>
      <c r="D13" s="1474" t="s">
        <v>484</v>
      </c>
      <c r="E13" s="730"/>
      <c r="F13" s="912" t="s">
        <v>12</v>
      </c>
      <c r="G13" s="893"/>
      <c r="H13" s="870"/>
      <c r="I13" s="795"/>
      <c r="J13" s="870"/>
      <c r="K13" s="870"/>
      <c r="L13" s="870"/>
      <c r="M13" s="795">
        <f t="shared" si="7"/>
        <v>0</v>
      </c>
      <c r="N13" s="795"/>
      <c r="O13" s="870">
        <v>0</v>
      </c>
      <c r="P13" s="795">
        <f>'Milling Down Time Hours'!Q9</f>
        <v>0</v>
      </c>
      <c r="Q13" s="795"/>
      <c r="R13" s="1456">
        <f>'Milling Down Time Hours'!P9</f>
        <v>1440</v>
      </c>
      <c r="S13" s="807"/>
      <c r="T13" s="796"/>
      <c r="U13" s="796"/>
      <c r="V13" s="796"/>
      <c r="W13" s="797">
        <f t="shared" si="3"/>
        <v>0</v>
      </c>
      <c r="X13" s="795">
        <f t="shared" si="6"/>
        <v>0</v>
      </c>
      <c r="Y13" s="795">
        <f t="shared" si="4"/>
        <v>0</v>
      </c>
      <c r="Z13" s="919"/>
      <c r="AB13" s="929">
        <f t="shared" si="5"/>
        <v>0</v>
      </c>
      <c r="AG13" s="723"/>
      <c r="AH13" s="724" t="s">
        <v>49</v>
      </c>
      <c r="AI13" s="727">
        <f>(AI6-AI12)</f>
        <v>827.27272727272737</v>
      </c>
      <c r="AJ13" s="726" t="s">
        <v>40</v>
      </c>
      <c r="AK13" s="7"/>
      <c r="AL13" s="1603">
        <f>1.2*9</f>
        <v>10.799999999999999</v>
      </c>
    </row>
    <row r="14" spans="1:92" ht="16.2" thickBot="1" x14ac:dyDescent="0.35">
      <c r="A14" s="1476"/>
      <c r="B14" s="1459"/>
      <c r="C14" s="1243"/>
      <c r="D14" s="1475"/>
      <c r="E14" s="798"/>
      <c r="F14" s="913" t="s">
        <v>13</v>
      </c>
      <c r="G14" s="880"/>
      <c r="H14" s="871"/>
      <c r="I14" s="800"/>
      <c r="J14" s="871"/>
      <c r="K14" s="871"/>
      <c r="L14" s="880"/>
      <c r="M14" s="800">
        <f t="shared" si="7"/>
        <v>0</v>
      </c>
      <c r="N14" s="800"/>
      <c r="O14" s="800">
        <f>(N14/SUM(P5:P14))</f>
        <v>0</v>
      </c>
      <c r="P14" s="800">
        <v>0</v>
      </c>
      <c r="Q14" s="800">
        <v>0</v>
      </c>
      <c r="R14" s="1457"/>
      <c r="S14" s="799"/>
      <c r="T14" s="801"/>
      <c r="U14" s="801"/>
      <c r="V14" s="801"/>
      <c r="W14" s="802">
        <f t="shared" si="3"/>
        <v>0</v>
      </c>
      <c r="X14" s="800">
        <f t="shared" si="6"/>
        <v>0</v>
      </c>
      <c r="Y14" s="800">
        <f t="shared" si="4"/>
        <v>0</v>
      </c>
      <c r="Z14" s="920"/>
      <c r="AB14" s="929">
        <f t="shared" si="5"/>
        <v>0</v>
      </c>
      <c r="AG14" s="702"/>
      <c r="AH14" s="703"/>
      <c r="AI14" s="703"/>
      <c r="AJ14" s="704"/>
      <c r="AK14" s="7"/>
      <c r="AL14" s="1111"/>
    </row>
    <row r="15" spans="1:92" x14ac:dyDescent="0.3">
      <c r="A15" s="745"/>
      <c r="B15" s="1450">
        <v>46270</v>
      </c>
      <c r="C15" s="1450"/>
      <c r="D15" s="790"/>
      <c r="E15" s="790" t="s">
        <v>485</v>
      </c>
      <c r="F15" s="909" t="s">
        <v>12</v>
      </c>
      <c r="G15" s="865"/>
      <c r="H15" s="865"/>
      <c r="I15" s="792"/>
      <c r="J15" s="865"/>
      <c r="K15" s="865"/>
      <c r="L15" s="881"/>
      <c r="M15" s="792">
        <f t="shared" si="7"/>
        <v>0</v>
      </c>
      <c r="N15" s="865"/>
      <c r="O15" s="865"/>
      <c r="P15" s="792">
        <v>0</v>
      </c>
      <c r="Q15" s="792">
        <f t="shared" si="2"/>
        <v>0</v>
      </c>
      <c r="R15" s="792">
        <f>'Milling Down Time Hours'!G15</f>
        <v>720</v>
      </c>
      <c r="S15" s="791"/>
      <c r="T15" s="793"/>
      <c r="U15" s="793"/>
      <c r="V15" s="793"/>
      <c r="W15" s="794">
        <f t="shared" si="3"/>
        <v>0</v>
      </c>
      <c r="X15" s="792">
        <f t="shared" si="6"/>
        <v>0</v>
      </c>
      <c r="Y15" s="792">
        <f t="shared" si="4"/>
        <v>0</v>
      </c>
      <c r="Z15" s="909"/>
      <c r="AB15" s="929">
        <f t="shared" si="5"/>
        <v>0</v>
      </c>
      <c r="AL15" s="1111"/>
      <c r="AM15" s="1111"/>
    </row>
    <row r="16" spans="1:92" x14ac:dyDescent="0.3">
      <c r="A16" s="1451">
        <v>3</v>
      </c>
      <c r="B16" s="1225">
        <v>46270</v>
      </c>
      <c r="C16" s="1225"/>
      <c r="D16" s="544" t="s">
        <v>441</v>
      </c>
      <c r="E16" s="570" t="s">
        <v>486</v>
      </c>
      <c r="F16" s="863" t="s">
        <v>13</v>
      </c>
      <c r="G16" s="877">
        <v>0.38</v>
      </c>
      <c r="H16" s="553">
        <f>J16-'Au Cal Leaching Tank'!$T$10</f>
        <v>62.150000000000006</v>
      </c>
      <c r="I16" s="553">
        <v>5.57</v>
      </c>
      <c r="J16" s="579">
        <v>170</v>
      </c>
      <c r="K16" s="579">
        <v>1.25</v>
      </c>
      <c r="L16" s="877">
        <v>0.7</v>
      </c>
      <c r="M16" s="553">
        <f>(J16*K16*G16)-'Au Cal Leaching Tank'!$U$10</f>
        <v>26.314330250000005</v>
      </c>
      <c r="N16" s="553">
        <f>SUM(M15:M16)</f>
        <v>26.314330250000005</v>
      </c>
      <c r="O16" s="553">
        <f t="shared" ref="O16:O23" si="8">M16/P16</f>
        <v>2.325272187039765</v>
      </c>
      <c r="P16" s="553">
        <f>Q16/60</f>
        <v>11.316666666666666</v>
      </c>
      <c r="Q16" s="553">
        <f>720-R16</f>
        <v>679</v>
      </c>
      <c r="R16" s="553">
        <v>41</v>
      </c>
      <c r="S16" s="1439">
        <f>SUM(M16:M19)</f>
        <v>326.97083025000006</v>
      </c>
      <c r="T16" s="555">
        <f>AVERAGE('LT Ball Mill'!F25:F27)</f>
        <v>1.087</v>
      </c>
      <c r="U16" s="555">
        <f>AVERAGE('LT Ball Mill'!G25:G27)</f>
        <v>0.77333333333333332</v>
      </c>
      <c r="V16" s="555">
        <f>AVERAGE('LT Ball Mill'!H25:H27)</f>
        <v>8.1166666666666671</v>
      </c>
      <c r="W16" s="469">
        <f t="shared" si="3"/>
        <v>28.603676981750006</v>
      </c>
      <c r="X16" s="553">
        <f t="shared" si="6"/>
        <v>20.349748726666668</v>
      </c>
      <c r="Y16" s="553">
        <f t="shared" si="4"/>
        <v>213.58464719583338</v>
      </c>
      <c r="Z16" s="863"/>
      <c r="AB16" s="927">
        <f t="shared" si="5"/>
        <v>71509192.454375014</v>
      </c>
    </row>
    <row r="17" spans="1:32" x14ac:dyDescent="0.3">
      <c r="A17" s="1451"/>
      <c r="B17" s="1225">
        <v>46271</v>
      </c>
      <c r="C17" s="1225"/>
      <c r="D17" s="599" t="s">
        <v>441</v>
      </c>
      <c r="E17" s="599" t="s">
        <v>506</v>
      </c>
      <c r="F17" s="863" t="s">
        <v>12</v>
      </c>
      <c r="G17" s="877">
        <v>0.47</v>
      </c>
      <c r="H17" s="553">
        <f>J17-SUM(H16)-'Au Cal Leaching Tank'!$T$10</f>
        <v>45</v>
      </c>
      <c r="I17" s="553">
        <f t="shared" ref="I17:I22" si="9">H17/((720-R17)/60)</f>
        <v>4.5762711864406773</v>
      </c>
      <c r="J17" s="579">
        <v>215</v>
      </c>
      <c r="K17" s="579">
        <v>1.33</v>
      </c>
      <c r="L17" s="877">
        <v>0.65</v>
      </c>
      <c r="M17" s="553">
        <f>J17*K17*G17-SUM(M16)-'Au Cal Leaching Tank'!$U$10</f>
        <v>53.646499999999968</v>
      </c>
      <c r="N17" s="1431">
        <f>SUM(M17:M18)</f>
        <v>173.32450000000003</v>
      </c>
      <c r="O17" s="553">
        <f t="shared" si="8"/>
        <v>5.4555762711864366</v>
      </c>
      <c r="P17" s="553">
        <f>(720-R17)/60</f>
        <v>9.8333333333333339</v>
      </c>
      <c r="Q17" s="553">
        <f t="shared" ref="Q17" si="10">720-R17</f>
        <v>590</v>
      </c>
      <c r="R17" s="553">
        <f>'Milling Down Time Hours'!P11</f>
        <v>130</v>
      </c>
      <c r="S17" s="1451"/>
      <c r="T17" s="555">
        <f>AVERAGE('LT Ball Mill'!F28:F30)</f>
        <v>0.90233333333333332</v>
      </c>
      <c r="U17" s="555">
        <f>AVERAGE('LT Ball Mill'!G28:G30)</f>
        <v>0.56999999999999995</v>
      </c>
      <c r="V17" s="555">
        <f>AVERAGE('LT Ball Mill'!H28:H30)</f>
        <v>9.6533333333333342</v>
      </c>
      <c r="W17" s="469">
        <f t="shared" si="3"/>
        <v>48.407025166666635</v>
      </c>
      <c r="X17" s="553">
        <f t="shared" si="6"/>
        <v>30.578504999999979</v>
      </c>
      <c r="Y17" s="553">
        <f t="shared" si="4"/>
        <v>517.86754666666639</v>
      </c>
      <c r="Z17" s="863"/>
      <c r="AB17" s="927">
        <f t="shared" si="5"/>
        <v>121017562.91666658</v>
      </c>
      <c r="AE17" s="43"/>
      <c r="AF17" s="7"/>
    </row>
    <row r="18" spans="1:32" x14ac:dyDescent="0.3">
      <c r="A18" s="1451"/>
      <c r="B18" s="1225"/>
      <c r="C18" s="1225"/>
      <c r="D18" s="599" t="s">
        <v>440</v>
      </c>
      <c r="E18" s="600"/>
      <c r="F18" s="863" t="s">
        <v>13</v>
      </c>
      <c r="G18" s="812">
        <v>0.45</v>
      </c>
      <c r="H18" s="553">
        <f>J18-SUM(H16:H17)-'Au Cal Leaching Tank'!$T$10</f>
        <v>216.00000000000003</v>
      </c>
      <c r="I18" s="553">
        <f t="shared" si="9"/>
        <v>18.000000000000004</v>
      </c>
      <c r="J18" s="579">
        <v>431</v>
      </c>
      <c r="K18" s="579">
        <v>1.31</v>
      </c>
      <c r="L18" s="877">
        <v>0.65</v>
      </c>
      <c r="M18" s="553">
        <f>J18*K18*G18-SUM(M16:M17)-'Au Cal Leaching Tank'!$U$10</f>
        <v>119.67800000000005</v>
      </c>
      <c r="N18" s="1431"/>
      <c r="O18" s="553">
        <f t="shared" si="8"/>
        <v>9.9731666666666712</v>
      </c>
      <c r="P18" s="553">
        <f>(720-R18)/60</f>
        <v>12</v>
      </c>
      <c r="Q18" s="553">
        <f>720-R18</f>
        <v>720</v>
      </c>
      <c r="R18" s="553">
        <v>0</v>
      </c>
      <c r="S18" s="1451"/>
      <c r="T18" s="555">
        <f>AVERAGE('LT Ball Mill'!F31:F33)</f>
        <v>0.81433333333333335</v>
      </c>
      <c r="U18" s="555">
        <f>AVERAGE('LT Ball Mill'!G31:G33)</f>
        <v>0.6333333333333333</v>
      </c>
      <c r="V18" s="555">
        <f>AVERAGE('LT Ball Mill'!H31:H33)</f>
        <v>9.4366666666666674</v>
      </c>
      <c r="W18" s="469">
        <f t="shared" si="3"/>
        <v>97.457784666666711</v>
      </c>
      <c r="X18" s="553">
        <f t="shared" si="6"/>
        <v>75.796066666666704</v>
      </c>
      <c r="Y18" s="553">
        <f t="shared" si="4"/>
        <v>1129.361393333334</v>
      </c>
      <c r="Z18" s="863"/>
      <c r="AB18" s="927">
        <f t="shared" si="5"/>
        <v>243644461.66666678</v>
      </c>
      <c r="AC18" s="117"/>
    </row>
    <row r="19" spans="1:32" x14ac:dyDescent="0.3">
      <c r="A19" s="1451"/>
      <c r="B19" s="1225">
        <v>46272</v>
      </c>
      <c r="C19" s="1225"/>
      <c r="D19" s="599" t="s">
        <v>169</v>
      </c>
      <c r="E19" s="746" t="s">
        <v>518</v>
      </c>
      <c r="F19" s="863" t="s">
        <v>12</v>
      </c>
      <c r="G19" s="877">
        <v>0.45</v>
      </c>
      <c r="H19" s="553">
        <f>J19-SUM(H16:H18)-'Au Cal Leaching Tank'!$T$10</f>
        <v>215.99999999999997</v>
      </c>
      <c r="I19" s="553">
        <f t="shared" si="9"/>
        <v>19.31445603576751</v>
      </c>
      <c r="J19" s="579">
        <v>647</v>
      </c>
      <c r="K19" s="579">
        <v>1.31</v>
      </c>
      <c r="L19" s="877">
        <v>0.73</v>
      </c>
      <c r="M19" s="553">
        <f>J19*K19*G19-SUM(M16:M18)-'Au Cal Leaching Tank'!$U$10</f>
        <v>127.33200000000005</v>
      </c>
      <c r="N19" s="1452">
        <f>SUM(M19:M20)</f>
        <v>185.59190000000007</v>
      </c>
      <c r="O19" s="553">
        <f t="shared" si="8"/>
        <v>8.9775793184488872</v>
      </c>
      <c r="P19" s="553">
        <f>(900-R19)/60</f>
        <v>14.183333333333334</v>
      </c>
      <c r="Q19" s="553">
        <f>900-R19</f>
        <v>851</v>
      </c>
      <c r="R19" s="553">
        <f>'Milling Down Time Hours'!G19+30</f>
        <v>49</v>
      </c>
      <c r="S19" s="1451"/>
      <c r="T19" s="555">
        <f>AVERAGE('LT Ball Mill'!F34:F36)</f>
        <v>0.91199999999999992</v>
      </c>
      <c r="U19" s="555">
        <f>AVERAGE('LT Ball Mill'!G34:G36)</f>
        <v>0.95333333333333325</v>
      </c>
      <c r="V19" s="555">
        <f>AVERAGE('LT Ball Mill'!H34:H36)</f>
        <v>9.3966666666666665</v>
      </c>
      <c r="W19" s="469">
        <f t="shared" si="3"/>
        <v>116.12678400000003</v>
      </c>
      <c r="X19" s="553">
        <f t="shared" si="6"/>
        <v>121.38984000000004</v>
      </c>
      <c r="Y19" s="553">
        <f t="shared" si="4"/>
        <v>1196.4963600000005</v>
      </c>
      <c r="Z19" s="863"/>
      <c r="AB19" s="927">
        <f t="shared" si="5"/>
        <v>290316960.00000006</v>
      </c>
    </row>
    <row r="20" spans="1:32" x14ac:dyDescent="0.3">
      <c r="A20" s="1453">
        <v>4</v>
      </c>
      <c r="B20" s="1227">
        <v>46272</v>
      </c>
      <c r="C20" s="1227"/>
      <c r="D20" s="548" t="s">
        <v>509</v>
      </c>
      <c r="E20" s="623" t="s">
        <v>549</v>
      </c>
      <c r="F20" s="781" t="s">
        <v>13</v>
      </c>
      <c r="G20" s="878">
        <v>0.41</v>
      </c>
      <c r="H20" s="485">
        <f>J20-'Au Cal Leaching Tank'!$T$11</f>
        <v>107.15</v>
      </c>
      <c r="I20" s="485">
        <f>H20/((720-R20)/60)</f>
        <v>9.5103550295857993</v>
      </c>
      <c r="J20" s="617">
        <v>215</v>
      </c>
      <c r="K20" s="617">
        <v>1.28</v>
      </c>
      <c r="L20" s="878">
        <v>0.73</v>
      </c>
      <c r="M20" s="485">
        <f>J20*K20*G20-'Au Cal Leaching Tank'!$U$11</f>
        <v>58.259900000000002</v>
      </c>
      <c r="N20" s="1432"/>
      <c r="O20" s="485">
        <f t="shared" si="8"/>
        <v>6.2870395683453237</v>
      </c>
      <c r="P20" s="485">
        <f>(600-R20)/60</f>
        <v>9.2666666666666675</v>
      </c>
      <c r="Q20" s="485">
        <f>600-R20</f>
        <v>556</v>
      </c>
      <c r="R20" s="485">
        <f>'Milling Down Time Hours'!G20-30</f>
        <v>44</v>
      </c>
      <c r="S20" s="1434">
        <f>SUM(M20:M23)</f>
        <v>316.93529999999998</v>
      </c>
      <c r="T20" s="583">
        <f>AVERAGE('LT Ball Mill'!F37:F39)</f>
        <v>0.53033333333333343</v>
      </c>
      <c r="U20" s="583">
        <f>AVERAGE('LT Ball Mill'!G37:G39)</f>
        <v>1.07</v>
      </c>
      <c r="V20" s="583">
        <f>AVERAGE('LT Ball Mill'!H37:H39)</f>
        <v>8.9266666666666676</v>
      </c>
      <c r="W20" s="472">
        <f t="shared" si="3"/>
        <v>30.897166966666674</v>
      </c>
      <c r="X20" s="485">
        <f t="shared" si="6"/>
        <v>62.338093000000008</v>
      </c>
      <c r="Y20" s="485">
        <f t="shared" si="4"/>
        <v>520.0667073333334</v>
      </c>
      <c r="Z20" s="781"/>
      <c r="AB20" s="928">
        <f t="shared" si="5"/>
        <v>77242917.416666687</v>
      </c>
    </row>
    <row r="21" spans="1:32" x14ac:dyDescent="0.3">
      <c r="A21" s="1453"/>
      <c r="B21" s="1227">
        <v>46273</v>
      </c>
      <c r="C21" s="1227"/>
      <c r="D21" s="549" t="s">
        <v>169</v>
      </c>
      <c r="E21" s="549" t="s">
        <v>519</v>
      </c>
      <c r="F21" s="781" t="s">
        <v>12</v>
      </c>
      <c r="G21" s="878">
        <v>0.42</v>
      </c>
      <c r="H21" s="485">
        <f>J21-'Au Cal Leaching Tank'!$T$11-SUM(H20)</f>
        <v>188.99999999999997</v>
      </c>
      <c r="I21" s="485">
        <f t="shared" si="9"/>
        <v>18.290322580645157</v>
      </c>
      <c r="J21" s="617">
        <v>404</v>
      </c>
      <c r="K21" s="617">
        <v>1.29</v>
      </c>
      <c r="L21" s="878">
        <v>0.75</v>
      </c>
      <c r="M21" s="485">
        <f>J21*K21*G21-'Au Cal Leaching Tank'!$U$11-SUM(M20)</f>
        <v>106.05519999999997</v>
      </c>
      <c r="N21" s="1454">
        <f>SUM(M21:M22)</f>
        <v>193.82679999999999</v>
      </c>
      <c r="O21" s="485">
        <f t="shared" si="8"/>
        <v>10.2634064516129</v>
      </c>
      <c r="P21" s="485">
        <f>(720-R21)/60</f>
        <v>10.333333333333334</v>
      </c>
      <c r="Q21" s="485">
        <f>720-R21</f>
        <v>620</v>
      </c>
      <c r="R21" s="485">
        <f>'Milling Down Time Hours'!G21</f>
        <v>100</v>
      </c>
      <c r="S21" s="1434"/>
      <c r="T21" s="583">
        <f>AVERAGE('LT Ball Mill'!F40:F42)</f>
        <v>0.64666666666666672</v>
      </c>
      <c r="U21" s="583">
        <f>AVERAGE('LT Ball Mill'!G40:G42)</f>
        <v>0.96333333333333326</v>
      </c>
      <c r="V21" s="583">
        <f>AVERAGE('LT Ball Mill'!H40:H42)</f>
        <v>9.1033333333333335</v>
      </c>
      <c r="W21" s="472">
        <f t="shared" si="3"/>
        <v>68.582362666666654</v>
      </c>
      <c r="X21" s="485">
        <f t="shared" si="6"/>
        <v>102.16650933333329</v>
      </c>
      <c r="Y21" s="485">
        <f t="shared" si="4"/>
        <v>965.45583733333308</v>
      </c>
      <c r="Z21" s="781"/>
      <c r="AB21" s="928">
        <f t="shared" si="5"/>
        <v>171455906.66666663</v>
      </c>
    </row>
    <row r="22" spans="1:32" x14ac:dyDescent="0.3">
      <c r="A22" s="1453"/>
      <c r="B22" s="1227"/>
      <c r="C22" s="1227"/>
      <c r="D22" s="747" t="s">
        <v>523</v>
      </c>
      <c r="E22" s="748" t="s">
        <v>529</v>
      </c>
      <c r="F22" s="781" t="s">
        <v>13</v>
      </c>
      <c r="G22" s="878">
        <v>0.42</v>
      </c>
      <c r="H22" s="485">
        <f>J22-'Au Cal Leaching Tank'!$T$11-SUM(H20:H21)</f>
        <v>162</v>
      </c>
      <c r="I22" s="485">
        <f t="shared" si="9"/>
        <v>17.142857142857146</v>
      </c>
      <c r="J22" s="617">
        <v>566</v>
      </c>
      <c r="K22" s="617">
        <v>1.29</v>
      </c>
      <c r="L22" s="878">
        <v>0.75</v>
      </c>
      <c r="M22" s="485">
        <f>J22*K22*G22-'Au Cal Leaching Tank'!$U$11-SUM(M20:M21)</f>
        <v>87.771600000000035</v>
      </c>
      <c r="N22" s="1455"/>
      <c r="O22" s="485">
        <f t="shared" si="8"/>
        <v>9.2880000000000038</v>
      </c>
      <c r="P22" s="485">
        <f>(720-R22)/60</f>
        <v>9.4499999999999993</v>
      </c>
      <c r="Q22" s="485">
        <f>720-R22</f>
        <v>567</v>
      </c>
      <c r="R22" s="485">
        <f>'Milling Down Time Hours'!G22</f>
        <v>153</v>
      </c>
      <c r="S22" s="1434"/>
      <c r="T22" s="583">
        <f>AVERAGE('LT Ball Mill'!F43:F45)</f>
        <v>0.6349999999999999</v>
      </c>
      <c r="U22" s="583">
        <f>AVERAGE('LT Ball Mill'!G43:G45)</f>
        <v>1.0333333333333334</v>
      </c>
      <c r="V22" s="583">
        <f>AVERAGE('LT Ball Mill'!H43:H45)</f>
        <v>7.81</v>
      </c>
      <c r="W22" s="472">
        <f t="shared" si="3"/>
        <v>55.734966000000014</v>
      </c>
      <c r="X22" s="485">
        <f t="shared" si="6"/>
        <v>90.697320000000047</v>
      </c>
      <c r="Y22" s="485">
        <f t="shared" si="4"/>
        <v>685.49619600000028</v>
      </c>
      <c r="Z22" s="781"/>
      <c r="AB22" s="928">
        <f t="shared" si="5"/>
        <v>139337415.00000003</v>
      </c>
    </row>
    <row r="23" spans="1:32" ht="28.8" x14ac:dyDescent="0.3">
      <c r="A23" s="1453"/>
      <c r="B23" s="1227">
        <v>46274</v>
      </c>
      <c r="C23" s="1227"/>
      <c r="D23" s="748" t="s">
        <v>169</v>
      </c>
      <c r="E23" s="749" t="s">
        <v>521</v>
      </c>
      <c r="F23" s="781" t="s">
        <v>12</v>
      </c>
      <c r="G23" s="878">
        <v>0.44</v>
      </c>
      <c r="H23" s="485">
        <f>J23-'Au Cal Leaching Tank'!$T$11-SUM(H20:H22)</f>
        <v>81</v>
      </c>
      <c r="I23" s="485">
        <f>H23/((720-R23)/60)</f>
        <v>27</v>
      </c>
      <c r="J23" s="617">
        <v>647</v>
      </c>
      <c r="K23" s="617">
        <v>1.3049999999999999</v>
      </c>
      <c r="L23" s="878">
        <v>0.75</v>
      </c>
      <c r="M23" s="485">
        <f>J23*K23*G23-'Au Cal Leaching Tank'!$U$11-SUM(M20:M22)</f>
        <v>64.848599999999976</v>
      </c>
      <c r="N23" s="485">
        <f>SUM(M23:M24)</f>
        <v>64.848599999999976</v>
      </c>
      <c r="O23" s="485">
        <f t="shared" si="8"/>
        <v>21.616199999999992</v>
      </c>
      <c r="P23" s="485">
        <f>(720-R23)/60</f>
        <v>3</v>
      </c>
      <c r="Q23" s="485">
        <f>720-R23</f>
        <v>180</v>
      </c>
      <c r="R23" s="485">
        <f>'Milling Down Time Hours'!G23</f>
        <v>540</v>
      </c>
      <c r="S23" s="1434"/>
      <c r="T23" s="583">
        <f>AVERAGE('LT Ball Mill'!F46:F48)</f>
        <v>0.59233333333333327</v>
      </c>
      <c r="U23" s="583">
        <f>AVERAGE('LT Ball Mill'!G46:G48)</f>
        <v>0.66666666666666663</v>
      </c>
      <c r="V23" s="583">
        <f>AVERAGE('LT Ball Mill'!H46:H48)</f>
        <v>7.2399999999999993</v>
      </c>
      <c r="W23" s="472">
        <f t="shared" si="3"/>
        <v>38.41198739999998</v>
      </c>
      <c r="X23" s="485">
        <f t="shared" si="6"/>
        <v>43.232399999999984</v>
      </c>
      <c r="Y23" s="485">
        <f t="shared" si="4"/>
        <v>469.50386399999979</v>
      </c>
      <c r="Z23" s="781"/>
      <c r="AB23" s="928">
        <f t="shared" si="5"/>
        <v>96029968.499999955</v>
      </c>
    </row>
    <row r="24" spans="1:32" x14ac:dyDescent="0.3">
      <c r="A24" s="745"/>
      <c r="B24" s="1239">
        <v>46274</v>
      </c>
      <c r="C24" s="1239"/>
      <c r="D24" s="750" t="s">
        <v>523</v>
      </c>
      <c r="E24" s="751" t="s">
        <v>548</v>
      </c>
      <c r="F24" s="745" t="s">
        <v>13</v>
      </c>
      <c r="G24" s="882"/>
      <c r="H24" s="233"/>
      <c r="I24" s="154"/>
      <c r="J24" s="233"/>
      <c r="K24" s="233"/>
      <c r="L24" s="882"/>
      <c r="M24" s="154">
        <f>H24*K24*G24</f>
        <v>0</v>
      </c>
      <c r="N24" s="233"/>
      <c r="O24" s="154" t="str">
        <f>IFERROR(M24/P24,"")</f>
        <v/>
      </c>
      <c r="P24" s="154">
        <f>(720-R24)/60</f>
        <v>0</v>
      </c>
      <c r="Q24" s="154">
        <f>720-R24</f>
        <v>0</v>
      </c>
      <c r="R24" s="154">
        <f>'Milling Down Time Hours'!G24</f>
        <v>720</v>
      </c>
      <c r="S24" s="808"/>
      <c r="T24" s="445"/>
      <c r="U24" s="445"/>
      <c r="V24" s="445"/>
      <c r="W24" s="159">
        <f t="shared" si="3"/>
        <v>0</v>
      </c>
      <c r="X24" s="154">
        <f t="shared" si="6"/>
        <v>0</v>
      </c>
      <c r="Y24" s="154">
        <f t="shared" si="4"/>
        <v>0</v>
      </c>
      <c r="Z24" s="745"/>
      <c r="AB24" s="929">
        <f t="shared" si="5"/>
        <v>0</v>
      </c>
    </row>
    <row r="25" spans="1:32" x14ac:dyDescent="0.3">
      <c r="A25" s="1451">
        <v>5</v>
      </c>
      <c r="B25" s="1225">
        <v>46275</v>
      </c>
      <c r="C25" s="1225"/>
      <c r="D25" s="575" t="s">
        <v>169</v>
      </c>
      <c r="E25" s="576" t="s">
        <v>522</v>
      </c>
      <c r="F25" s="863" t="s">
        <v>12</v>
      </c>
      <c r="G25" s="877">
        <v>0.44</v>
      </c>
      <c r="H25" s="553">
        <f>J25-'Au Cal Leaching Tank'!$T$14</f>
        <v>215.15</v>
      </c>
      <c r="I25" s="553">
        <f t="shared" ref="I25:I29" si="11">H25/((720-R25)/60)</f>
        <v>20.361198738170348</v>
      </c>
      <c r="J25" s="579">
        <v>323</v>
      </c>
      <c r="K25" s="579">
        <v>1.3</v>
      </c>
      <c r="L25" s="877">
        <v>0.75</v>
      </c>
      <c r="M25" s="553">
        <f>J25*K25*G25-'Au Cal Leaching Tank'!$U$12</f>
        <v>123.06580000000004</v>
      </c>
      <c r="N25" s="1431">
        <f>SUM(M25:M26)</f>
        <v>262.08779999999996</v>
      </c>
      <c r="O25" s="553">
        <f t="shared" ref="O25:O26" si="12">M25/P25</f>
        <v>11.646605678233442</v>
      </c>
      <c r="P25" s="553">
        <f t="shared" ref="P25:P26" si="13">(720-R25)/60</f>
        <v>10.566666666666666</v>
      </c>
      <c r="Q25" s="553">
        <f t="shared" ref="Q25:Q26" si="14">720-R25</f>
        <v>634</v>
      </c>
      <c r="R25" s="553">
        <f>'Milling Down Time Hours'!G25</f>
        <v>86</v>
      </c>
      <c r="S25" s="1439">
        <f>SUM(M25:M27)</f>
        <v>266.98580000000004</v>
      </c>
      <c r="T25" s="555">
        <f>AVERAGE('LT Ball Mill'!F54)</f>
        <v>0.73</v>
      </c>
      <c r="U25" s="555">
        <f>AVERAGE('LT Ball Mill'!G54)</f>
        <v>0.63</v>
      </c>
      <c r="V25" s="555">
        <f>AVERAGE('LT Ball Mill'!H54)</f>
        <v>8.57</v>
      </c>
      <c r="W25" s="469">
        <f t="shared" si="3"/>
        <v>89.838034000000022</v>
      </c>
      <c r="X25" s="553">
        <f t="shared" si="6"/>
        <v>77.531454000000025</v>
      </c>
      <c r="Y25" s="553">
        <f t="shared" si="4"/>
        <v>1054.6739060000004</v>
      </c>
      <c r="Z25" s="863"/>
      <c r="AB25" s="927">
        <f t="shared" si="5"/>
        <v>224595085.00000006</v>
      </c>
    </row>
    <row r="26" spans="1:32" x14ac:dyDescent="0.3">
      <c r="A26" s="1451"/>
      <c r="B26" s="1225"/>
      <c r="C26" s="1225"/>
      <c r="D26" s="577" t="s">
        <v>541</v>
      </c>
      <c r="E26" s="578"/>
      <c r="F26" s="863" t="s">
        <v>13</v>
      </c>
      <c r="G26" s="877">
        <v>0.42</v>
      </c>
      <c r="H26" s="553">
        <f>J26-'Au Cal Leaching Tank'!$T$14-SUM(H25)</f>
        <v>270</v>
      </c>
      <c r="I26" s="553">
        <f t="shared" si="11"/>
        <v>25.796178343949045</v>
      </c>
      <c r="J26" s="579">
        <v>593</v>
      </c>
      <c r="K26" s="579">
        <v>1.3</v>
      </c>
      <c r="L26" s="877">
        <v>0.75</v>
      </c>
      <c r="M26" s="553">
        <f>(J26*K26*G26-'Au Cal Leaching Tank'!$U$12)-M25</f>
        <v>139.02199999999993</v>
      </c>
      <c r="N26" s="1432"/>
      <c r="O26" s="553">
        <f t="shared" si="12"/>
        <v>13.282356687898083</v>
      </c>
      <c r="P26" s="553">
        <f t="shared" si="13"/>
        <v>10.466666666666667</v>
      </c>
      <c r="Q26" s="553">
        <f t="shared" si="14"/>
        <v>628</v>
      </c>
      <c r="R26" s="553">
        <f>'Milling Down Time Hours'!G26</f>
        <v>92.000000000000014</v>
      </c>
      <c r="S26" s="1439"/>
      <c r="T26" s="555">
        <f>AVERAGE('LT Ball Mill'!F55:F57)</f>
        <v>0.51600000000000001</v>
      </c>
      <c r="U26" s="555">
        <f>AVERAGE('LT Ball Mill'!G55:G57)</f>
        <v>0.43</v>
      </c>
      <c r="V26" s="555">
        <f>AVERAGE('LT Ball Mill'!H55:H57)</f>
        <v>9.2766666666666655</v>
      </c>
      <c r="W26" s="469">
        <f t="shared" si="3"/>
        <v>71.735351999999963</v>
      </c>
      <c r="X26" s="553">
        <f t="shared" si="6"/>
        <v>59.779459999999972</v>
      </c>
      <c r="Y26" s="553">
        <f t="shared" si="4"/>
        <v>1289.6607533333327</v>
      </c>
      <c r="Z26" s="863"/>
      <c r="AB26" s="927">
        <f t="shared" si="5"/>
        <v>179338379.99999991</v>
      </c>
    </row>
    <row r="27" spans="1:32" ht="28.8" x14ac:dyDescent="0.3">
      <c r="A27" s="1451"/>
      <c r="B27" s="1225">
        <v>46276</v>
      </c>
      <c r="C27" s="1225"/>
      <c r="D27" s="577" t="s">
        <v>540</v>
      </c>
      <c r="E27" s="838" t="s">
        <v>554</v>
      </c>
      <c r="F27" s="863" t="s">
        <v>12</v>
      </c>
      <c r="G27" s="877">
        <v>0.4</v>
      </c>
      <c r="H27" s="553">
        <f>J27-'Au Cal Leaching Tank'!$T$14-SUM(H25:H26)</f>
        <v>54</v>
      </c>
      <c r="I27" s="553">
        <f t="shared" si="11"/>
        <v>4.9165402124430964</v>
      </c>
      <c r="J27" s="553">
        <v>647</v>
      </c>
      <c r="K27" s="579">
        <v>1.27</v>
      </c>
      <c r="L27" s="877">
        <v>0.75</v>
      </c>
      <c r="M27" s="553">
        <f>(J27*K27*G27-'Au Cal Leaching Tank'!$U$12)-SUM(M25:M26)</f>
        <v>4.8980000000000814</v>
      </c>
      <c r="N27" s="1431">
        <f>SUM(M27:M28)</f>
        <v>65.006412500000096</v>
      </c>
      <c r="O27" s="483">
        <f>M27/P27</f>
        <v>0.9828762541806183</v>
      </c>
      <c r="P27" s="553">
        <f>(360-R27)/60</f>
        <v>4.9833333333333334</v>
      </c>
      <c r="Q27" s="553">
        <f>360-R27</f>
        <v>299</v>
      </c>
      <c r="R27" s="553">
        <f>'Milling Down Time Hours'!G27</f>
        <v>61</v>
      </c>
      <c r="S27" s="1439"/>
      <c r="T27" s="555">
        <f>AVERAGE('LT Ball Mill'!F55:F57)</f>
        <v>0.51600000000000001</v>
      </c>
      <c r="U27" s="555">
        <f>AVERAGE('LT Ball Mill'!G55:G57)</f>
        <v>0.43</v>
      </c>
      <c r="V27" s="555">
        <f>AVERAGE('LT Ball Mill'!H55:H57)</f>
        <v>9.2766666666666655</v>
      </c>
      <c r="W27" s="469">
        <f>T27*M27</f>
        <v>2.5273680000000422</v>
      </c>
      <c r="X27" s="553">
        <f>M27*U27</f>
        <v>2.106140000000035</v>
      </c>
      <c r="Y27" s="553">
        <f>M27*V27</f>
        <v>45.437113333334082</v>
      </c>
      <c r="Z27" s="863"/>
      <c r="AB27" s="927">
        <f t="shared" si="5"/>
        <v>6318420.0000001052</v>
      </c>
      <c r="AD27" s="444"/>
    </row>
    <row r="28" spans="1:32" x14ac:dyDescent="0.3">
      <c r="A28" s="781"/>
      <c r="B28" s="1227">
        <v>46276</v>
      </c>
      <c r="C28" s="1227"/>
      <c r="D28" s="786" t="s">
        <v>540</v>
      </c>
      <c r="E28" s="972" t="s">
        <v>582</v>
      </c>
      <c r="F28" s="781" t="s">
        <v>12</v>
      </c>
      <c r="G28" s="878">
        <v>0.42</v>
      </c>
      <c r="H28" s="485">
        <f>J28-'Au Cal Leaching Tank'!$T$15</f>
        <v>107.15</v>
      </c>
      <c r="I28" s="485">
        <f>H28/((360-R28)/60)</f>
        <v>17.858333333333334</v>
      </c>
      <c r="J28" s="485">
        <v>215</v>
      </c>
      <c r="K28" s="617">
        <v>1.29</v>
      </c>
      <c r="L28" s="878">
        <v>0.75</v>
      </c>
      <c r="M28" s="485">
        <f>(J28*K28*G28)-'Au Cal Leaching Tank'!$U$13</f>
        <v>60.108412500000014</v>
      </c>
      <c r="N28" s="1431"/>
      <c r="O28" s="888">
        <f>M28/P28</f>
        <v>10.018068750000003</v>
      </c>
      <c r="P28" s="485">
        <f>(360-R28)/60</f>
        <v>6</v>
      </c>
      <c r="Q28" s="485">
        <v>360</v>
      </c>
      <c r="R28" s="485">
        <v>0</v>
      </c>
      <c r="S28" s="1434">
        <f>SUM(M28:M31)</f>
        <v>277.03691250000003</v>
      </c>
      <c r="T28" s="583">
        <f>AVERAGE('LT Ball Mill'!F58:F60)</f>
        <v>1.4286666666666665</v>
      </c>
      <c r="U28" s="583">
        <f>AVERAGE('LT Ball Mill'!G58:G60)</f>
        <v>0.99333333333333329</v>
      </c>
      <c r="V28" s="583">
        <f>AVERAGE('LT Ball Mill'!H58:H60)</f>
        <v>9.1333333333333329</v>
      </c>
      <c r="W28" s="472">
        <f>T28*M28</f>
        <v>85.874885325000008</v>
      </c>
      <c r="X28" s="485">
        <f>M28*U28</f>
        <v>59.707689750000014</v>
      </c>
      <c r="Y28" s="485">
        <f>M28*V28</f>
        <v>548.9901675000001</v>
      </c>
      <c r="Z28" s="781"/>
      <c r="AB28" s="928">
        <f t="shared" si="5"/>
        <v>214687213.31250003</v>
      </c>
      <c r="AD28" s="444"/>
    </row>
    <row r="29" spans="1:32" ht="28.8" x14ac:dyDescent="0.3">
      <c r="A29" s="1453">
        <v>6</v>
      </c>
      <c r="B29" s="1227">
        <v>46276</v>
      </c>
      <c r="C29" s="1227"/>
      <c r="D29" s="487" t="s">
        <v>550</v>
      </c>
      <c r="E29" s="837" t="s">
        <v>547</v>
      </c>
      <c r="F29" s="781" t="s">
        <v>13</v>
      </c>
      <c r="G29" s="878">
        <v>0.45</v>
      </c>
      <c r="H29" s="485">
        <f>J29-'Au Cal Leaching Tank'!$T$15-SUM(H28)</f>
        <v>72</v>
      </c>
      <c r="I29" s="485">
        <f t="shared" si="11"/>
        <v>36</v>
      </c>
      <c r="J29" s="617">
        <v>287</v>
      </c>
      <c r="K29" s="617">
        <v>1.29</v>
      </c>
      <c r="L29" s="878">
        <v>0.75</v>
      </c>
      <c r="M29" s="485">
        <f>(J29*K29*G29)-'Au Cal Leaching Tank'!$U$13-SUM(M28)</f>
        <v>50.116500000000016</v>
      </c>
      <c r="N29" s="485">
        <f>M29</f>
        <v>50.116500000000016</v>
      </c>
      <c r="O29" s="485">
        <f>M29/P29</f>
        <v>25.058250000000008</v>
      </c>
      <c r="P29" s="485">
        <f>(720-R29)/60</f>
        <v>2</v>
      </c>
      <c r="Q29" s="485">
        <f>720-R29</f>
        <v>120</v>
      </c>
      <c r="R29" s="485">
        <f>'Milling Down Time Hours'!G28</f>
        <v>600</v>
      </c>
      <c r="S29" s="1434"/>
      <c r="T29" s="583">
        <f>AVERAGE('LT Ball Mill'!F61:F63)</f>
        <v>0.26499999999999996</v>
      </c>
      <c r="U29" s="583">
        <f>AVERAGE('LT Ball Mill'!G61:G63)</f>
        <v>0.57333333333333336</v>
      </c>
      <c r="V29" s="583">
        <f>AVERAGE('LT Ball Mill'!H61:H63)</f>
        <v>7.5933333333333337</v>
      </c>
      <c r="W29" s="472">
        <f>T29*M29</f>
        <v>13.280872500000003</v>
      </c>
      <c r="X29" s="485">
        <f>M29*U29</f>
        <v>28.733460000000012</v>
      </c>
      <c r="Y29" s="485">
        <f>M29*V29</f>
        <v>380.55129000000017</v>
      </c>
      <c r="Z29" s="781"/>
      <c r="AB29" s="928">
        <f t="shared" si="5"/>
        <v>33202181.250000007</v>
      </c>
    </row>
    <row r="30" spans="1:32" ht="28.8" x14ac:dyDescent="0.3">
      <c r="A30" s="1453"/>
      <c r="B30" s="1227">
        <v>46277</v>
      </c>
      <c r="C30" s="1227"/>
      <c r="D30" s="623" t="s">
        <v>551</v>
      </c>
      <c r="E30" s="752" t="s">
        <v>552</v>
      </c>
      <c r="F30" s="781" t="s">
        <v>12</v>
      </c>
      <c r="G30" s="878">
        <v>0.33</v>
      </c>
      <c r="H30" s="485">
        <f>J30-'Au Cal Leaching Tank'!$T$15-SUM(H28:H29)</f>
        <v>432</v>
      </c>
      <c r="I30" s="485"/>
      <c r="J30" s="617">
        <v>719</v>
      </c>
      <c r="K30" s="617">
        <v>1.21</v>
      </c>
      <c r="L30" s="878">
        <v>0.75</v>
      </c>
      <c r="M30" s="485">
        <f>(J30*K30*G30)-'Au Cal Leaching Tank'!$U$13-SUM(M28:M29)</f>
        <v>120.49319999999999</v>
      </c>
      <c r="N30" s="1454">
        <f>SUM(M30:M31)</f>
        <v>166.81200000000001</v>
      </c>
      <c r="O30" s="485" t="str">
        <f>IFERROR(M30/P30,"")</f>
        <v/>
      </c>
      <c r="P30" s="485">
        <f>(720-R30)/60</f>
        <v>0</v>
      </c>
      <c r="Q30" s="485">
        <f>720-R30</f>
        <v>0</v>
      </c>
      <c r="R30" s="485">
        <f>'Milling Down Time Hours'!G29</f>
        <v>720</v>
      </c>
      <c r="S30" s="1434"/>
      <c r="T30" s="583">
        <f>AVERAGE('LT Ball Mill'!F64:F66)</f>
        <v>0.30533333333333329</v>
      </c>
      <c r="U30" s="583">
        <f>AVERAGE('LT Ball Mill'!G64:G66)</f>
        <v>0.55333333333333334</v>
      </c>
      <c r="V30" s="583">
        <f>AVERAGE('LT Ball Mill'!H64:H66)</f>
        <v>6.7966666666666669</v>
      </c>
      <c r="W30" s="472">
        <f t="shared" si="3"/>
        <v>36.790590399999992</v>
      </c>
      <c r="X30" s="485">
        <f t="shared" si="6"/>
        <v>66.672903999999988</v>
      </c>
      <c r="Y30" s="485">
        <f t="shared" si="4"/>
        <v>818.95211599999993</v>
      </c>
      <c r="Z30" s="781"/>
      <c r="AB30" s="928">
        <f t="shared" si="5"/>
        <v>91976475.999999985</v>
      </c>
    </row>
    <row r="31" spans="1:32" x14ac:dyDescent="0.3">
      <c r="A31" s="1453"/>
      <c r="B31" s="1227"/>
      <c r="C31" s="1227"/>
      <c r="D31" s="753" t="s">
        <v>570</v>
      </c>
      <c r="E31" s="753" t="s">
        <v>571</v>
      </c>
      <c r="F31" s="781" t="s">
        <v>13</v>
      </c>
      <c r="G31" s="878">
        <v>0.33</v>
      </c>
      <c r="H31" s="485">
        <f>J31-'Au Cal Leaching Tank'!$T$15-SUM(H28:H30)</f>
        <v>116</v>
      </c>
      <c r="I31" s="485"/>
      <c r="J31" s="617">
        <v>835</v>
      </c>
      <c r="K31" s="617">
        <v>1.21</v>
      </c>
      <c r="L31" s="878">
        <v>0.75</v>
      </c>
      <c r="M31" s="485">
        <f>(J31*K31*G31)-'Au Cal Leaching Tank'!$U$13-SUM(M28:M30)</f>
        <v>46.31880000000001</v>
      </c>
      <c r="N31" s="1454"/>
      <c r="O31" s="485" t="str">
        <f t="shared" ref="O31:O42" si="15">IFERROR(M31/P31,"")</f>
        <v/>
      </c>
      <c r="P31" s="485">
        <f t="shared" ref="P31:P32" si="16">(720-R31)/60</f>
        <v>0</v>
      </c>
      <c r="Q31" s="485">
        <f>720-R31</f>
        <v>0</v>
      </c>
      <c r="R31" s="485">
        <f>'Milling Down Time Hours'!G30</f>
        <v>720</v>
      </c>
      <c r="S31" s="1434"/>
      <c r="T31" s="583">
        <f>AVERAGE('LT Ball Mill'!F64:F66)</f>
        <v>0.30533333333333329</v>
      </c>
      <c r="U31" s="583">
        <f>AVERAGE('LT Ball Mill'!G64:G66)</f>
        <v>0.55333333333333334</v>
      </c>
      <c r="V31" s="583">
        <f>AVERAGE('LT Ball Mill'!H64:H66)</f>
        <v>6.7966666666666669</v>
      </c>
      <c r="W31" s="472">
        <f t="shared" si="3"/>
        <v>14.142673600000002</v>
      </c>
      <c r="X31" s="485">
        <f t="shared" si="6"/>
        <v>25.629736000000005</v>
      </c>
      <c r="Y31" s="485">
        <f t="shared" si="4"/>
        <v>314.81344400000006</v>
      </c>
      <c r="Z31" s="781"/>
      <c r="AB31" s="928">
        <f t="shared" si="5"/>
        <v>35356684.000000007</v>
      </c>
      <c r="AC31" s="136"/>
    </row>
    <row r="32" spans="1:32" x14ac:dyDescent="0.3">
      <c r="A32" s="1468"/>
      <c r="B32" s="1239">
        <v>46278</v>
      </c>
      <c r="C32" s="1239"/>
      <c r="D32" s="754" t="s">
        <v>572</v>
      </c>
      <c r="E32" s="754" t="s">
        <v>571</v>
      </c>
      <c r="F32" s="745" t="s">
        <v>12</v>
      </c>
      <c r="G32" s="894"/>
      <c r="H32" s="233"/>
      <c r="I32" s="154"/>
      <c r="J32" s="233"/>
      <c r="K32" s="233"/>
      <c r="L32" s="882"/>
      <c r="M32" s="154">
        <f t="shared" si="7"/>
        <v>0</v>
      </c>
      <c r="N32" s="154"/>
      <c r="O32" s="154" t="str">
        <f t="shared" si="15"/>
        <v/>
      </c>
      <c r="P32" s="154">
        <f t="shared" si="16"/>
        <v>0</v>
      </c>
      <c r="Q32" s="154">
        <f>720-R32</f>
        <v>0</v>
      </c>
      <c r="R32" s="154">
        <f>'Milling Down Time Hours'!G31</f>
        <v>720</v>
      </c>
      <c r="S32" s="13"/>
      <c r="T32" s="445"/>
      <c r="U32" s="445"/>
      <c r="V32" s="445"/>
      <c r="W32" s="159">
        <f t="shared" si="3"/>
        <v>0</v>
      </c>
      <c r="X32" s="154">
        <f t="shared" si="6"/>
        <v>0</v>
      </c>
      <c r="Y32" s="154">
        <f t="shared" si="4"/>
        <v>0</v>
      </c>
      <c r="Z32" s="745"/>
      <c r="AB32" s="929">
        <f t="shared" si="5"/>
        <v>0</v>
      </c>
    </row>
    <row r="33" spans="1:33" x14ac:dyDescent="0.3">
      <c r="A33" s="1469"/>
      <c r="B33" s="1239">
        <v>46278</v>
      </c>
      <c r="C33" s="1239"/>
      <c r="D33" s="754" t="s">
        <v>572</v>
      </c>
      <c r="E33" s="754" t="s">
        <v>571</v>
      </c>
      <c r="F33" s="745" t="s">
        <v>13</v>
      </c>
      <c r="G33" s="233"/>
      <c r="H33" s="233"/>
      <c r="I33" s="872"/>
      <c r="J33" s="233"/>
      <c r="K33" s="233"/>
      <c r="L33" s="233"/>
      <c r="M33" s="872"/>
      <c r="N33" s="233"/>
      <c r="O33" s="872"/>
      <c r="P33" s="233"/>
      <c r="Q33" s="872"/>
      <c r="R33" s="233"/>
      <c r="S33" s="13"/>
      <c r="T33" s="6"/>
      <c r="U33" s="6"/>
      <c r="V33" s="6"/>
      <c r="W33" s="6"/>
      <c r="X33" s="13"/>
      <c r="Y33" s="13"/>
      <c r="Z33" s="745"/>
      <c r="AB33" s="929">
        <f t="shared" si="5"/>
        <v>0</v>
      </c>
    </row>
    <row r="34" spans="1:33" x14ac:dyDescent="0.3">
      <c r="B34" s="1444">
        <v>46279</v>
      </c>
      <c r="C34" s="1445"/>
      <c r="D34" s="754" t="s">
        <v>572</v>
      </c>
      <c r="E34" s="754" t="s">
        <v>571</v>
      </c>
      <c r="F34" s="745" t="s">
        <v>12</v>
      </c>
      <c r="G34" s="894"/>
      <c r="H34" s="233"/>
      <c r="I34" s="233"/>
      <c r="J34" s="233"/>
      <c r="K34" s="233"/>
      <c r="L34" s="882"/>
      <c r="M34" s="154">
        <f t="shared" si="7"/>
        <v>0</v>
      </c>
      <c r="N34" s="154"/>
      <c r="O34" s="154" t="str">
        <f t="shared" si="15"/>
        <v/>
      </c>
      <c r="P34" s="154"/>
      <c r="Q34" s="154"/>
      <c r="R34" s="154"/>
      <c r="S34" s="13"/>
      <c r="T34" s="445"/>
      <c r="U34" s="445"/>
      <c r="V34" s="445"/>
      <c r="W34" s="159">
        <f t="shared" si="3"/>
        <v>0</v>
      </c>
      <c r="X34" s="154">
        <f t="shared" si="6"/>
        <v>0</v>
      </c>
      <c r="Y34" s="154">
        <f t="shared" si="4"/>
        <v>0</v>
      </c>
      <c r="Z34" s="745"/>
      <c r="AB34" s="929">
        <f t="shared" si="5"/>
        <v>0</v>
      </c>
    </row>
    <row r="35" spans="1:33" ht="15" thickBot="1" x14ac:dyDescent="0.35">
      <c r="A35" s="1473">
        <v>7</v>
      </c>
      <c r="B35" s="1446">
        <v>46279</v>
      </c>
      <c r="C35" s="1447"/>
      <c r="D35" s="755" t="s">
        <v>169</v>
      </c>
      <c r="E35" s="756" t="s">
        <v>581</v>
      </c>
      <c r="F35" s="863" t="s">
        <v>13</v>
      </c>
      <c r="G35" s="877">
        <v>0.38</v>
      </c>
      <c r="H35" s="553">
        <f>J35-'Au Cal Leaching Tank'!$T$14</f>
        <v>179.74888000000001</v>
      </c>
      <c r="I35" s="553">
        <f t="shared" ref="I35:I40" si="17">H35/((720-R35)/60)</f>
        <v>17.974888</v>
      </c>
      <c r="J35" s="553">
        <f t="shared" ref="J35:J42" si="18">3.14*Z35*((10.7/2)^2)</f>
        <v>287.59888000000001</v>
      </c>
      <c r="K35" s="579">
        <v>1.25</v>
      </c>
      <c r="L35" s="877">
        <v>0.75</v>
      </c>
      <c r="M35" s="553">
        <f>(J35*K35*G35)-'Au Cal Leaching Tank'!$U$14</f>
        <v>80.009787999999986</v>
      </c>
      <c r="N35" s="553">
        <f>SUM(M33:M35)</f>
        <v>80.009787999999986</v>
      </c>
      <c r="O35" s="553">
        <f>IFERROR(M35/P35,"")</f>
        <v>8.0009787999999986</v>
      </c>
      <c r="P35" s="553">
        <f t="shared" ref="P35:P42" si="19">(720-R35)/60</f>
        <v>10</v>
      </c>
      <c r="Q35" s="553">
        <f t="shared" ref="Q35:Q45" si="20">720-R35</f>
        <v>600</v>
      </c>
      <c r="R35" s="553">
        <f>'Milling Down Time Hours'!G34</f>
        <v>120.00000000000001</v>
      </c>
      <c r="S35" s="1433">
        <f>SUM(M35:M37)</f>
        <v>246.09634370699999</v>
      </c>
      <c r="T35" s="555">
        <f>AVERAGE('LT Ball Mill'!F67:F69)</f>
        <v>0.63200000000000001</v>
      </c>
      <c r="U35" s="555">
        <f>AVERAGE('LT Ball Mill'!G67:G69)</f>
        <v>0.58666666666666678</v>
      </c>
      <c r="V35" s="555">
        <f>AVERAGE('LT Ball Mill'!H67:H69)</f>
        <v>8.5966666666666658</v>
      </c>
      <c r="W35" s="469">
        <f>T35*M35</f>
        <v>50.566186015999989</v>
      </c>
      <c r="X35" s="553">
        <f>M35*U35</f>
        <v>46.939075626666664</v>
      </c>
      <c r="Y35" s="553">
        <f>M35*V35</f>
        <v>687.81747750666648</v>
      </c>
      <c r="Z35" s="863">
        <v>3.2</v>
      </c>
      <c r="AB35" s="928">
        <f t="shared" si="5"/>
        <v>126415465.03999998</v>
      </c>
      <c r="AC35" s="10"/>
    </row>
    <row r="36" spans="1:33" x14ac:dyDescent="0.3">
      <c r="A36" s="1473"/>
      <c r="B36" s="1440">
        <v>46280</v>
      </c>
      <c r="C36" s="1441"/>
      <c r="D36" s="816" t="s">
        <v>523</v>
      </c>
      <c r="E36" s="816" t="s">
        <v>590</v>
      </c>
      <c r="F36" s="914" t="s">
        <v>12</v>
      </c>
      <c r="G36" s="877">
        <v>0.37</v>
      </c>
      <c r="H36" s="553">
        <f>J36-'Au Cal Leaching Tank'!$T$14-H35</f>
        <v>188.73676499999985</v>
      </c>
      <c r="I36" s="553">
        <f t="shared" si="17"/>
        <v>15.728063749999988</v>
      </c>
      <c r="J36" s="553">
        <f t="shared" si="18"/>
        <v>476.33564499999989</v>
      </c>
      <c r="K36" s="579">
        <v>1.24</v>
      </c>
      <c r="L36" s="877">
        <v>0.75</v>
      </c>
      <c r="M36" s="553">
        <f>(J36*K36*G36)-'Au Cal Leaching Tank'!$U$14-SUM(M35)</f>
        <v>81.933325925999952</v>
      </c>
      <c r="N36" s="1431">
        <f>SUM(M36:M37)</f>
        <v>166.086555707</v>
      </c>
      <c r="O36" s="524">
        <f t="shared" si="15"/>
        <v>6.8277771604999957</v>
      </c>
      <c r="P36" s="553">
        <f t="shared" si="19"/>
        <v>12</v>
      </c>
      <c r="Q36" s="553">
        <f t="shared" si="20"/>
        <v>720</v>
      </c>
      <c r="R36" s="553">
        <f>'Milling Down Time Hours'!G35</f>
        <v>0</v>
      </c>
      <c r="S36" s="1376"/>
      <c r="T36" s="555">
        <f>AVERAGE('LT Ball Mill'!F70:F72)</f>
        <v>0.36466666666666664</v>
      </c>
      <c r="U36" s="555">
        <f>AVERAGE('LT Ball Mill'!G70:G72)</f>
        <v>0.46666666666666662</v>
      </c>
      <c r="V36" s="555">
        <f>AVERAGE('LT Ball Mill'!H70:H72)</f>
        <v>9.57</v>
      </c>
      <c r="W36" s="469">
        <f t="shared" si="3"/>
        <v>29.87835285434798</v>
      </c>
      <c r="X36" s="553">
        <f t="shared" si="6"/>
        <v>38.235552098799971</v>
      </c>
      <c r="Y36" s="553">
        <f t="shared" si="4"/>
        <v>784.10192911181957</v>
      </c>
      <c r="Z36" s="863">
        <v>5.3</v>
      </c>
      <c r="AB36" s="928">
        <f t="shared" si="5"/>
        <v>74695882.13586995</v>
      </c>
      <c r="AC36" s="10"/>
      <c r="AE36" s="1">
        <v>67</v>
      </c>
      <c r="AF36" s="1">
        <v>72</v>
      </c>
    </row>
    <row r="37" spans="1:33" ht="42" customHeight="1" thickBot="1" x14ac:dyDescent="0.35">
      <c r="A37" s="1473"/>
      <c r="B37" s="1442"/>
      <c r="C37" s="1443"/>
      <c r="D37" s="769" t="s">
        <v>516</v>
      </c>
      <c r="E37" s="836" t="s">
        <v>630</v>
      </c>
      <c r="F37" s="915" t="s">
        <v>13</v>
      </c>
      <c r="G37" s="895">
        <v>0.33</v>
      </c>
      <c r="H37" s="553">
        <f>J37-'Au Cal Leaching Tank'!$T$14-SUM(H35:H36)</f>
        <v>278.61141499999997</v>
      </c>
      <c r="I37" s="553">
        <f t="shared" si="17"/>
        <v>23.217617916666665</v>
      </c>
      <c r="J37" s="553">
        <f t="shared" si="18"/>
        <v>754.94705999999985</v>
      </c>
      <c r="K37" s="863">
        <v>1.2150000000000001</v>
      </c>
      <c r="L37" s="877">
        <v>0.75</v>
      </c>
      <c r="M37" s="553">
        <f>(J37*K37*G37)-'Au Cal Leaching Tank'!$U$14-SUM(M35:M36)</f>
        <v>84.15322978100005</v>
      </c>
      <c r="N37" s="1431"/>
      <c r="O37" s="524">
        <f t="shared" si="15"/>
        <v>7.0127691484166705</v>
      </c>
      <c r="P37" s="553">
        <f t="shared" si="19"/>
        <v>12</v>
      </c>
      <c r="Q37" s="553">
        <f t="shared" si="20"/>
        <v>720</v>
      </c>
      <c r="R37" s="553">
        <f>'Milling Down Time Hours'!G36</f>
        <v>0</v>
      </c>
      <c r="S37" s="1377"/>
      <c r="T37" s="555">
        <f>AVERAGE('LT Ball Mill'!F73:F75)</f>
        <v>0.61</v>
      </c>
      <c r="U37" s="555">
        <f>AVERAGE('LT Ball Mill'!G73:G75)</f>
        <v>0.55333333333333334</v>
      </c>
      <c r="V37" s="555">
        <f>AVERAGE('LT Ball Mill'!H73:H75)</f>
        <v>11.276666666666666</v>
      </c>
      <c r="W37" s="469">
        <f t="shared" si="3"/>
        <v>51.333470166410031</v>
      </c>
      <c r="X37" s="553">
        <f t="shared" si="6"/>
        <v>46.564787145486697</v>
      </c>
      <c r="Y37" s="553">
        <f t="shared" si="4"/>
        <v>948.96792116374377</v>
      </c>
      <c r="Z37" s="863">
        <v>8.4</v>
      </c>
      <c r="AB37" s="928">
        <f t="shared" si="5"/>
        <v>128333675.41602507</v>
      </c>
      <c r="AE37" s="1">
        <v>75</v>
      </c>
      <c r="AF37" s="1">
        <v>90</v>
      </c>
    </row>
    <row r="38" spans="1:33" ht="15" thickBot="1" x14ac:dyDescent="0.35">
      <c r="A38" s="1472">
        <v>8</v>
      </c>
      <c r="B38" s="1435">
        <v>46281</v>
      </c>
      <c r="C38" s="1436"/>
      <c r="D38" s="487" t="s">
        <v>626</v>
      </c>
      <c r="E38" s="826" t="s">
        <v>592</v>
      </c>
      <c r="F38" s="916" t="s">
        <v>12</v>
      </c>
      <c r="G38" s="896">
        <v>0.3</v>
      </c>
      <c r="H38" s="485">
        <f>J38-'Au Cal Leaching Tank'!$T$15</f>
        <v>323.54831999999988</v>
      </c>
      <c r="I38" s="485">
        <f t="shared" si="17"/>
        <v>26.96235999999999</v>
      </c>
      <c r="J38" s="485">
        <f t="shared" si="18"/>
        <v>431.3983199999999</v>
      </c>
      <c r="K38" s="781">
        <v>1.19</v>
      </c>
      <c r="L38" s="878">
        <v>0.75</v>
      </c>
      <c r="M38" s="884">
        <f>(J38*K38*G38)-'Au Cal Leaching Tank'!$U$15</f>
        <v>117.10293023999996</v>
      </c>
      <c r="N38" s="1428">
        <f>SUM(M38:M39)</f>
        <v>171.64785532499997</v>
      </c>
      <c r="O38" s="532">
        <f t="shared" si="15"/>
        <v>9.7585775199999976</v>
      </c>
      <c r="P38" s="934">
        <f t="shared" si="19"/>
        <v>12</v>
      </c>
      <c r="Q38" s="485">
        <f t="shared" si="20"/>
        <v>720</v>
      </c>
      <c r="R38" s="485">
        <f>'Milling Down Time Hours'!G37</f>
        <v>0</v>
      </c>
      <c r="S38" s="1428">
        <f>SUM(M38:M41)</f>
        <v>365.71778205599998</v>
      </c>
      <c r="T38" s="827">
        <f>AVERAGE('LT Ball Mill'!F76:F78)</f>
        <v>0.45166666666666666</v>
      </c>
      <c r="U38" s="827">
        <f>AVERAGE('LT Ball Mill'!G76:G78)</f>
        <v>0.6333333333333333</v>
      </c>
      <c r="V38" s="827">
        <f>AVERAGE('LT Ball Mill'!H76:H78)</f>
        <v>11.63</v>
      </c>
      <c r="W38" s="472">
        <f t="shared" si="3"/>
        <v>52.891490158399982</v>
      </c>
      <c r="X38" s="485">
        <f t="shared" si="6"/>
        <v>74.165189151999968</v>
      </c>
      <c r="Y38" s="485">
        <f t="shared" si="4"/>
        <v>1361.9070786911996</v>
      </c>
      <c r="Z38" s="781">
        <f>1.2*4</f>
        <v>4.8</v>
      </c>
      <c r="AB38" s="928">
        <f>W38*$AC$5</f>
        <v>132228725.39599995</v>
      </c>
      <c r="AE38" s="1">
        <v>72</v>
      </c>
      <c r="AF38" s="1">
        <v>78</v>
      </c>
    </row>
    <row r="39" spans="1:33" ht="15" thickBot="1" x14ac:dyDescent="0.35">
      <c r="A39" s="1472"/>
      <c r="B39" s="1437"/>
      <c r="C39" s="1438"/>
      <c r="D39" s="826" t="s">
        <v>598</v>
      </c>
      <c r="E39" s="826" t="s">
        <v>599</v>
      </c>
      <c r="F39" s="911" t="s">
        <v>13</v>
      </c>
      <c r="G39" s="896">
        <v>0.3</v>
      </c>
      <c r="H39" s="485">
        <f>J39-'Au Cal Leaching Tank'!$T$15-H38</f>
        <v>152.78690500000005</v>
      </c>
      <c r="I39" s="485">
        <f t="shared" si="17"/>
        <v>13.97441204268293</v>
      </c>
      <c r="J39" s="485">
        <f t="shared" si="18"/>
        <v>584.18522499999995</v>
      </c>
      <c r="K39" s="617">
        <v>1.19</v>
      </c>
      <c r="L39" s="878">
        <v>0.75</v>
      </c>
      <c r="M39" s="884">
        <f>(J39*K39*G39)-'Au Cal Leaching Tank'!$U$15-SUM(M38)</f>
        <v>54.544925085000003</v>
      </c>
      <c r="N39" s="1430"/>
      <c r="O39" s="532">
        <f>IFERROR(M39/P39,"")</f>
        <v>4.9888650992378052</v>
      </c>
      <c r="P39" s="934">
        <f t="shared" si="19"/>
        <v>10.933333333333334</v>
      </c>
      <c r="Q39" s="485">
        <f t="shared" si="20"/>
        <v>656</v>
      </c>
      <c r="R39" s="485">
        <f>'Milling Down Time Hours'!G38</f>
        <v>64</v>
      </c>
      <c r="S39" s="1429"/>
      <c r="T39" s="527">
        <f>AVERAGE('LT Ball Mill'!F79:F81)</f>
        <v>0.58799999999999997</v>
      </c>
      <c r="U39" s="527">
        <f>AVERAGE('LT Ball Mill'!G79:G81)</f>
        <v>0.57999999999999996</v>
      </c>
      <c r="V39" s="527">
        <f>AVERAGE('LT Ball Mill'!H79:H81)</f>
        <v>9.1866666666666674</v>
      </c>
      <c r="W39" s="472">
        <f t="shared" si="3"/>
        <v>32.072415949979998</v>
      </c>
      <c r="X39" s="485">
        <f t="shared" si="6"/>
        <v>31.636056549300001</v>
      </c>
      <c r="Y39" s="485">
        <f t="shared" si="4"/>
        <v>501.08604511420009</v>
      </c>
      <c r="Z39" s="781">
        <f>6.5</f>
        <v>6.5</v>
      </c>
      <c r="AB39" s="928">
        <f t="shared" si="5"/>
        <v>80181039.874949992</v>
      </c>
      <c r="AE39" s="1">
        <v>70</v>
      </c>
    </row>
    <row r="40" spans="1:33" ht="37.200000000000003" customHeight="1" thickBot="1" x14ac:dyDescent="0.35">
      <c r="A40" s="1472"/>
      <c r="B40" s="1435">
        <v>46282</v>
      </c>
      <c r="C40" s="1436"/>
      <c r="D40" s="487" t="s">
        <v>626</v>
      </c>
      <c r="E40" s="921" t="s">
        <v>627</v>
      </c>
      <c r="F40" s="916" t="s">
        <v>12</v>
      </c>
      <c r="G40" s="878">
        <v>0.35</v>
      </c>
      <c r="H40" s="485">
        <f>J40-'Au Cal Leaching Tank'!$T$15-SUM(H38:H39)</f>
        <v>170.76183499999991</v>
      </c>
      <c r="I40" s="485">
        <f t="shared" si="17"/>
        <v>14.230152916666659</v>
      </c>
      <c r="J40" s="485">
        <f t="shared" si="18"/>
        <v>754.94705999999985</v>
      </c>
      <c r="K40" s="617">
        <v>1.2250000000000001</v>
      </c>
      <c r="L40" s="878">
        <v>0.75</v>
      </c>
      <c r="M40" s="884">
        <f>(J40*K40*G40)-'Au Cal Leaching Tank'!$U$15-SUM(M38:M39)</f>
        <v>115.12942664999997</v>
      </c>
      <c r="N40" s="1448">
        <f>SUM(M40:M41)</f>
        <v>194.06992673100001</v>
      </c>
      <c r="O40" s="532">
        <f>IFERROR(M40/P40,"")</f>
        <v>9.594118887499997</v>
      </c>
      <c r="P40" s="934">
        <f t="shared" si="19"/>
        <v>12</v>
      </c>
      <c r="Q40" s="554">
        <f t="shared" si="20"/>
        <v>720</v>
      </c>
      <c r="R40" s="554">
        <f>'Milling Down Time Hours'!G39</f>
        <v>0</v>
      </c>
      <c r="S40" s="1429"/>
      <c r="T40" s="474">
        <f>AVERAGE('LT Ball Mill'!F82:F84)</f>
        <v>0.61433333333333329</v>
      </c>
      <c r="U40" s="474">
        <f>AVERAGE('LT Ball Mill'!G82:G84)</f>
        <v>0.59</v>
      </c>
      <c r="V40" s="474">
        <f>AVERAGE('LT Ball Mill'!H82:H84)</f>
        <v>11.076666666666668</v>
      </c>
      <c r="W40" s="472">
        <f t="shared" si="3"/>
        <v>70.727844438649981</v>
      </c>
      <c r="X40" s="485">
        <f>M40*U40</f>
        <v>67.92636172349998</v>
      </c>
      <c r="Y40" s="485">
        <f t="shared" si="4"/>
        <v>1275.2502825264999</v>
      </c>
      <c r="Z40" s="781">
        <f>1.2*7</f>
        <v>8.4</v>
      </c>
      <c r="AB40" s="928">
        <f t="shared" si="5"/>
        <v>176819611.09662494</v>
      </c>
      <c r="AC40" s="136"/>
      <c r="AE40" s="1">
        <v>60</v>
      </c>
    </row>
    <row r="41" spans="1:33" ht="29.4" thickBot="1" x14ac:dyDescent="0.35">
      <c r="A41" s="1472"/>
      <c r="B41" s="1437"/>
      <c r="C41" s="1438"/>
      <c r="D41" s="946" t="s">
        <v>598</v>
      </c>
      <c r="E41" s="959" t="s">
        <v>641</v>
      </c>
      <c r="F41" s="947" t="s">
        <v>13</v>
      </c>
      <c r="G41" s="937">
        <v>0.34</v>
      </c>
      <c r="H41" s="934">
        <f>J41-'Au Cal Leaching Tank'!$T$15-SUM(H38:H40)</f>
        <v>215.69916000000012</v>
      </c>
      <c r="I41" s="934">
        <f t="shared" ref="I41:I43" si="21">H41/((720-R41)/60)</f>
        <v>17.974930000000011</v>
      </c>
      <c r="J41" s="934">
        <f t="shared" si="18"/>
        <v>970.64621999999997</v>
      </c>
      <c r="K41" s="450">
        <v>1.22</v>
      </c>
      <c r="L41" s="937">
        <v>0.75</v>
      </c>
      <c r="M41" s="884">
        <f>(J41*K41*G41)-'Au Cal Leaching Tank'!$U$15-SUM(M38:M40)</f>
        <v>78.940500081000039</v>
      </c>
      <c r="N41" s="1449"/>
      <c r="O41" s="532">
        <f>IFERROR(M41/P41,"")</f>
        <v>6.5783750067500035</v>
      </c>
      <c r="P41" s="934">
        <f t="shared" si="19"/>
        <v>12</v>
      </c>
      <c r="Q41" s="554">
        <f t="shared" si="20"/>
        <v>720</v>
      </c>
      <c r="R41" s="554">
        <f>'Milling Down Time Hours'!G40</f>
        <v>0</v>
      </c>
      <c r="S41" s="1430"/>
      <c r="T41" s="978">
        <f>AVERAGE('LT Ball Mill'!F85:F87)</f>
        <v>0.68533333333333335</v>
      </c>
      <c r="U41" s="978">
        <f>AVERAGE('LT Ball Mill'!G85:G87)</f>
        <v>0.55000000000000004</v>
      </c>
      <c r="V41" s="978">
        <f>AVERAGE('LT Ball Mill'!H85:H87)</f>
        <v>9.6166666666666671</v>
      </c>
      <c r="W41" s="979">
        <f t="shared" si="3"/>
        <v>54.10055605551203</v>
      </c>
      <c r="X41" s="934">
        <f t="shared" si="6"/>
        <v>43.417275044550024</v>
      </c>
      <c r="Y41" s="934">
        <f t="shared" si="4"/>
        <v>759.14447577895044</v>
      </c>
      <c r="Z41" s="980">
        <v>10.8</v>
      </c>
      <c r="AB41" s="928">
        <f t="shared" si="5"/>
        <v>135251390.13878009</v>
      </c>
      <c r="AC41" s="136"/>
      <c r="AD41" s="136"/>
      <c r="AE41" s="1">
        <v>60</v>
      </c>
    </row>
    <row r="42" spans="1:33" ht="15" thickBot="1" x14ac:dyDescent="0.35">
      <c r="A42" s="1471">
        <v>9</v>
      </c>
      <c r="B42" s="1407">
        <v>46283</v>
      </c>
      <c r="C42" s="1408"/>
      <c r="D42" s="667" t="s">
        <v>646</v>
      </c>
      <c r="E42" s="667" t="s">
        <v>645</v>
      </c>
      <c r="F42" s="961" t="s">
        <v>12</v>
      </c>
      <c r="G42" s="962">
        <v>0.34</v>
      </c>
      <c r="H42" s="965">
        <f>J42-'Au Cal Leaching Tank'!$T$18</f>
        <v>323.54831999999988</v>
      </c>
      <c r="I42" s="965">
        <f t="shared" si="21"/>
        <v>35.619998532110074</v>
      </c>
      <c r="J42" s="965">
        <f t="shared" si="18"/>
        <v>431.3983199999999</v>
      </c>
      <c r="K42" s="963">
        <v>1.22</v>
      </c>
      <c r="L42" s="962">
        <v>0.75</v>
      </c>
      <c r="M42" s="964">
        <f>(J42*K42*G42)-'Au Cal Leaching Tank'!$U$16</f>
        <v>135.87951813599997</v>
      </c>
      <c r="N42" s="1401">
        <f>SUM(M42:M43)</f>
        <v>229.75179256799998</v>
      </c>
      <c r="O42" s="966">
        <f t="shared" si="15"/>
        <v>14.959213005798162</v>
      </c>
      <c r="P42" s="965">
        <f t="shared" si="19"/>
        <v>9.0833333333333339</v>
      </c>
      <c r="Q42" s="977">
        <f t="shared" si="20"/>
        <v>545</v>
      </c>
      <c r="R42" s="965">
        <f>'Milling Down Time Hours'!G41</f>
        <v>175</v>
      </c>
      <c r="S42" s="1401">
        <f>SUM(M42:M45)</f>
        <v>472.85193585999997</v>
      </c>
      <c r="T42" s="1001">
        <f>AVERAGE('LT Ball Mill'!F88:F90)</f>
        <v>0.7679999999999999</v>
      </c>
      <c r="U42" s="1001">
        <f>AVERAGE('LT Ball Mill'!G88:G90)</f>
        <v>0.53666666666666674</v>
      </c>
      <c r="V42" s="1001">
        <f>AVERAGE('LT Ball Mill'!H88:H90)</f>
        <v>12.049999999999999</v>
      </c>
      <c r="W42" s="967">
        <f t="shared" si="3"/>
        <v>104.35546992844796</v>
      </c>
      <c r="X42" s="965">
        <f t="shared" si="6"/>
        <v>72.922008066319989</v>
      </c>
      <c r="Y42" s="965">
        <f t="shared" si="4"/>
        <v>1637.3481935387995</v>
      </c>
      <c r="Z42" s="968">
        <v>4.8</v>
      </c>
      <c r="AB42" s="928">
        <f t="shared" si="5"/>
        <v>260888674.8211199</v>
      </c>
      <c r="AE42" s="1">
        <v>60</v>
      </c>
    </row>
    <row r="43" spans="1:33" ht="15" thickBot="1" x14ac:dyDescent="0.35">
      <c r="A43" s="1471"/>
      <c r="B43" s="1409"/>
      <c r="C43" s="1410"/>
      <c r="D43" s="986" t="s">
        <v>598</v>
      </c>
      <c r="E43" s="976" t="s">
        <v>644</v>
      </c>
      <c r="F43" s="970" t="s">
        <v>13</v>
      </c>
      <c r="G43" s="962">
        <v>0.36</v>
      </c>
      <c r="H43" s="965">
        <f>J43-'Au Cal Leaching Tank'!$T$18-SUM(H42)</f>
        <v>179.74930000000006</v>
      </c>
      <c r="I43" s="965">
        <f t="shared" si="21"/>
        <v>14.979108333333338</v>
      </c>
      <c r="J43" s="965">
        <f>3.14*Z43*((10.7/2)^2)</f>
        <v>611.14761999999996</v>
      </c>
      <c r="K43" s="963">
        <v>1.24</v>
      </c>
      <c r="L43" s="962">
        <v>0.75</v>
      </c>
      <c r="M43" s="964">
        <f>(J43*K43*G43)-'Au Cal Leaching Tank'!$U$16-SUM(M42)</f>
        <v>93.872274432000012</v>
      </c>
      <c r="N43" s="1402"/>
      <c r="O43" s="966">
        <f t="shared" ref="O43:O49" si="22">IFERROR(M43/P43,"")</f>
        <v>7.8226895360000013</v>
      </c>
      <c r="P43" s="965">
        <f t="shared" ref="P43:P45" si="23">(720-R43)/60</f>
        <v>12</v>
      </c>
      <c r="Q43" s="965">
        <f t="shared" si="20"/>
        <v>720</v>
      </c>
      <c r="R43" s="965">
        <f>'Milling Down Time Hours'!G42</f>
        <v>0</v>
      </c>
      <c r="S43" s="1406"/>
      <c r="T43" s="971">
        <f>AVERAGE('LT Ball Mill'!F91:F93)</f>
        <v>0.51666666666666672</v>
      </c>
      <c r="U43" s="971">
        <f>AVERAGE('LT Ball Mill'!G91:G93)</f>
        <v>0.71666666666666667</v>
      </c>
      <c r="V43" s="971">
        <f>AVERAGE('LT Ball Mill'!H91:H93)</f>
        <v>11.409999999999998</v>
      </c>
      <c r="W43" s="967">
        <f t="shared" si="3"/>
        <v>48.500675123200011</v>
      </c>
      <c r="X43" s="965">
        <f t="shared" si="6"/>
        <v>67.275130009600005</v>
      </c>
      <c r="Y43" s="965">
        <f t="shared" si="4"/>
        <v>1071.0826512691199</v>
      </c>
      <c r="Z43" s="968">
        <v>6.8</v>
      </c>
      <c r="AB43" s="928">
        <f t="shared" si="5"/>
        <v>121251687.80800003</v>
      </c>
      <c r="AE43" s="1">
        <v>72</v>
      </c>
    </row>
    <row r="44" spans="1:33" ht="15" thickBot="1" x14ac:dyDescent="0.35">
      <c r="A44" s="1471"/>
      <c r="B44" s="1407">
        <v>46284</v>
      </c>
      <c r="C44" s="1408"/>
      <c r="D44" s="667" t="s">
        <v>646</v>
      </c>
      <c r="E44" s="667" t="s">
        <v>644</v>
      </c>
      <c r="F44" s="961" t="s">
        <v>12</v>
      </c>
      <c r="G44" s="962">
        <v>0.35</v>
      </c>
      <c r="H44" s="965">
        <f>J44-'Au Cal Leaching Tank'!$T$18-SUM(H43)</f>
        <v>575.19733999999971</v>
      </c>
      <c r="I44" s="965">
        <f>H44/((720-R44)/60)</f>
        <v>47.93311166666664</v>
      </c>
      <c r="J44" s="965">
        <f>3.14*Z44*((10.7/2)^2)</f>
        <v>862.7966399999998</v>
      </c>
      <c r="K44" s="963">
        <v>1.23</v>
      </c>
      <c r="L44" s="962">
        <v>0.75</v>
      </c>
      <c r="M44" s="964">
        <f>(J44*K44*G44)-'Au Cal Leaching Tank'!$U$16-SUM(M42:M43)</f>
        <v>98.617655951999893</v>
      </c>
      <c r="N44" s="1401">
        <f>SUM(M44:M45)</f>
        <v>243.10014329199998</v>
      </c>
      <c r="O44" s="966">
        <f t="shared" si="22"/>
        <v>8.2181379959999905</v>
      </c>
      <c r="P44" s="965">
        <f t="shared" si="23"/>
        <v>12</v>
      </c>
      <c r="Q44" s="965">
        <f t="shared" si="20"/>
        <v>720</v>
      </c>
      <c r="R44" s="965">
        <f>'Milling Down Time Hours'!G43</f>
        <v>0</v>
      </c>
      <c r="S44" s="1406"/>
      <c r="T44" s="1001">
        <f>AVERAGE('LT Ball Mill'!F94:F96)</f>
        <v>0.59099999999999997</v>
      </c>
      <c r="U44" s="1001">
        <f>AVERAGE('LT Ball Mill'!G94:G96)</f>
        <v>0.96666666666666679</v>
      </c>
      <c r="V44" s="1001">
        <f>AVERAGE('LT Ball Mill'!H94:H96)</f>
        <v>16.586666666666662</v>
      </c>
      <c r="W44" s="967">
        <f t="shared" si="3"/>
        <v>58.283034667631931</v>
      </c>
      <c r="X44" s="965">
        <f t="shared" si="6"/>
        <v>95.330400753599903</v>
      </c>
      <c r="Y44" s="965">
        <f t="shared" si="4"/>
        <v>1635.7381867238378</v>
      </c>
      <c r="Z44" s="968">
        <v>9.6</v>
      </c>
      <c r="AB44" s="928">
        <f t="shared" si="5"/>
        <v>145707586.66907984</v>
      </c>
      <c r="AE44" s="1">
        <v>72</v>
      </c>
    </row>
    <row r="45" spans="1:33" ht="29.4" thickBot="1" x14ac:dyDescent="0.35">
      <c r="A45" s="1471"/>
      <c r="B45" s="1409"/>
      <c r="C45" s="1410"/>
      <c r="D45" s="986" t="s">
        <v>647</v>
      </c>
      <c r="E45" s="1038" t="s">
        <v>656</v>
      </c>
      <c r="F45" s="970" t="s">
        <v>13</v>
      </c>
      <c r="G45" s="962">
        <v>0.4</v>
      </c>
      <c r="H45" s="965">
        <f>J45-'Au Cal Leaching Tank'!$T$18-SUM(H44)</f>
        <v>332.53620500000022</v>
      </c>
      <c r="I45" s="965">
        <f>H45/((720-R45)/60)</f>
        <v>55.422700833333373</v>
      </c>
      <c r="J45" s="965">
        <f>3.14*Z45*((10.7/2)^2)</f>
        <v>1015.583545</v>
      </c>
      <c r="K45" s="963">
        <v>1.27</v>
      </c>
      <c r="L45" s="962">
        <v>0.75</v>
      </c>
      <c r="M45" s="964">
        <f>(J45*K45*G45)-'Au Cal Leaching Tank'!$U$16-SUM(M42:M44)</f>
        <v>144.48248734000009</v>
      </c>
      <c r="N45" s="1402"/>
      <c r="O45" s="966">
        <f>IFERROR(M45/P45,"")</f>
        <v>24.080414556666682</v>
      </c>
      <c r="P45" s="965">
        <f t="shared" si="23"/>
        <v>6</v>
      </c>
      <c r="Q45" s="965">
        <f t="shared" si="20"/>
        <v>360</v>
      </c>
      <c r="R45" s="965">
        <f>'Milling Down Time Hours'!G44</f>
        <v>360</v>
      </c>
      <c r="S45" s="1403"/>
      <c r="T45" s="971">
        <f>AVERAGE('LT Ball Mill'!F97:F99)</f>
        <v>0.54733333333333334</v>
      </c>
      <c r="U45" s="971">
        <f>AVERAGE('LT Ball Mill'!G97:G99)</f>
        <v>1.2333333333333332</v>
      </c>
      <c r="V45" s="971">
        <f>AVERAGE('LT Ball Mill'!H97:H99)</f>
        <v>18.656666666666666</v>
      </c>
      <c r="W45" s="967">
        <f t="shared" si="3"/>
        <v>79.080081404093377</v>
      </c>
      <c r="X45" s="965">
        <f>M45*U45</f>
        <v>178.19506771933342</v>
      </c>
      <c r="Y45" s="965">
        <f t="shared" si="4"/>
        <v>2695.5616054732682</v>
      </c>
      <c r="Z45" s="968">
        <v>11.3</v>
      </c>
      <c r="AB45" s="928">
        <f t="shared" si="5"/>
        <v>197700203.51023343</v>
      </c>
      <c r="AE45" s="1">
        <v>60</v>
      </c>
    </row>
    <row r="46" spans="1:33" ht="29.4" thickBot="1" x14ac:dyDescent="0.35">
      <c r="A46" s="1470">
        <v>10</v>
      </c>
      <c r="B46" s="1411">
        <v>46285</v>
      </c>
      <c r="C46" s="1412"/>
      <c r="D46" s="451" t="s">
        <v>508</v>
      </c>
      <c r="E46" s="451" t="s">
        <v>655</v>
      </c>
      <c r="F46" s="1033" t="s">
        <v>12</v>
      </c>
      <c r="G46" s="450" t="s">
        <v>684</v>
      </c>
      <c r="H46" s="934" t="s">
        <v>685</v>
      </c>
      <c r="I46" s="934" t="s">
        <v>686</v>
      </c>
      <c r="J46" s="1082" t="s">
        <v>687</v>
      </c>
      <c r="K46" s="450" t="s">
        <v>688</v>
      </c>
      <c r="L46" s="937" t="s">
        <v>689</v>
      </c>
      <c r="M46" s="1034" t="s">
        <v>690</v>
      </c>
      <c r="N46" s="1085" t="s">
        <v>693</v>
      </c>
      <c r="O46" s="1035" t="str">
        <f t="shared" si="22"/>
        <v/>
      </c>
      <c r="P46" s="934">
        <f t="shared" ref="P46" si="24">(720-R46)/60</f>
        <v>0</v>
      </c>
      <c r="Q46" s="934">
        <f t="shared" ref="Q46" si="25">720-R46</f>
        <v>0</v>
      </c>
      <c r="R46" s="934">
        <f>'Milling Down Time Hours'!G45</f>
        <v>720</v>
      </c>
      <c r="S46" s="451"/>
      <c r="T46" s="1036"/>
      <c r="U46" s="1036"/>
      <c r="V46" s="1037"/>
      <c r="W46" s="979" t="e">
        <f t="shared" si="3"/>
        <v>#VALUE!</v>
      </c>
      <c r="X46" s="934" t="e">
        <f t="shared" si="6"/>
        <v>#VALUE!</v>
      </c>
      <c r="Y46" s="934" t="e">
        <f t="shared" si="4"/>
        <v>#VALUE!</v>
      </c>
      <c r="Z46" s="980">
        <v>0</v>
      </c>
      <c r="AB46" s="928" t="e">
        <f>W46*$AC$5</f>
        <v>#VALUE!</v>
      </c>
      <c r="AE46" s="1">
        <v>72</v>
      </c>
    </row>
    <row r="47" spans="1:33" ht="15" customHeight="1" thickBot="1" x14ac:dyDescent="0.35">
      <c r="A47" s="1470"/>
      <c r="B47" s="1413"/>
      <c r="C47" s="1414"/>
      <c r="D47" s="1057" t="s">
        <v>509</v>
      </c>
      <c r="E47" s="1057" t="s">
        <v>655</v>
      </c>
      <c r="F47" s="947" t="s">
        <v>13</v>
      </c>
      <c r="G47" s="934" t="s">
        <v>679</v>
      </c>
      <c r="H47" s="934" t="s">
        <v>679</v>
      </c>
      <c r="I47" s="934" t="s">
        <v>679</v>
      </c>
      <c r="J47" s="934" t="s">
        <v>679</v>
      </c>
      <c r="K47" s="934" t="s">
        <v>679</v>
      </c>
      <c r="L47" s="934" t="s">
        <v>679</v>
      </c>
      <c r="M47" s="934" t="s">
        <v>679</v>
      </c>
      <c r="N47" s="934" t="s">
        <v>679</v>
      </c>
      <c r="O47" s="934" t="s">
        <v>679</v>
      </c>
      <c r="P47" s="934" t="s">
        <v>679</v>
      </c>
      <c r="Q47" s="934" t="s">
        <v>679</v>
      </c>
      <c r="R47" s="934" t="s">
        <v>679</v>
      </c>
      <c r="S47" s="934" t="s">
        <v>679</v>
      </c>
      <c r="T47" s="934" t="s">
        <v>679</v>
      </c>
      <c r="U47" s="934" t="s">
        <v>679</v>
      </c>
      <c r="V47" s="934" t="s">
        <v>679</v>
      </c>
      <c r="W47" s="934" t="s">
        <v>679</v>
      </c>
      <c r="X47" s="934" t="s">
        <v>679</v>
      </c>
      <c r="Y47" s="934" t="s">
        <v>679</v>
      </c>
      <c r="Z47" s="934" t="s">
        <v>679</v>
      </c>
      <c r="AB47" s="928" t="e">
        <f t="shared" si="5"/>
        <v>#VALUE!</v>
      </c>
      <c r="AE47" s="1">
        <v>72</v>
      </c>
    </row>
    <row r="48" spans="1:33" ht="15" customHeight="1" thickBot="1" x14ac:dyDescent="0.35">
      <c r="A48" s="1470"/>
      <c r="B48" s="1411">
        <v>46286</v>
      </c>
      <c r="C48" s="1412"/>
      <c r="D48" s="451" t="s">
        <v>508</v>
      </c>
      <c r="E48" s="451" t="s">
        <v>663</v>
      </c>
      <c r="F48" s="1033" t="s">
        <v>12</v>
      </c>
      <c r="G48" s="937">
        <v>0.3</v>
      </c>
      <c r="H48" s="934">
        <f>J48-'Au Cal Leaching Tank'!$T$18</f>
        <v>62.911834999999996</v>
      </c>
      <c r="I48" s="934">
        <f t="shared" ref="I48:I54" si="26">H48/((720-R48)/60)</f>
        <v>26.032483448275862</v>
      </c>
      <c r="J48" s="934">
        <f t="shared" ref="J48:J51" si="27">3.14*Z48*((10.7/2)^2)</f>
        <v>170.76183499999999</v>
      </c>
      <c r="K48" s="450">
        <v>1.19</v>
      </c>
      <c r="L48" s="937">
        <v>0.72</v>
      </c>
      <c r="M48" s="1034">
        <f>(J48*K48*G48)-'Au Cal Leaching Tank'!$U$17</f>
        <v>14.721287594999986</v>
      </c>
      <c r="N48" s="1399">
        <f>SUM(M48:M49)</f>
        <v>95.832260473499986</v>
      </c>
      <c r="O48" s="1035">
        <f>IFERROR(M48/P48,"")</f>
        <v>6.0915672806896497</v>
      </c>
      <c r="P48" s="934">
        <f t="shared" ref="P48:P49" si="28">(720-R48)/60</f>
        <v>2.4166666666666665</v>
      </c>
      <c r="Q48" s="934">
        <f t="shared" ref="Q48:Q49" si="29">720-R48</f>
        <v>145</v>
      </c>
      <c r="R48" s="934">
        <f>'Milling Down Time Hours'!G47</f>
        <v>575</v>
      </c>
      <c r="S48" s="1399">
        <f>SUM(M48:M54)</f>
        <v>389.3044488509999</v>
      </c>
      <c r="T48" s="1080">
        <f>AVERAGE('LT Ball Mill'!F100:F102)</f>
        <v>0.9860000000000001</v>
      </c>
      <c r="U48" s="1080">
        <f>AVERAGE('LT Ball Mill'!G100:G102)</f>
        <v>1.99</v>
      </c>
      <c r="V48" s="1080">
        <f>AVERAGE('LT Ball Mill'!H100:H102)</f>
        <v>20.026666666666667</v>
      </c>
      <c r="W48" s="934">
        <f>T48*M48</f>
        <v>14.515189568669987</v>
      </c>
      <c r="X48" s="934">
        <f>U48*M48</f>
        <v>29.295362314049971</v>
      </c>
      <c r="Y48" s="934">
        <f>V48*M48</f>
        <v>294.81831956919973</v>
      </c>
      <c r="Z48" s="980">
        <v>1.9</v>
      </c>
      <c r="AB48" s="928">
        <f t="shared" si="5"/>
        <v>36287973.921674967</v>
      </c>
      <c r="AE48" s="1">
        <v>80</v>
      </c>
      <c r="AG48" s="1">
        <v>64</v>
      </c>
    </row>
    <row r="49" spans="1:33" ht="15" customHeight="1" thickBot="1" x14ac:dyDescent="0.35">
      <c r="A49" s="1470"/>
      <c r="B49" s="1413"/>
      <c r="C49" s="1414"/>
      <c r="D49" s="1075" t="s">
        <v>541</v>
      </c>
      <c r="E49" s="1081" t="s">
        <v>681</v>
      </c>
      <c r="F49" s="947" t="s">
        <v>13</v>
      </c>
      <c r="G49" s="937">
        <v>0.28999999999999998</v>
      </c>
      <c r="H49" s="934">
        <f>J49-'Au Cal Leaching Tank'!$T$18-SUM(H48)</f>
        <v>242.66155499999991</v>
      </c>
      <c r="I49" s="934">
        <f t="shared" si="26"/>
        <v>21.101004782608687</v>
      </c>
      <c r="J49" s="934">
        <f t="shared" si="27"/>
        <v>413.42338999999993</v>
      </c>
      <c r="K49" s="450">
        <v>1.1850000000000001</v>
      </c>
      <c r="L49" s="937">
        <v>0.67</v>
      </c>
      <c r="M49" s="1034">
        <f>(J49*K49*G49)-'Au Cal Leaching Tank'!$U$17-SUM(M48)</f>
        <v>81.110972878500007</v>
      </c>
      <c r="N49" s="1400"/>
      <c r="O49" s="1035">
        <f t="shared" si="22"/>
        <v>7.0531280763913049</v>
      </c>
      <c r="P49" s="934">
        <f t="shared" si="28"/>
        <v>11.5</v>
      </c>
      <c r="Q49" s="934">
        <f t="shared" si="29"/>
        <v>690</v>
      </c>
      <c r="R49" s="934">
        <f>'Milling Down Time Hours'!G48</f>
        <v>30</v>
      </c>
      <c r="S49" s="1404"/>
      <c r="T49" s="978">
        <f>AVERAGE('LT Ball Mill'!F103:F105)</f>
        <v>0.55333333333333334</v>
      </c>
      <c r="U49" s="978">
        <f>AVERAGE('LT Ball Mill'!G103:G105)</f>
        <v>1.2133333333333332</v>
      </c>
      <c r="V49" s="978">
        <f>AVERAGE('LT Ball Mill'!H103:H105)</f>
        <v>18.866666666666667</v>
      </c>
      <c r="W49" s="934">
        <f>T49*M49</f>
        <v>44.881404992770008</v>
      </c>
      <c r="X49" s="934">
        <f>U49*M49</f>
        <v>98.414647092579997</v>
      </c>
      <c r="Y49" s="934">
        <f>V49*M49</f>
        <v>1530.2936883077002</v>
      </c>
      <c r="Z49" s="980">
        <v>4.5999999999999996</v>
      </c>
      <c r="AB49" s="928">
        <f t="shared" si="5"/>
        <v>112203512.48192503</v>
      </c>
      <c r="AE49" s="1">
        <v>78</v>
      </c>
      <c r="AG49" s="1">
        <v>69</v>
      </c>
    </row>
    <row r="50" spans="1:33" ht="15" customHeight="1" thickBot="1" x14ac:dyDescent="0.35">
      <c r="A50" s="1470"/>
      <c r="B50" s="1411">
        <v>46287</v>
      </c>
      <c r="C50" s="1412"/>
      <c r="D50" s="451" t="s">
        <v>682</v>
      </c>
      <c r="E50" s="451" t="s">
        <v>683</v>
      </c>
      <c r="F50" s="1033" t="s">
        <v>12</v>
      </c>
      <c r="G50" s="937">
        <v>0.35</v>
      </c>
      <c r="H50" s="934">
        <f>J50-'Au Cal Leaching Tank'!$T$18-SUM(H48:H49)</f>
        <v>143.79944</v>
      </c>
      <c r="I50" s="934">
        <f t="shared" si="26"/>
        <v>11.983286666666666</v>
      </c>
      <c r="J50" s="934">
        <f t="shared" si="27"/>
        <v>557.22282999999993</v>
      </c>
      <c r="K50" s="450">
        <v>1.2250000000000001</v>
      </c>
      <c r="L50" s="937">
        <v>0.61</v>
      </c>
      <c r="M50" s="1034">
        <f>(J50*K50*G50)-'Au Cal Leaching Tank'!$U$17-SUM(M48:M49)</f>
        <v>96.836340388999986</v>
      </c>
      <c r="N50" s="1399">
        <f>SUM(M50:M51)</f>
        <v>182.93176135649995</v>
      </c>
      <c r="O50" s="1035">
        <f t="shared" ref="O50:O53" si="30">IFERROR(M50/P50,"")</f>
        <v>8.0696950324166661</v>
      </c>
      <c r="P50" s="960">
        <f t="shared" ref="P50:P58" si="31">(720-R50)/60</f>
        <v>12</v>
      </c>
      <c r="Q50" s="960">
        <f t="shared" ref="Q50:Q51" si="32">720-R50</f>
        <v>720</v>
      </c>
      <c r="R50" s="960">
        <f>'Milling Down Time Hours'!G49</f>
        <v>0</v>
      </c>
      <c r="S50" s="1404"/>
      <c r="T50" s="1105">
        <f>AVERAGE('LT Ball Mill'!F106:F108)</f>
        <v>0.82600000000000007</v>
      </c>
      <c r="U50" s="1105">
        <f>AVERAGE('LT Ball Mill'!G106:G108)</f>
        <v>1.1100000000000001</v>
      </c>
      <c r="V50" s="1105">
        <f>AVERAGE('LT Ball Mill'!H106:H108)</f>
        <v>19.606666666666669</v>
      </c>
      <c r="W50" s="1091">
        <f>T50*M50</f>
        <v>79.986817161313994</v>
      </c>
      <c r="X50" s="960">
        <f>U50*M50</f>
        <v>107.48833783178999</v>
      </c>
      <c r="Y50" s="960">
        <f>V50*M50</f>
        <v>1898.6378472269932</v>
      </c>
      <c r="Z50" s="947">
        <v>6.2</v>
      </c>
      <c r="AE50" s="1">
        <v>72</v>
      </c>
      <c r="AG50" s="1">
        <v>69</v>
      </c>
    </row>
    <row r="51" spans="1:33" ht="15" customHeight="1" thickBot="1" x14ac:dyDescent="0.35">
      <c r="A51" s="1470"/>
      <c r="B51" s="1413"/>
      <c r="C51" s="1414"/>
      <c r="D51" s="1088" t="s">
        <v>509</v>
      </c>
      <c r="E51" s="1088" t="s">
        <v>697</v>
      </c>
      <c r="F51" s="947" t="s">
        <v>13</v>
      </c>
      <c r="G51" s="937">
        <v>0.35</v>
      </c>
      <c r="H51" s="934">
        <f>J51-'Au Cal Leaching Tank'!$T$18-SUM(H48:H50)</f>
        <v>197.72422999999992</v>
      </c>
      <c r="I51" s="934">
        <f t="shared" si="26"/>
        <v>21.375592432432423</v>
      </c>
      <c r="J51" s="934">
        <f t="shared" si="27"/>
        <v>754.94705999999985</v>
      </c>
      <c r="K51" s="450">
        <v>1.23</v>
      </c>
      <c r="L51" s="937">
        <v>0.67</v>
      </c>
      <c r="M51" s="1034">
        <f>(J51*K51*G51)-'Au Cal Leaching Tank'!$U$17-SUM(M48:M50)</f>
        <v>86.095420967499962</v>
      </c>
      <c r="N51" s="1400"/>
      <c r="O51" s="1035">
        <f t="shared" si="30"/>
        <v>9.307613077567563</v>
      </c>
      <c r="P51" s="934">
        <f t="shared" si="31"/>
        <v>9.25</v>
      </c>
      <c r="Q51" s="934">
        <f t="shared" si="32"/>
        <v>555</v>
      </c>
      <c r="R51" s="934">
        <f>'Milling Down Time Hours'!G50</f>
        <v>165</v>
      </c>
      <c r="S51" s="1404"/>
      <c r="T51" s="1117">
        <f>AVERAGE('LT Ball Mill'!F109:F111)</f>
        <v>0.749</v>
      </c>
      <c r="U51" s="1117">
        <f>AVERAGE('LT Ball Mill'!G109:G111)</f>
        <v>1.0666666666666667</v>
      </c>
      <c r="V51" s="1117">
        <f>AVERAGE('LT Ball Mill'!H109:H111)</f>
        <v>15.506666666666668</v>
      </c>
      <c r="W51" s="979">
        <f t="shared" ref="W51:W53" si="33">T51*M51</f>
        <v>64.485470304657468</v>
      </c>
      <c r="X51" s="934">
        <f t="shared" ref="X51:X53" si="34">U51*M51</f>
        <v>91.835115698666627</v>
      </c>
      <c r="Y51" s="934">
        <f t="shared" ref="Y51:Y53" si="35">V51*M51</f>
        <v>1335.0529944693662</v>
      </c>
      <c r="Z51" s="980">
        <v>8.4</v>
      </c>
      <c r="AA51" s="1">
        <f>9*1.2</f>
        <v>10.799999999999999</v>
      </c>
      <c r="AE51" s="1">
        <v>72</v>
      </c>
      <c r="AG51" s="1">
        <v>71</v>
      </c>
    </row>
    <row r="52" spans="1:33" ht="15" thickBot="1" x14ac:dyDescent="0.35">
      <c r="A52" s="1470"/>
      <c r="B52" s="1411">
        <v>46288</v>
      </c>
      <c r="C52" s="1412"/>
      <c r="D52" s="451" t="s">
        <v>508</v>
      </c>
      <c r="E52" s="451" t="s">
        <v>699</v>
      </c>
      <c r="F52" s="1033" t="s">
        <v>12</v>
      </c>
      <c r="G52" s="937">
        <v>0.36</v>
      </c>
      <c r="H52" s="934">
        <f>J52-'Au Cal Leaching Tank'!$T$18-SUM(H48:H51)</f>
        <v>80.887185000000045</v>
      </c>
      <c r="I52" s="934">
        <f t="shared" si="26"/>
        <v>10.784958000000007</v>
      </c>
      <c r="J52" s="934">
        <f>3.14*Z52*((10.7/2)^2)</f>
        <v>835.8342449999999</v>
      </c>
      <c r="K52" s="450">
        <v>1.2350000000000001</v>
      </c>
      <c r="L52" s="937">
        <v>0.64</v>
      </c>
      <c r="M52" s="1034">
        <f>(J52*K52*G52)-'Au Cal Leaching Tank'!$U$17-SUM(M48:M51)</f>
        <v>46.607195997000019</v>
      </c>
      <c r="N52" s="1399">
        <f>SUM(M52:M53)</f>
        <v>69.643866285000001</v>
      </c>
      <c r="O52" s="1035">
        <f t="shared" si="30"/>
        <v>6.2142927996000026</v>
      </c>
      <c r="P52" s="934">
        <f t="shared" si="31"/>
        <v>7.5</v>
      </c>
      <c r="Q52" s="934">
        <f t="shared" ref="Q52:Q53" si="36">720-R52</f>
        <v>450</v>
      </c>
      <c r="R52" s="934">
        <f>'Milling Down Time Hours'!G51</f>
        <v>270</v>
      </c>
      <c r="S52" s="1404"/>
      <c r="T52" s="1118">
        <f>AVERAGE('LT Ball Mill'!F112:F114)</f>
        <v>1.0543333333333333</v>
      </c>
      <c r="U52" s="1118">
        <f>AVERAGE('LT Ball Mill'!G112:G114)</f>
        <v>0.93333333333333324</v>
      </c>
      <c r="V52" s="1118">
        <f>AVERAGE('LT Ball Mill'!H112:H114)</f>
        <v>18.046666666666667</v>
      </c>
      <c r="W52" s="1092">
        <f t="shared" si="33"/>
        <v>49.139520312837021</v>
      </c>
      <c r="X52" s="1035">
        <f t="shared" si="34"/>
        <v>43.500049597200011</v>
      </c>
      <c r="Y52" s="1035">
        <f t="shared" si="35"/>
        <v>841.10453042586039</v>
      </c>
      <c r="Z52" s="1093">
        <v>9.3000000000000007</v>
      </c>
      <c r="AE52" s="1">
        <v>72</v>
      </c>
      <c r="AG52" s="1">
        <v>76</v>
      </c>
    </row>
    <row r="53" spans="1:33" ht="15" thickBot="1" x14ac:dyDescent="0.35">
      <c r="A53" s="1470"/>
      <c r="B53" s="1413"/>
      <c r="C53" s="1414"/>
      <c r="D53" s="1100" t="s">
        <v>509</v>
      </c>
      <c r="E53" s="1104" t="s">
        <v>702</v>
      </c>
      <c r="F53" s="947" t="s">
        <v>13</v>
      </c>
      <c r="G53" s="937">
        <v>0.35</v>
      </c>
      <c r="H53" s="934">
        <f>J53-'Au Cal Leaching Tank'!$T$18-SUM(H48:H52)</f>
        <v>80.887184999999931</v>
      </c>
      <c r="I53" s="934">
        <f t="shared" si="26"/>
        <v>6.740598749999994</v>
      </c>
      <c r="J53" s="934">
        <f>3.14*Z53*((10.7/2)^2)</f>
        <v>916.72142999999983</v>
      </c>
      <c r="K53" s="450">
        <v>1.23</v>
      </c>
      <c r="L53" s="937">
        <v>0.69</v>
      </c>
      <c r="M53" s="1034">
        <f>(J53*K53*G53)-'Au Cal Leaching Tank'!$U$17-SUM(M48:M52)</f>
        <v>23.036670287999982</v>
      </c>
      <c r="N53" s="1400"/>
      <c r="O53" s="1035">
        <f t="shared" si="30"/>
        <v>1.9197225239999984</v>
      </c>
      <c r="P53" s="934">
        <f t="shared" si="31"/>
        <v>12</v>
      </c>
      <c r="Q53" s="934">
        <f t="shared" si="36"/>
        <v>720</v>
      </c>
      <c r="R53" s="934">
        <f>'Milling Down Time Hours'!G52</f>
        <v>0</v>
      </c>
      <c r="S53" s="1404"/>
      <c r="T53" s="978">
        <f>AVERAGE('LT Ball Mill'!F115:F117)</f>
        <v>0.73499999999999999</v>
      </c>
      <c r="U53" s="978">
        <f>AVERAGE('LT Ball Mill'!G115:G117)</f>
        <v>0.64666666666666661</v>
      </c>
      <c r="V53" s="978">
        <f>AVERAGE('LT Ball Mill'!H115:H117)</f>
        <v>16.513333333333332</v>
      </c>
      <c r="W53" s="979">
        <f t="shared" si="33"/>
        <v>16.931952661679986</v>
      </c>
      <c r="X53" s="934">
        <f t="shared" si="34"/>
        <v>14.897046786239986</v>
      </c>
      <c r="Y53" s="934">
        <f t="shared" si="35"/>
        <v>380.41221535583969</v>
      </c>
      <c r="Z53" s="980">
        <v>10.199999999999999</v>
      </c>
      <c r="AE53" s="1">
        <v>72</v>
      </c>
      <c r="AG53" s="1">
        <v>74</v>
      </c>
    </row>
    <row r="54" spans="1:33" ht="15" thickBot="1" x14ac:dyDescent="0.35">
      <c r="B54" s="1415">
        <v>46289</v>
      </c>
      <c r="C54" s="1416"/>
      <c r="D54" s="451" t="s">
        <v>508</v>
      </c>
      <c r="E54" s="451" t="s">
        <v>703</v>
      </c>
      <c r="F54" s="1033" t="s">
        <v>12</v>
      </c>
      <c r="G54" s="937">
        <v>0.36</v>
      </c>
      <c r="H54" s="934">
        <f>J54-'Au Cal Leaching Tank'!$T$18-SUM(H48:H53)</f>
        <v>62.912254999999959</v>
      </c>
      <c r="I54" s="934">
        <f t="shared" si="26"/>
        <v>5.2426879166666636</v>
      </c>
      <c r="J54" s="934">
        <f>3.14*Z54*((10.7/2)^2)</f>
        <v>979.63368499999979</v>
      </c>
      <c r="K54" s="450">
        <v>1.2350000000000001</v>
      </c>
      <c r="L54" s="937">
        <v>0.74</v>
      </c>
      <c r="M54" s="1034">
        <f>(J54*K54*G54)-'Au Cal Leaching Tank'!$U$17-SUM(M48:M53)</f>
        <v>40.896560735999969</v>
      </c>
      <c r="N54" s="1399">
        <f>SUM(M54:M56)</f>
        <v>299.60957198599993</v>
      </c>
      <c r="O54" s="1399">
        <f>(N54)/24</f>
        <v>12.48373216608333</v>
      </c>
      <c r="P54" s="934">
        <f t="shared" si="31"/>
        <v>12</v>
      </c>
      <c r="Q54" s="934">
        <f t="shared" ref="Q54" si="37">720-R54</f>
        <v>720</v>
      </c>
      <c r="R54" s="934">
        <f>'Milling Down Time Hours'!G53</f>
        <v>0</v>
      </c>
      <c r="S54" s="1405"/>
      <c r="T54" s="1080">
        <f>AVERAGE('LT Ball Mill'!F118:F120)</f>
        <v>0.87766666666666671</v>
      </c>
      <c r="U54" s="1080">
        <f>AVERAGE('LT Ball Mill'!G118:G120)</f>
        <v>1.0133333333333334</v>
      </c>
      <c r="V54" s="1080">
        <f>AVERAGE('LT Ball Mill'!H118:H120)</f>
        <v>16.686666666666667</v>
      </c>
      <c r="W54" s="979">
        <f t="shared" ref="W54" si="38">T54*M54</f>
        <v>35.893548139295973</v>
      </c>
      <c r="X54" s="934">
        <f t="shared" ref="X54" si="39">U54*M54</f>
        <v>41.441848212479975</v>
      </c>
      <c r="Y54" s="934">
        <f t="shared" ref="Y54" si="40">V54*M54</f>
        <v>682.42727681471956</v>
      </c>
      <c r="Z54" s="980">
        <v>10.9</v>
      </c>
      <c r="AA54" s="10">
        <f>1.2*6</f>
        <v>7.1999999999999993</v>
      </c>
      <c r="AE54" s="1">
        <v>80</v>
      </c>
      <c r="AG54" s="1">
        <v>60</v>
      </c>
    </row>
    <row r="55" spans="1:33" ht="15" thickBot="1" x14ac:dyDescent="0.35">
      <c r="B55" s="1417"/>
      <c r="C55" s="1418"/>
      <c r="D55" s="667" t="s">
        <v>508</v>
      </c>
      <c r="E55" s="667" t="s">
        <v>748</v>
      </c>
      <c r="F55" s="1144" t="s">
        <v>12</v>
      </c>
      <c r="G55" s="962">
        <v>0.36</v>
      </c>
      <c r="H55" s="965">
        <f>J55-108</f>
        <v>152.63648499999994</v>
      </c>
      <c r="I55" s="965"/>
      <c r="J55" s="965">
        <f>3.14*Z55*((10.7/2)^2)</f>
        <v>260.63648499999994</v>
      </c>
      <c r="K55" s="963">
        <v>1.24</v>
      </c>
      <c r="L55" s="962">
        <v>0.74</v>
      </c>
      <c r="M55" s="964">
        <f>(J55*G55*K55)-'Au Cal Leaching Tank'!$U$18</f>
        <v>76.227926903999972</v>
      </c>
      <c r="N55" s="1404"/>
      <c r="O55" s="1404"/>
      <c r="P55" s="965"/>
      <c r="Q55" s="965"/>
      <c r="R55" s="965"/>
      <c r="S55" s="1145"/>
      <c r="T55" s="1146">
        <f>T54</f>
        <v>0.87766666666666671</v>
      </c>
      <c r="U55" s="1146">
        <f t="shared" ref="U55:V55" si="41">U54</f>
        <v>1.0133333333333334</v>
      </c>
      <c r="V55" s="1146">
        <f t="shared" si="41"/>
        <v>16.686666666666667</v>
      </c>
      <c r="W55" s="965">
        <f>T55*$M$55</f>
        <v>66.90271051274398</v>
      </c>
      <c r="X55" s="965">
        <f t="shared" ref="X55:Y55" si="42">U55*$M$55</f>
        <v>77.244299262719977</v>
      </c>
      <c r="Y55" s="965">
        <f t="shared" si="42"/>
        <v>1271.9900069380797</v>
      </c>
      <c r="Z55" s="968">
        <v>2.9</v>
      </c>
      <c r="AA55" s="10"/>
      <c r="AE55" s="1">
        <v>82</v>
      </c>
    </row>
    <row r="56" spans="1:33" ht="15" thickBot="1" x14ac:dyDescent="0.35">
      <c r="A56" s="1464">
        <v>11</v>
      </c>
      <c r="B56" s="1419"/>
      <c r="C56" s="1420"/>
      <c r="D56" s="1116" t="s">
        <v>541</v>
      </c>
      <c r="E56" s="1122" t="s">
        <v>707</v>
      </c>
      <c r="F56" s="970" t="s">
        <v>13</v>
      </c>
      <c r="G56" s="962">
        <v>0.38</v>
      </c>
      <c r="H56" s="965">
        <f>J56-'Au Cal Leaching Tank'!$T$18</f>
        <v>521.27254999999991</v>
      </c>
      <c r="I56" s="965">
        <f>H56/((720-R56)/60)</f>
        <v>43.439379166666662</v>
      </c>
      <c r="J56" s="965">
        <f>3.14*Z56*((10.7/2)^2)</f>
        <v>629.12254999999993</v>
      </c>
      <c r="K56" s="1121">
        <v>1.25</v>
      </c>
      <c r="L56" s="962">
        <v>0.77</v>
      </c>
      <c r="M56" s="964">
        <f>(J56*G56*K56)-'Au Cal Leaching Tank'!$U$18-SUM(M55)</f>
        <v>182.48508434600001</v>
      </c>
      <c r="N56" s="1400"/>
      <c r="O56" s="1405"/>
      <c r="P56" s="965">
        <f t="shared" si="31"/>
        <v>12</v>
      </c>
      <c r="Q56" s="965">
        <f>720-R56</f>
        <v>720</v>
      </c>
      <c r="R56" s="965">
        <f>'Milling Down Time Hours'!G54</f>
        <v>0</v>
      </c>
      <c r="S56" s="1401">
        <f>SUM(M55:M59)</f>
        <v>354.52837561499985</v>
      </c>
      <c r="T56" s="971">
        <f>AVERAGE('LT Ball Mill'!F121:F123)</f>
        <v>0.57966666666666666</v>
      </c>
      <c r="U56" s="971">
        <f>AVERAGE('LT Ball Mill'!G121:G123)</f>
        <v>1.8533333333333333</v>
      </c>
      <c r="V56" s="971">
        <f>AVERAGE('LT Ball Mill'!H121:H123)</f>
        <v>17.643333333333334</v>
      </c>
      <c r="W56" s="965">
        <f>T56*$M$56</f>
        <v>105.78052055923133</v>
      </c>
      <c r="X56" s="965">
        <f t="shared" ref="X56:Y56" si="43">U56*$M$56</f>
        <v>338.20568965458665</v>
      </c>
      <c r="Y56" s="965">
        <f t="shared" si="43"/>
        <v>3219.6451714779269</v>
      </c>
      <c r="Z56" s="968">
        <v>7</v>
      </c>
      <c r="AA56" s="10">
        <f>(M56-115)*T56</f>
        <v>39.118853892564672</v>
      </c>
      <c r="AE56" s="1">
        <v>80</v>
      </c>
      <c r="AG56" s="1">
        <v>83</v>
      </c>
    </row>
    <row r="57" spans="1:33" ht="15" thickBot="1" x14ac:dyDescent="0.35">
      <c r="A57" s="1464"/>
      <c r="B57" s="1407">
        <v>46290</v>
      </c>
      <c r="C57" s="1408"/>
      <c r="D57" s="667" t="s">
        <v>682</v>
      </c>
      <c r="E57" s="667" t="s">
        <v>708</v>
      </c>
      <c r="F57" s="961" t="s">
        <v>12</v>
      </c>
      <c r="G57" s="962">
        <v>0.35</v>
      </c>
      <c r="H57" s="965">
        <f>J57-'Au Cal Leaching Tank'!$T$18-SUM(H56)</f>
        <v>251.64901999999995</v>
      </c>
      <c r="I57" s="965">
        <f>H57/((720-R57)/60)</f>
        <v>27.010628264758491</v>
      </c>
      <c r="J57" s="965">
        <f t="shared" ref="J57:J64" si="44">3.14*Z57*((10.7/2)^2)</f>
        <v>880.77156999999988</v>
      </c>
      <c r="K57" s="963">
        <v>1.23</v>
      </c>
      <c r="L57" s="962">
        <v>0.77</v>
      </c>
      <c r="M57" s="964">
        <f>(J57*G57*K57)-'Au Cal Leaching Tank'!$U$18-SUM(M55:M56)</f>
        <v>80.338949634999892</v>
      </c>
      <c r="N57" s="1401">
        <f>SUM(M57:M58)</f>
        <v>91.946260682499883</v>
      </c>
      <c r="O57" s="1106"/>
      <c r="P57" s="965">
        <f t="shared" si="31"/>
        <v>9.3166666666666664</v>
      </c>
      <c r="Q57" s="965">
        <f t="shared" ref="Q57:Q58" si="45">720-R57</f>
        <v>559</v>
      </c>
      <c r="R57" s="965">
        <f>'Milling Down Time Hours'!G55</f>
        <v>161</v>
      </c>
      <c r="S57" s="1406"/>
      <c r="T57" s="1001">
        <f>AVERAGE('LT Ball Mill'!F124:F126)</f>
        <v>0.73</v>
      </c>
      <c r="U57" s="1001">
        <f>AVERAGE('LT Ball Mill'!G124:G126)</f>
        <v>1.2166666666666668</v>
      </c>
      <c r="V57" s="1001">
        <f>AVERAGE('LT Ball Mill'!H124:H126)</f>
        <v>20.023333333333337</v>
      </c>
      <c r="W57" s="967">
        <f>T57*$M$57</f>
        <v>58.647433233549918</v>
      </c>
      <c r="X57" s="967">
        <f t="shared" ref="X57:Y57" si="46">U57*$M$57</f>
        <v>97.745722055916545</v>
      </c>
      <c r="Y57" s="967">
        <f t="shared" si="46"/>
        <v>1608.6535681914816</v>
      </c>
      <c r="Z57" s="968">
        <v>9.8000000000000007</v>
      </c>
      <c r="AE57" s="1">
        <v>80</v>
      </c>
      <c r="AG57" s="1">
        <v>82</v>
      </c>
    </row>
    <row r="58" spans="1:33" ht="15" thickBot="1" x14ac:dyDescent="0.35">
      <c r="A58" s="1464"/>
      <c r="B58" s="1409"/>
      <c r="C58" s="1410"/>
      <c r="D58" s="1116" t="s">
        <v>541</v>
      </c>
      <c r="E58" s="1136" t="s">
        <v>746</v>
      </c>
      <c r="F58" s="970" t="s">
        <v>13</v>
      </c>
      <c r="G58" s="962">
        <v>0.35</v>
      </c>
      <c r="H58" s="965">
        <f>J58-'Au Cal Leaching Tank'!$T$18-SUM(H56:H57)</f>
        <v>26.962394999999901</v>
      </c>
      <c r="I58" s="965"/>
      <c r="J58" s="965">
        <f t="shared" si="44"/>
        <v>907.73396499999978</v>
      </c>
      <c r="K58" s="963">
        <v>1.23</v>
      </c>
      <c r="L58" s="962">
        <v>0.77</v>
      </c>
      <c r="M58" s="964">
        <f>(J58*G58*K58)-'Au Cal Leaching Tank'!$U$18-SUM(M55:M57)</f>
        <v>11.607311047499991</v>
      </c>
      <c r="N58" s="1402"/>
      <c r="O58" s="1106"/>
      <c r="P58" s="965">
        <f t="shared" si="31"/>
        <v>0</v>
      </c>
      <c r="Q58" s="965">
        <f t="shared" si="45"/>
        <v>0</v>
      </c>
      <c r="R58" s="965">
        <f>'Milling Down Time Hours'!G56</f>
        <v>720</v>
      </c>
      <c r="S58" s="1403"/>
      <c r="T58" s="971">
        <f>T57</f>
        <v>0.73</v>
      </c>
      <c r="U58" s="971">
        <f t="shared" ref="U58:V59" si="47">U57</f>
        <v>1.2166666666666668</v>
      </c>
      <c r="V58" s="971">
        <f t="shared" si="47"/>
        <v>20.023333333333337</v>
      </c>
      <c r="W58" s="967">
        <f>T58*$M$58</f>
        <v>8.4733370646749933</v>
      </c>
      <c r="X58" s="967">
        <f t="shared" ref="X58:Y58" si="48">U58*$M$58</f>
        <v>14.122228441124991</v>
      </c>
      <c r="Y58" s="967">
        <f t="shared" si="48"/>
        <v>232.41705820777486</v>
      </c>
      <c r="Z58" s="968">
        <v>10.1</v>
      </c>
      <c r="AG58" s="1">
        <v>83</v>
      </c>
    </row>
    <row r="59" spans="1:33" ht="15" thickBot="1" x14ac:dyDescent="0.35">
      <c r="A59" s="1463">
        <v>12</v>
      </c>
      <c r="B59" s="1411">
        <v>46291</v>
      </c>
      <c r="C59" s="1412"/>
      <c r="D59" s="667"/>
      <c r="E59" s="667"/>
      <c r="F59" s="961" t="s">
        <v>12</v>
      </c>
      <c r="G59" s="962">
        <v>0.35</v>
      </c>
      <c r="H59" s="965"/>
      <c r="I59" s="965"/>
      <c r="J59" s="965">
        <f t="shared" si="44"/>
        <v>916.72142999999983</v>
      </c>
      <c r="K59" s="963">
        <v>1.23</v>
      </c>
      <c r="L59" s="963"/>
      <c r="M59" s="964">
        <f>(J59*G59*K59)-'Au Cal Leaching Tank'!$U$18-SUM(M55:M58)</f>
        <v>3.8691036824999969</v>
      </c>
      <c r="N59" s="963"/>
      <c r="O59" s="1106"/>
      <c r="P59" s="965">
        <f t="shared" ref="P59:P61" si="49">(720-R59)/60</f>
        <v>0</v>
      </c>
      <c r="Q59" s="965">
        <f t="shared" ref="Q59:Q61" si="50">720-R59</f>
        <v>0</v>
      </c>
      <c r="R59" s="965">
        <f>'Milling Down Time Hours'!G57</f>
        <v>720</v>
      </c>
      <c r="S59" s="667"/>
      <c r="T59" s="1001">
        <f>T58</f>
        <v>0.73</v>
      </c>
      <c r="U59" s="1001">
        <f t="shared" si="47"/>
        <v>1.2166666666666668</v>
      </c>
      <c r="V59" s="1001">
        <f t="shared" si="47"/>
        <v>20.023333333333337</v>
      </c>
      <c r="W59" s="967">
        <f>T59*$M$59</f>
        <v>2.8244456882249978</v>
      </c>
      <c r="X59" s="967">
        <f t="shared" ref="X59:Y59" si="51">U59*$M$59</f>
        <v>4.7074094803749968</v>
      </c>
      <c r="Y59" s="967">
        <f t="shared" si="51"/>
        <v>77.472352735924957</v>
      </c>
      <c r="Z59" s="968">
        <v>10.199999999999999</v>
      </c>
      <c r="AG59" s="1">
        <v>80</v>
      </c>
    </row>
    <row r="60" spans="1:33" ht="15" thickBot="1" x14ac:dyDescent="0.35">
      <c r="A60" s="1463"/>
      <c r="B60" s="1413"/>
      <c r="C60" s="1414"/>
      <c r="D60" s="910"/>
      <c r="E60" s="910"/>
      <c r="F60" s="947" t="s">
        <v>13</v>
      </c>
      <c r="G60" s="450"/>
      <c r="H60" s="934"/>
      <c r="I60" s="934"/>
      <c r="J60" s="934">
        <f>3.14*Z60*((10.7/2)^2)</f>
        <v>0</v>
      </c>
      <c r="K60" s="450"/>
      <c r="L60" s="450"/>
      <c r="M60" s="1034">
        <f t="shared" si="7"/>
        <v>0</v>
      </c>
      <c r="N60" s="450"/>
      <c r="O60" s="1137"/>
      <c r="P60" s="934">
        <f t="shared" si="49"/>
        <v>0</v>
      </c>
      <c r="Q60" s="934">
        <f t="shared" si="50"/>
        <v>0</v>
      </c>
      <c r="R60" s="934">
        <f>'Milling Down Time Hours'!G58</f>
        <v>720</v>
      </c>
      <c r="S60" s="451"/>
      <c r="T60" s="1138"/>
      <c r="U60" s="1138"/>
      <c r="V60" s="1139"/>
      <c r="W60" s="979"/>
      <c r="X60" s="934"/>
      <c r="Y60" s="934"/>
      <c r="Z60" s="980"/>
      <c r="AG60" s="1">
        <v>80</v>
      </c>
    </row>
    <row r="61" spans="1:33" ht="15" thickBot="1" x14ac:dyDescent="0.35">
      <c r="A61" s="1463"/>
      <c r="B61" s="1411">
        <v>46292</v>
      </c>
      <c r="C61" s="1412"/>
      <c r="D61" s="451" t="s">
        <v>508</v>
      </c>
      <c r="E61" s="451" t="s">
        <v>753</v>
      </c>
      <c r="F61" s="1033" t="s">
        <v>12</v>
      </c>
      <c r="G61" s="937">
        <v>0.34</v>
      </c>
      <c r="H61" s="934">
        <f>J61-'Au Cal Leaching Tank'!$T$19</f>
        <v>17.824509999999975</v>
      </c>
      <c r="I61" s="934">
        <f t="shared" ref="I61:I62" si="52">H61/((720-R61)/60)</f>
        <v>2.2280637499999969</v>
      </c>
      <c r="J61" s="934">
        <f t="shared" si="44"/>
        <v>125.82450999999998</v>
      </c>
      <c r="K61" s="450">
        <v>1.22</v>
      </c>
      <c r="L61" s="937">
        <v>0.75</v>
      </c>
      <c r="M61" s="1034">
        <f>(J61*K61*G61)-'Au Cal Leaching Tank'!$U$19</f>
        <v>5.6980067479999974</v>
      </c>
      <c r="N61" s="1399">
        <f>SUM(M61:M62)</f>
        <v>100.53193993499997</v>
      </c>
      <c r="O61" s="934">
        <f>(M61/P61)</f>
        <v>0.71225084349999968</v>
      </c>
      <c r="P61" s="934">
        <f t="shared" si="49"/>
        <v>8</v>
      </c>
      <c r="Q61" s="934">
        <f t="shared" si="50"/>
        <v>480</v>
      </c>
      <c r="R61" s="934">
        <f>'Milling Down Time Hours'!G59</f>
        <v>240</v>
      </c>
      <c r="S61" s="1460">
        <f>SUM(M61:M65)</f>
        <v>385.05530941200004</v>
      </c>
      <c r="T61" s="1080">
        <f>AVERAGE('LT Ball Mill'!F130:F132)</f>
        <v>0.52033333333333331</v>
      </c>
      <c r="U61" s="1080">
        <f>AVERAGE('LT Ball Mill'!G130:G132)</f>
        <v>1.1033333333333333</v>
      </c>
      <c r="V61" s="1080">
        <f>AVERAGE('LT Ball Mill'!H130:H132)</f>
        <v>13.643333333333333</v>
      </c>
      <c r="W61" s="979">
        <f>M61*T61</f>
        <v>2.9648628445426652</v>
      </c>
      <c r="X61" s="979">
        <f>M61*U61</f>
        <v>6.2868007786266631</v>
      </c>
      <c r="Y61" s="934">
        <f>M61*V61</f>
        <v>77.739805398546622</v>
      </c>
      <c r="Z61" s="980">
        <v>1.4</v>
      </c>
      <c r="AG61" s="1">
        <v>78</v>
      </c>
    </row>
    <row r="62" spans="1:33" ht="15" thickBot="1" x14ac:dyDescent="0.35">
      <c r="A62" s="1463"/>
      <c r="B62" s="1413"/>
      <c r="C62" s="1414"/>
      <c r="D62" s="1166" t="s">
        <v>508</v>
      </c>
      <c r="E62" s="1166" t="s">
        <v>754</v>
      </c>
      <c r="F62" s="947" t="s">
        <v>13</v>
      </c>
      <c r="G62" s="937">
        <v>0.35</v>
      </c>
      <c r="H62" s="934">
        <f>(J62)-'Au Cal Leaching Tank'!$T$19-SUM(H61)</f>
        <v>215.69916000000001</v>
      </c>
      <c r="I62" s="934">
        <f t="shared" si="52"/>
        <v>19.609014545454546</v>
      </c>
      <c r="J62" s="934">
        <f t="shared" si="44"/>
        <v>341.52366999999998</v>
      </c>
      <c r="K62" s="450">
        <v>1.23</v>
      </c>
      <c r="L62" s="937">
        <v>0.72</v>
      </c>
      <c r="M62" s="1034">
        <f>(J62*K62*G62)-'Au Cal Leaching Tank'!$U$19-SUM(M61)</f>
        <v>94.833933186999971</v>
      </c>
      <c r="N62" s="1400"/>
      <c r="O62" s="934">
        <f>(M62/P62)</f>
        <v>8.6212666533636337</v>
      </c>
      <c r="P62" s="934">
        <f t="shared" ref="P62:P63" si="53">(720-R62)/60</f>
        <v>11</v>
      </c>
      <c r="Q62" s="934">
        <f t="shared" ref="Q62:Q63" si="54">720-R62</f>
        <v>660</v>
      </c>
      <c r="R62" s="934">
        <f>'Milling Down Time Hours'!G60</f>
        <v>60.000000000000007</v>
      </c>
      <c r="S62" s="1461"/>
      <c r="T62" s="978">
        <f>AVERAGE('LT Ball Mill'!F133:F135)</f>
        <v>0.74766666666666659</v>
      </c>
      <c r="U62" s="978">
        <f>AVERAGE('LT Ball Mill'!G133:G135)</f>
        <v>1.4400000000000002</v>
      </c>
      <c r="V62" s="978">
        <f>AVERAGE('LT Ball Mill'!H133:H135)</f>
        <v>15.363333333333335</v>
      </c>
      <c r="W62" s="979">
        <f>M62*T62</f>
        <v>70.904170712813638</v>
      </c>
      <c r="X62" s="934">
        <f>M62*U62</f>
        <v>136.56086378927998</v>
      </c>
      <c r="Y62" s="934">
        <f>M62*V62</f>
        <v>1456.9653268629431</v>
      </c>
      <c r="Z62" s="980">
        <v>3.8</v>
      </c>
      <c r="AG62" s="1">
        <v>67</v>
      </c>
    </row>
    <row r="63" spans="1:33" ht="15" thickBot="1" x14ac:dyDescent="0.35">
      <c r="A63" s="1463"/>
      <c r="B63" s="1411">
        <v>46293</v>
      </c>
      <c r="C63" s="1412"/>
      <c r="D63" s="451" t="s">
        <v>541</v>
      </c>
      <c r="E63" s="451" t="s">
        <v>755</v>
      </c>
      <c r="F63" s="1033" t="s">
        <v>12</v>
      </c>
      <c r="G63" s="937">
        <v>0.35</v>
      </c>
      <c r="H63" s="934">
        <f>(J63)-'Au Cal Leaching Tank'!$T$19-SUM(H61:H62)</f>
        <v>188.73676500000005</v>
      </c>
      <c r="I63" s="934">
        <f t="shared" ref="I63" si="55">H63/((720-R63)/60)</f>
        <v>15.728063750000004</v>
      </c>
      <c r="J63" s="934">
        <f t="shared" si="44"/>
        <v>530.26043500000003</v>
      </c>
      <c r="K63" s="450">
        <v>1.23</v>
      </c>
      <c r="L63" s="937">
        <v>0.71</v>
      </c>
      <c r="M63" s="1034">
        <f>(J63*K63*G63)-'Au Cal Leaching Tank'!$U$19-SUM(M61:M62)</f>
        <v>81.251177332500021</v>
      </c>
      <c r="N63" s="1399">
        <f>SUM(M63:M64)</f>
        <v>158.63325098249993</v>
      </c>
      <c r="O63" s="934">
        <f t="shared" ref="O63:O65" si="56">(M63/P63)</f>
        <v>6.7709314443750017</v>
      </c>
      <c r="P63" s="934">
        <f t="shared" si="53"/>
        <v>12</v>
      </c>
      <c r="Q63" s="934">
        <f t="shared" si="54"/>
        <v>720</v>
      </c>
      <c r="R63" s="934">
        <f>'Milling Down Time Hours'!G61</f>
        <v>0</v>
      </c>
      <c r="S63" s="1461"/>
      <c r="T63" s="1080">
        <f>AVERAGE('LT Ball Mill'!F136:F138)</f>
        <v>0.58499999999999996</v>
      </c>
      <c r="U63" s="1080">
        <f>AVERAGE('LT Ball Mill'!G136:G138)</f>
        <v>1.0999999999999999</v>
      </c>
      <c r="V63" s="1080">
        <f>AVERAGE('LT Ball Mill'!H136:H138)</f>
        <v>14.276666666666666</v>
      </c>
      <c r="W63" s="979">
        <f>M63*T63</f>
        <v>47.531938739512512</v>
      </c>
      <c r="X63" s="979">
        <f>M63*U63</f>
        <v>89.376295065750014</v>
      </c>
      <c r="Y63" s="934">
        <f>M63*V63</f>
        <v>1159.9959750503251</v>
      </c>
      <c r="Z63" s="980">
        <v>5.9</v>
      </c>
      <c r="AG63" s="1">
        <v>72</v>
      </c>
    </row>
    <row r="64" spans="1:33" ht="15" thickBot="1" x14ac:dyDescent="0.35">
      <c r="A64" s="1463"/>
      <c r="B64" s="1413"/>
      <c r="C64" s="1414"/>
      <c r="D64" s="1167" t="s">
        <v>756</v>
      </c>
      <c r="E64" s="1167" t="s">
        <v>755</v>
      </c>
      <c r="F64" s="947" t="s">
        <v>13</v>
      </c>
      <c r="G64" s="937">
        <v>0.35</v>
      </c>
      <c r="H64" s="934">
        <f>(J64)-'Au Cal Leaching Tank'!$T$19-SUM(H61:H63)</f>
        <v>179.74929999999983</v>
      </c>
      <c r="I64" s="934">
        <f t="shared" ref="I64:I65" si="57">H64/((720-R64)/60)</f>
        <v>14.97910833333332</v>
      </c>
      <c r="J64" s="934">
        <f t="shared" si="44"/>
        <v>710.00973499999986</v>
      </c>
      <c r="K64" s="450">
        <v>1.23</v>
      </c>
      <c r="L64" s="937">
        <v>0.71</v>
      </c>
      <c r="M64" s="1034">
        <f>(J64*K64*G64)-'Au Cal Leaching Tank'!$U$19-SUM(M61:M63)</f>
        <v>77.38207364999991</v>
      </c>
      <c r="N64" s="1400"/>
      <c r="O64" s="934">
        <f t="shared" si="56"/>
        <v>6.4485061374999928</v>
      </c>
      <c r="P64" s="934">
        <f t="shared" ref="P64" si="58">(720-R64)/60</f>
        <v>12</v>
      </c>
      <c r="Q64" s="934">
        <f t="shared" ref="Q64" si="59">720-R64</f>
        <v>720</v>
      </c>
      <c r="R64" s="934">
        <f>'Milling Down Time Hours'!G62</f>
        <v>0</v>
      </c>
      <c r="S64" s="1461"/>
      <c r="T64" s="978">
        <f>AVERAGE('LT Ball Mill'!F139:F141)</f>
        <v>0.54866666666666664</v>
      </c>
      <c r="U64" s="978">
        <f>AVERAGE('LT Ball Mill'!G139:G141)</f>
        <v>2.0799999999999996</v>
      </c>
      <c r="V64" s="978">
        <f>AVERAGE('LT Ball Mill'!H139:H141)</f>
        <v>17.903333333333336</v>
      </c>
      <c r="W64" s="979">
        <f t="shared" ref="W64:W102" si="60">T64*M64</f>
        <v>42.45696440929995</v>
      </c>
      <c r="X64" s="934">
        <f t="shared" ref="X64:X102" si="61">M64*U64</f>
        <v>160.95471319199979</v>
      </c>
      <c r="Y64" s="934">
        <f t="shared" ref="Y64:Y102" si="62">M64*V64</f>
        <v>1385.3970585804987</v>
      </c>
      <c r="Z64" s="980">
        <v>7.9</v>
      </c>
      <c r="AG64" s="1">
        <v>78</v>
      </c>
    </row>
    <row r="65" spans="1:30" ht="15" thickBot="1" x14ac:dyDescent="0.35">
      <c r="A65" s="676"/>
      <c r="B65" s="1407">
        <v>46294</v>
      </c>
      <c r="C65" s="1408"/>
      <c r="D65" s="451" t="s">
        <v>542</v>
      </c>
      <c r="E65" s="451" t="s">
        <v>760</v>
      </c>
      <c r="F65" s="1033" t="s">
        <v>12</v>
      </c>
      <c r="G65" s="937">
        <v>0.36</v>
      </c>
      <c r="H65" s="934">
        <f>(J65)-'Au Cal Leaching Tank'!$T$19-SUM(H61:H64)</f>
        <v>260.63648500000011</v>
      </c>
      <c r="I65" s="934">
        <f t="shared" si="57"/>
        <v>22.340270142857154</v>
      </c>
      <c r="J65" s="934">
        <f>3.14*Z65*((10.7/2)^2)</f>
        <v>970.64621999999997</v>
      </c>
      <c r="K65" s="450">
        <v>1.2350000000000001</v>
      </c>
      <c r="L65" s="937">
        <v>0.71</v>
      </c>
      <c r="M65" s="1034">
        <f>(J65*K65*G65)-'Au Cal Leaching Tank'!$U$19-SUM(M61:M64)</f>
        <v>125.89011849450014</v>
      </c>
      <c r="N65" s="1401">
        <f>SUM(M65:M66)</f>
        <v>125.89011849450014</v>
      </c>
      <c r="O65" s="934">
        <f t="shared" si="56"/>
        <v>10.790581585242871</v>
      </c>
      <c r="P65" s="934">
        <f t="shared" ref="P65:P66" si="63">(720-R65)/60</f>
        <v>11.666666666666666</v>
      </c>
      <c r="Q65" s="934">
        <f t="shared" ref="Q65:Q66" si="64">720-R65</f>
        <v>700</v>
      </c>
      <c r="R65" s="934">
        <f>'Milling Down Time Hours'!G63</f>
        <v>20</v>
      </c>
      <c r="S65" s="1462"/>
      <c r="T65" s="1080">
        <f>AVERAGE('LT Ball Mill'!F142:F147)</f>
        <v>0.5481666666666668</v>
      </c>
      <c r="U65" s="1080">
        <f>AVERAGE('LT Ball Mill'!G142:G147)</f>
        <v>1.1816666666666669</v>
      </c>
      <c r="V65" s="1080">
        <f>AVERAGE('LT Ball Mill'!H142:H147)</f>
        <v>19.161666666666665</v>
      </c>
      <c r="W65" s="979">
        <f t="shared" si="60"/>
        <v>69.008766621401847</v>
      </c>
      <c r="X65" s="934">
        <f t="shared" si="61"/>
        <v>148.76015668766769</v>
      </c>
      <c r="Y65" s="934">
        <f t="shared" si="62"/>
        <v>2412.2644872187802</v>
      </c>
      <c r="Z65" s="980">
        <v>10.8</v>
      </c>
    </row>
    <row r="66" spans="1:30" ht="15" thickBot="1" x14ac:dyDescent="0.35">
      <c r="A66" s="676"/>
      <c r="B66" s="1409"/>
      <c r="C66" s="1410"/>
      <c r="D66" s="969"/>
      <c r="E66" s="1183" t="s">
        <v>766</v>
      </c>
      <c r="F66" s="970" t="s">
        <v>13</v>
      </c>
      <c r="G66" s="963"/>
      <c r="H66" s="963"/>
      <c r="I66" s="1106"/>
      <c r="J66" s="963"/>
      <c r="K66" s="963"/>
      <c r="L66" s="963"/>
      <c r="M66" s="964">
        <f t="shared" si="7"/>
        <v>0</v>
      </c>
      <c r="N66" s="1403"/>
      <c r="O66" s="965" t="e">
        <f>(M66/P66)</f>
        <v>#DIV/0!</v>
      </c>
      <c r="P66" s="965">
        <f t="shared" si="63"/>
        <v>0</v>
      </c>
      <c r="Q66" s="965">
        <f t="shared" si="64"/>
        <v>0</v>
      </c>
      <c r="R66" s="965">
        <f>'Milling Down Time Hours'!G64</f>
        <v>720</v>
      </c>
      <c r="S66" s="667"/>
      <c r="T66" s="1181"/>
      <c r="U66" s="1181"/>
      <c r="V66" s="1182"/>
      <c r="W66" s="967">
        <f t="shared" si="60"/>
        <v>0</v>
      </c>
      <c r="X66" s="965">
        <f t="shared" si="61"/>
        <v>0</v>
      </c>
      <c r="Y66" s="965">
        <f t="shared" si="62"/>
        <v>0</v>
      </c>
      <c r="Z66" s="968"/>
    </row>
    <row r="67" spans="1:30" ht="15" thickBot="1" x14ac:dyDescent="0.35">
      <c r="B67" s="1415">
        <v>46295</v>
      </c>
      <c r="C67" s="1416"/>
      <c r="D67" s="13"/>
      <c r="E67" s="13"/>
      <c r="F67" s="917" t="s">
        <v>12</v>
      </c>
      <c r="G67" s="233"/>
      <c r="H67" s="233"/>
      <c r="I67" s="872"/>
      <c r="J67" s="233"/>
      <c r="K67" s="233"/>
      <c r="L67" s="233"/>
      <c r="M67" s="885">
        <f t="shared" si="7"/>
        <v>0</v>
      </c>
      <c r="N67" s="233"/>
      <c r="O67" s="872"/>
      <c r="P67" s="889"/>
      <c r="Q67" s="867"/>
      <c r="R67" s="889"/>
      <c r="S67" s="13"/>
      <c r="T67" s="988"/>
      <c r="U67" s="988"/>
      <c r="V67" s="992"/>
      <c r="W67" s="159">
        <f t="shared" si="60"/>
        <v>0</v>
      </c>
      <c r="X67" s="154">
        <f t="shared" si="61"/>
        <v>0</v>
      </c>
      <c r="Y67" s="154">
        <f t="shared" si="62"/>
        <v>0</v>
      </c>
      <c r="Z67" s="745"/>
    </row>
    <row r="68" spans="1:30" ht="15" thickBot="1" x14ac:dyDescent="0.35">
      <c r="B68" s="1419"/>
      <c r="C68" s="1420"/>
      <c r="D68" s="36"/>
      <c r="E68" s="36"/>
      <c r="F68" s="908" t="s">
        <v>13</v>
      </c>
      <c r="G68" s="233"/>
      <c r="H68" s="233"/>
      <c r="I68" s="872"/>
      <c r="J68" s="233"/>
      <c r="K68" s="233"/>
      <c r="L68" s="233"/>
      <c r="M68" s="885">
        <f t="shared" si="7"/>
        <v>0</v>
      </c>
      <c r="N68" s="233"/>
      <c r="O68" s="872"/>
      <c r="P68" s="931"/>
      <c r="Q68" s="890"/>
      <c r="R68" s="1391">
        <f>'Milling Down Time Hours'!L73</f>
        <v>0</v>
      </c>
      <c r="S68" s="13"/>
      <c r="T68" s="987"/>
      <c r="U68" s="987"/>
      <c r="V68" s="991"/>
      <c r="W68" s="159">
        <f t="shared" si="60"/>
        <v>0</v>
      </c>
      <c r="X68" s="154">
        <f t="shared" si="61"/>
        <v>0</v>
      </c>
      <c r="Y68" s="154">
        <f t="shared" si="62"/>
        <v>0</v>
      </c>
      <c r="Z68" s="745"/>
    </row>
    <row r="69" spans="1:30" ht="15" thickBot="1" x14ac:dyDescent="0.35">
      <c r="B69" s="1415">
        <v>46296</v>
      </c>
      <c r="C69" s="1416"/>
      <c r="D69" s="13"/>
      <c r="E69" s="13"/>
      <c r="F69" s="917" t="s">
        <v>12</v>
      </c>
      <c r="G69" s="233"/>
      <c r="H69" s="233"/>
      <c r="I69" s="872"/>
      <c r="J69" s="233"/>
      <c r="K69" s="233"/>
      <c r="L69" s="233"/>
      <c r="M69" s="885">
        <f t="shared" si="7"/>
        <v>0</v>
      </c>
      <c r="N69" s="233"/>
      <c r="O69" s="872"/>
      <c r="P69" s="932"/>
      <c r="Q69" s="891"/>
      <c r="R69" s="1397"/>
      <c r="S69" s="13"/>
      <c r="T69" s="988"/>
      <c r="U69" s="988"/>
      <c r="V69" s="992"/>
      <c r="W69" s="159">
        <f t="shared" si="60"/>
        <v>0</v>
      </c>
      <c r="X69" s="154">
        <f t="shared" si="61"/>
        <v>0</v>
      </c>
      <c r="Y69" s="154">
        <f t="shared" si="62"/>
        <v>0</v>
      </c>
      <c r="Z69" s="745"/>
    </row>
    <row r="70" spans="1:30" ht="15" thickBot="1" x14ac:dyDescent="0.35">
      <c r="B70" s="1419"/>
      <c r="C70" s="1420"/>
      <c r="D70" s="36"/>
      <c r="E70" s="36"/>
      <c r="F70" s="908" t="s">
        <v>13</v>
      </c>
      <c r="G70" s="233"/>
      <c r="H70" s="233"/>
      <c r="I70" s="872"/>
      <c r="J70" s="233"/>
      <c r="K70" s="233"/>
      <c r="L70" s="233"/>
      <c r="M70" s="885">
        <f t="shared" si="7"/>
        <v>0</v>
      </c>
      <c r="N70" s="233"/>
      <c r="O70" s="872"/>
      <c r="P70" s="930"/>
      <c r="Q70" s="866"/>
      <c r="R70" s="1391">
        <f>'Milling Down Time Hours'!L75</f>
        <v>0</v>
      </c>
      <c r="S70" s="13"/>
      <c r="T70" s="987"/>
      <c r="U70" s="987"/>
      <c r="V70" s="989"/>
      <c r="W70" s="159">
        <f t="shared" si="60"/>
        <v>0</v>
      </c>
      <c r="X70" s="154">
        <f t="shared" si="61"/>
        <v>0</v>
      </c>
      <c r="Y70" s="154">
        <f t="shared" si="62"/>
        <v>0</v>
      </c>
      <c r="Z70" s="745"/>
    </row>
    <row r="71" spans="1:30" ht="15" thickBot="1" x14ac:dyDescent="0.35">
      <c r="B71" s="1415">
        <v>46297</v>
      </c>
      <c r="C71" s="1416"/>
      <c r="D71" s="13"/>
      <c r="E71" s="13"/>
      <c r="F71" s="917" t="s">
        <v>12</v>
      </c>
      <c r="G71" s="233"/>
      <c r="H71" s="13"/>
      <c r="I71" s="872"/>
      <c r="J71" s="233"/>
      <c r="K71" s="233"/>
      <c r="L71" s="233"/>
      <c r="M71" s="885">
        <f t="shared" si="7"/>
        <v>0</v>
      </c>
      <c r="N71" s="233"/>
      <c r="O71" s="872"/>
      <c r="P71" s="889"/>
      <c r="Q71" s="867"/>
      <c r="R71" s="1397"/>
      <c r="S71" s="13"/>
      <c r="T71" s="988"/>
      <c r="U71" s="988"/>
      <c r="V71" s="990"/>
      <c r="W71" s="159">
        <f t="shared" si="60"/>
        <v>0</v>
      </c>
      <c r="X71" s="154">
        <f t="shared" si="61"/>
        <v>0</v>
      </c>
      <c r="Y71" s="154">
        <f t="shared" si="62"/>
        <v>0</v>
      </c>
      <c r="Z71" s="745"/>
    </row>
    <row r="72" spans="1:30" ht="15" thickBot="1" x14ac:dyDescent="0.35">
      <c r="B72" s="1419"/>
      <c r="C72" s="1420"/>
      <c r="D72" s="36"/>
      <c r="E72" s="36"/>
      <c r="F72" s="908" t="s">
        <v>13</v>
      </c>
      <c r="G72" s="882"/>
      <c r="H72" s="13"/>
      <c r="I72" s="872"/>
      <c r="J72" s="233"/>
      <c r="K72" s="233"/>
      <c r="L72" s="882"/>
      <c r="M72" s="885">
        <f t="shared" si="7"/>
        <v>0</v>
      </c>
      <c r="N72" s="882"/>
      <c r="O72" s="872"/>
      <c r="P72" s="930"/>
      <c r="Q72" s="866"/>
      <c r="R72" s="1391">
        <f>'Milling Down Time Hours'!L77</f>
        <v>0</v>
      </c>
      <c r="S72" s="13"/>
      <c r="T72" s="987"/>
      <c r="U72" s="987"/>
      <c r="V72" s="989"/>
      <c r="W72" s="159">
        <f t="shared" si="60"/>
        <v>0</v>
      </c>
      <c r="X72" s="154">
        <f t="shared" si="61"/>
        <v>0</v>
      </c>
      <c r="Y72" s="154">
        <f t="shared" si="62"/>
        <v>0</v>
      </c>
      <c r="Z72" s="745"/>
    </row>
    <row r="73" spans="1:30" ht="15" thickBot="1" x14ac:dyDescent="0.35">
      <c r="B73" s="1415">
        <v>46298</v>
      </c>
      <c r="C73" s="1416"/>
      <c r="D73" s="13"/>
      <c r="E73" s="13"/>
      <c r="F73" s="917" t="s">
        <v>12</v>
      </c>
      <c r="G73" s="233"/>
      <c r="H73" s="13"/>
      <c r="I73" s="872"/>
      <c r="J73" s="233"/>
      <c r="K73" s="233"/>
      <c r="L73" s="233"/>
      <c r="M73" s="885">
        <f t="shared" si="7"/>
        <v>0</v>
      </c>
      <c r="N73" s="233"/>
      <c r="O73" s="872"/>
      <c r="P73" s="889"/>
      <c r="Q73" s="867"/>
      <c r="R73" s="1397"/>
      <c r="S73" s="13"/>
      <c r="T73" s="988"/>
      <c r="U73" s="988"/>
      <c r="V73" s="990"/>
      <c r="W73" s="159">
        <f t="shared" si="60"/>
        <v>0</v>
      </c>
      <c r="X73" s="154">
        <f t="shared" si="61"/>
        <v>0</v>
      </c>
      <c r="Y73" s="154">
        <f t="shared" si="62"/>
        <v>0</v>
      </c>
      <c r="Z73" s="745"/>
    </row>
    <row r="74" spans="1:30" ht="15" thickBot="1" x14ac:dyDescent="0.35">
      <c r="B74" s="1419"/>
      <c r="C74" s="1420"/>
      <c r="D74" s="36"/>
      <c r="E74" s="36"/>
      <c r="F74" s="908" t="s">
        <v>13</v>
      </c>
      <c r="G74" s="882"/>
      <c r="H74" s="13"/>
      <c r="I74" s="872"/>
      <c r="J74" s="233"/>
      <c r="K74" s="233"/>
      <c r="L74" s="882"/>
      <c r="M74" s="885">
        <f t="shared" si="7"/>
        <v>0</v>
      </c>
      <c r="N74" s="882"/>
      <c r="O74" s="872"/>
      <c r="P74" s="930"/>
      <c r="Q74" s="866"/>
      <c r="R74" s="930">
        <f>'Milling Down Time Hours'!L79</f>
        <v>0</v>
      </c>
      <c r="S74" s="13"/>
      <c r="T74" s="987"/>
      <c r="U74" s="987"/>
      <c r="V74" s="989"/>
      <c r="W74" s="159">
        <f t="shared" si="60"/>
        <v>0</v>
      </c>
      <c r="X74" s="154">
        <f t="shared" si="61"/>
        <v>0</v>
      </c>
      <c r="Y74" s="154">
        <f t="shared" si="62"/>
        <v>0</v>
      </c>
      <c r="Z74" s="745"/>
    </row>
    <row r="75" spans="1:30" ht="15" thickBot="1" x14ac:dyDescent="0.35">
      <c r="B75" s="1407">
        <v>46299</v>
      </c>
      <c r="C75" s="1408"/>
      <c r="D75" s="667"/>
      <c r="E75" s="667" t="s">
        <v>766</v>
      </c>
      <c r="F75" s="961" t="s">
        <v>12</v>
      </c>
      <c r="G75" s="962">
        <v>0.22</v>
      </c>
      <c r="H75" s="668">
        <f>J75</f>
        <v>539.24789999999996</v>
      </c>
      <c r="I75" s="965">
        <f>H75/P75</f>
        <v>44.937324999999994</v>
      </c>
      <c r="J75" s="965">
        <f>3.14*Z75*((10.7/2)^2)</f>
        <v>539.24789999999996</v>
      </c>
      <c r="K75" s="963">
        <v>1.135</v>
      </c>
      <c r="L75" s="962">
        <v>0.7</v>
      </c>
      <c r="M75" s="964">
        <f>H75*K75*G75</f>
        <v>134.65020063</v>
      </c>
      <c r="N75" s="1401">
        <f>SUM(M75:M76)</f>
        <v>199.82504994374997</v>
      </c>
      <c r="O75" s="965">
        <f>M75/P75</f>
        <v>11.220850052499999</v>
      </c>
      <c r="P75" s="1192">
        <f>(720-R75)/60</f>
        <v>12</v>
      </c>
      <c r="Q75" s="1192">
        <f>720-R75</f>
        <v>720</v>
      </c>
      <c r="R75" s="1191">
        <f>'Milling Down Time Hours'!G73</f>
        <v>0</v>
      </c>
      <c r="S75" s="1401">
        <f>SUM(M75:M78)</f>
        <v>346.52070054000001</v>
      </c>
      <c r="T75" s="1193"/>
      <c r="U75" s="1193"/>
      <c r="V75" s="1194"/>
      <c r="W75" s="967">
        <f t="shared" si="60"/>
        <v>0</v>
      </c>
      <c r="X75" s="965">
        <f t="shared" si="61"/>
        <v>0</v>
      </c>
      <c r="Y75" s="965">
        <f t="shared" si="62"/>
        <v>0</v>
      </c>
      <c r="Z75" s="968">
        <v>6</v>
      </c>
    </row>
    <row r="76" spans="1:30" ht="15" thickBot="1" x14ac:dyDescent="0.35">
      <c r="B76" s="1409"/>
      <c r="C76" s="1410"/>
      <c r="D76" s="969"/>
      <c r="E76" s="969"/>
      <c r="F76" s="970" t="s">
        <v>13</v>
      </c>
      <c r="G76" s="962">
        <v>0.25</v>
      </c>
      <c r="H76" s="668">
        <f>J76-SUM(H75)</f>
        <v>152.78690499999993</v>
      </c>
      <c r="I76" s="965">
        <f>H76/P76</f>
        <v>12.911569436619713</v>
      </c>
      <c r="J76" s="965">
        <f>3.14*Z76*((10.7/2)^2)</f>
        <v>692.03480499999989</v>
      </c>
      <c r="K76" s="963">
        <v>1.155</v>
      </c>
      <c r="L76" s="962">
        <v>0.7</v>
      </c>
      <c r="M76" s="964">
        <f>(J76*K76*G76)-SUM(M75)</f>
        <v>65.174849313749974</v>
      </c>
      <c r="N76" s="1403"/>
      <c r="O76" s="965">
        <f>M76/P76</f>
        <v>5.5077337448239412</v>
      </c>
      <c r="P76" s="1192">
        <f>(720-R76)/60</f>
        <v>11.833333333333334</v>
      </c>
      <c r="Q76" s="1192">
        <f>720-R76</f>
        <v>710</v>
      </c>
      <c r="R76" s="1191">
        <f>'Milling Down Time Hours'!G74</f>
        <v>10</v>
      </c>
      <c r="S76" s="1406"/>
      <c r="T76" s="1195"/>
      <c r="U76" s="1195"/>
      <c r="V76" s="1196"/>
      <c r="W76" s="967">
        <f t="shared" si="60"/>
        <v>0</v>
      </c>
      <c r="X76" s="965">
        <f t="shared" si="61"/>
        <v>0</v>
      </c>
      <c r="Y76" s="965">
        <f t="shared" si="62"/>
        <v>0</v>
      </c>
      <c r="Z76" s="968">
        <v>7.7</v>
      </c>
    </row>
    <row r="77" spans="1:30" ht="15" thickBot="1" x14ac:dyDescent="0.35">
      <c r="B77" s="1407">
        <v>46300</v>
      </c>
      <c r="C77" s="1408"/>
      <c r="D77" s="667"/>
      <c r="E77" s="667"/>
      <c r="F77" s="961" t="s">
        <v>12</v>
      </c>
      <c r="G77" s="962">
        <v>0.3</v>
      </c>
      <c r="H77" s="668">
        <f>J77-SUM(H75:H76)</f>
        <v>179.74929999999995</v>
      </c>
      <c r="I77" s="965">
        <f>H77/P77</f>
        <v>14.979108333333329</v>
      </c>
      <c r="J77" s="965">
        <f>3.14*Z77*((10.7/2)^2)</f>
        <v>871.78410499999984</v>
      </c>
      <c r="K77" s="963">
        <v>1.19</v>
      </c>
      <c r="L77" s="962">
        <v>0.7</v>
      </c>
      <c r="M77" s="964">
        <f>(J77*K77*G77)-SUM(M75:M76)</f>
        <v>111.40187554124995</v>
      </c>
      <c r="N77" s="1401">
        <f>SUM(M77:M78)</f>
        <v>146.69565059625003</v>
      </c>
      <c r="O77" s="965">
        <f>M77/P77</f>
        <v>9.2834896284374953</v>
      </c>
      <c r="P77" s="1192">
        <f>(720-R77)/60</f>
        <v>12</v>
      </c>
      <c r="Q77" s="1192">
        <f>720-R77</f>
        <v>720</v>
      </c>
      <c r="R77" s="1191">
        <f>'Milling Down Time Hours'!G75</f>
        <v>0</v>
      </c>
      <c r="S77" s="1406"/>
      <c r="T77" s="1600"/>
      <c r="U77" s="1600"/>
      <c r="V77" s="1601"/>
      <c r="W77" s="967">
        <f t="shared" si="60"/>
        <v>0</v>
      </c>
      <c r="X77" s="965">
        <f t="shared" si="61"/>
        <v>0</v>
      </c>
      <c r="Y77" s="965">
        <f t="shared" si="62"/>
        <v>0</v>
      </c>
      <c r="Z77" s="968">
        <v>9.6999999999999993</v>
      </c>
    </row>
    <row r="78" spans="1:30" ht="15" thickBot="1" x14ac:dyDescent="0.35">
      <c r="B78" s="1409"/>
      <c r="C78" s="1410"/>
      <c r="D78" s="969"/>
      <c r="E78" s="969"/>
      <c r="F78" s="970" t="s">
        <v>13</v>
      </c>
      <c r="G78" s="962">
        <v>0.3</v>
      </c>
      <c r="H78" s="668">
        <f>J78-SUM(H75:H77)</f>
        <v>98.862115000000131</v>
      </c>
      <c r="I78" s="965" t="e">
        <f>H78/P78</f>
        <v>#DIV/0!</v>
      </c>
      <c r="J78" s="965">
        <f>3.14*Z78*((10.7/2)^2)</f>
        <v>970.64621999999997</v>
      </c>
      <c r="K78" s="963">
        <v>1.19</v>
      </c>
      <c r="L78" s="962"/>
      <c r="M78" s="964">
        <f>(J78*K78*G78)-SUM(M75:M77)</f>
        <v>35.293775055000083</v>
      </c>
      <c r="N78" s="1403"/>
      <c r="O78" s="1106"/>
      <c r="P78" s="965"/>
      <c r="Q78" s="965"/>
      <c r="R78" s="965">
        <f>'Milling Down Time Hours'!L83</f>
        <v>0</v>
      </c>
      <c r="S78" s="1403"/>
      <c r="T78" s="1181"/>
      <c r="U78" s="1181"/>
      <c r="V78" s="1602"/>
      <c r="W78" s="967">
        <f t="shared" si="60"/>
        <v>0</v>
      </c>
      <c r="X78" s="965">
        <f t="shared" si="61"/>
        <v>0</v>
      </c>
      <c r="Y78" s="965">
        <f t="shared" si="62"/>
        <v>0</v>
      </c>
      <c r="Z78" s="968">
        <v>10.8</v>
      </c>
    </row>
    <row r="79" spans="1:30" ht="15" thickBot="1" x14ac:dyDescent="0.35">
      <c r="B79" s="1415">
        <v>46301</v>
      </c>
      <c r="C79" s="1416"/>
      <c r="D79" s="13"/>
      <c r="E79" s="13"/>
      <c r="F79" s="917" t="s">
        <v>12</v>
      </c>
      <c r="G79" s="233"/>
      <c r="H79" s="13"/>
      <c r="I79" s="872"/>
      <c r="J79" s="233"/>
      <c r="K79" s="233"/>
      <c r="L79" s="233"/>
      <c r="M79" s="885">
        <f t="shared" ref="M77:M102" si="65">H79*K79*G79</f>
        <v>0</v>
      </c>
      <c r="N79" s="233"/>
      <c r="O79" s="872"/>
      <c r="P79" s="154"/>
      <c r="Q79" s="154"/>
      <c r="R79" s="154"/>
      <c r="S79" s="13"/>
      <c r="T79" s="988"/>
      <c r="U79" s="988"/>
      <c r="V79" s="990"/>
      <c r="W79" s="159">
        <f t="shared" si="60"/>
        <v>0</v>
      </c>
      <c r="X79" s="154">
        <f t="shared" si="61"/>
        <v>0</v>
      </c>
      <c r="Y79" s="154">
        <f t="shared" si="62"/>
        <v>0</v>
      </c>
      <c r="Z79" s="745"/>
    </row>
    <row r="80" spans="1:30" ht="14.55" hidden="1" customHeight="1" thickBot="1" x14ac:dyDescent="0.35">
      <c r="B80" s="1417"/>
      <c r="C80" s="1418"/>
      <c r="D80" s="36"/>
      <c r="E80" s="36"/>
      <c r="F80" s="908" t="s">
        <v>13</v>
      </c>
      <c r="G80" s="882"/>
      <c r="H80" s="13"/>
      <c r="I80" s="872"/>
      <c r="J80" s="233"/>
      <c r="K80" s="233"/>
      <c r="L80" s="233"/>
      <c r="M80" s="885">
        <f t="shared" si="65"/>
        <v>0</v>
      </c>
      <c r="N80" s="233"/>
      <c r="O80" s="872"/>
      <c r="P80" s="1392">
        <f>'Milling Down Time Hours'!Q43</f>
        <v>0</v>
      </c>
      <c r="Q80" s="458"/>
      <c r="R80" s="1392">
        <f>'Milling Down Time Hours'!L85</f>
        <v>0</v>
      </c>
      <c r="S80" s="13"/>
      <c r="T80" s="1424">
        <v>0.35699999999999998</v>
      </c>
      <c r="U80" s="1424">
        <v>1.056</v>
      </c>
      <c r="V80" s="1426">
        <v>32.25</v>
      </c>
      <c r="W80" s="159">
        <f t="shared" si="60"/>
        <v>0</v>
      </c>
      <c r="X80" s="154">
        <f t="shared" si="61"/>
        <v>0</v>
      </c>
      <c r="Y80" s="154">
        <f t="shared" si="62"/>
        <v>0</v>
      </c>
      <c r="Z80" s="745"/>
      <c r="AD80" s="1">
        <v>0.51600000000000001</v>
      </c>
    </row>
    <row r="81" spans="2:30" ht="15" hidden="1" customHeight="1" thickBot="1" x14ac:dyDescent="0.35">
      <c r="B81" s="1417"/>
      <c r="C81" s="1418"/>
      <c r="D81" s="13"/>
      <c r="E81" s="13"/>
      <c r="F81" s="917" t="s">
        <v>12</v>
      </c>
      <c r="G81" s="233"/>
      <c r="H81" s="13"/>
      <c r="I81" s="872"/>
      <c r="J81" s="233"/>
      <c r="K81" s="233"/>
      <c r="L81" s="233"/>
      <c r="M81" s="885">
        <f t="shared" si="65"/>
        <v>0</v>
      </c>
      <c r="N81" s="233"/>
      <c r="O81" s="872"/>
      <c r="P81" s="1397"/>
      <c r="Q81" s="867"/>
      <c r="R81" s="1397"/>
      <c r="S81" s="13"/>
      <c r="T81" s="1425"/>
      <c r="U81" s="1425"/>
      <c r="V81" s="1427"/>
      <c r="W81" s="159">
        <f t="shared" si="60"/>
        <v>0</v>
      </c>
      <c r="X81" s="154">
        <f t="shared" si="61"/>
        <v>0</v>
      </c>
      <c r="Y81" s="154">
        <f t="shared" si="62"/>
        <v>0</v>
      </c>
      <c r="Z81" s="745"/>
      <c r="AD81" s="117">
        <f>AVERAGE(AD75:AD80)</f>
        <v>0.51600000000000001</v>
      </c>
    </row>
    <row r="82" spans="2:30" ht="14.55" hidden="1" customHeight="1" thickBot="1" x14ac:dyDescent="0.35">
      <c r="B82" s="1417"/>
      <c r="C82" s="1418"/>
      <c r="D82" s="36"/>
      <c r="E82" s="36"/>
      <c r="F82" s="908" t="s">
        <v>13</v>
      </c>
      <c r="G82" s="233"/>
      <c r="H82" s="13"/>
      <c r="I82" s="872"/>
      <c r="J82" s="233"/>
      <c r="K82" s="233"/>
      <c r="L82" s="233"/>
      <c r="M82" s="885">
        <f t="shared" si="65"/>
        <v>0</v>
      </c>
      <c r="N82" s="233"/>
      <c r="O82" s="872"/>
      <c r="P82" s="1391">
        <f>'Milling Down Time Hours'!M87</f>
        <v>0</v>
      </c>
      <c r="Q82" s="866"/>
      <c r="R82" s="1391">
        <f>'Milling Down Time Hours'!L87</f>
        <v>0</v>
      </c>
      <c r="S82" s="13"/>
      <c r="T82" s="1394" t="e">
        <f>SUM(#REF!)</f>
        <v>#REF!</v>
      </c>
      <c r="U82" s="1394" t="e">
        <f t="shared" ref="U82:V82" si="66">SUM(T82:T84)</f>
        <v>#REF!</v>
      </c>
      <c r="V82" s="1389" t="e">
        <f t="shared" si="66"/>
        <v>#REF!</v>
      </c>
      <c r="W82" s="159" t="e">
        <f t="shared" si="60"/>
        <v>#REF!</v>
      </c>
      <c r="X82" s="154" t="e">
        <f t="shared" si="61"/>
        <v>#REF!</v>
      </c>
      <c r="Y82" s="154" t="e">
        <f t="shared" si="62"/>
        <v>#REF!</v>
      </c>
      <c r="Z82" s="745"/>
    </row>
    <row r="83" spans="2:30" ht="15" hidden="1" customHeight="1" thickBot="1" x14ac:dyDescent="0.35">
      <c r="B83" s="1417"/>
      <c r="C83" s="1418"/>
      <c r="D83" s="13"/>
      <c r="E83" s="13"/>
      <c r="F83" s="917" t="s">
        <v>12</v>
      </c>
      <c r="G83" s="233"/>
      <c r="H83" s="13"/>
      <c r="I83" s="872"/>
      <c r="J83" s="233"/>
      <c r="K83" s="233"/>
      <c r="L83" s="233"/>
      <c r="M83" s="885">
        <f t="shared" si="65"/>
        <v>0</v>
      </c>
      <c r="N83" s="233"/>
      <c r="O83" s="872"/>
      <c r="P83" s="1397"/>
      <c r="Q83" s="867"/>
      <c r="R83" s="1397"/>
      <c r="S83" s="13"/>
      <c r="T83" s="1398"/>
      <c r="U83" s="1398"/>
      <c r="V83" s="1390"/>
      <c r="W83" s="159">
        <f t="shared" si="60"/>
        <v>0</v>
      </c>
      <c r="X83" s="154">
        <f t="shared" si="61"/>
        <v>0</v>
      </c>
      <c r="Y83" s="154">
        <f t="shared" si="62"/>
        <v>0</v>
      </c>
      <c r="Z83" s="745"/>
    </row>
    <row r="84" spans="2:30" ht="14.55" hidden="1" customHeight="1" thickBot="1" x14ac:dyDescent="0.35">
      <c r="B84" s="1417"/>
      <c r="C84" s="1418"/>
      <c r="D84" s="36"/>
      <c r="E84" s="36"/>
      <c r="F84" s="908" t="s">
        <v>13</v>
      </c>
      <c r="G84" s="233"/>
      <c r="H84" s="13"/>
      <c r="I84" s="872"/>
      <c r="J84" s="233"/>
      <c r="K84" s="233"/>
      <c r="L84" s="233"/>
      <c r="M84" s="885">
        <f t="shared" si="65"/>
        <v>0</v>
      </c>
      <c r="N84" s="233"/>
      <c r="O84" s="872"/>
      <c r="P84" s="1391">
        <f>'Milling Down Time Hours'!M89</f>
        <v>0</v>
      </c>
      <c r="Q84" s="866"/>
      <c r="R84" s="1391">
        <f>'Milling Down Time Hours'!L89</f>
        <v>0</v>
      </c>
      <c r="S84" s="13"/>
      <c r="T84" s="1394" t="e">
        <f>SUM(#REF!)</f>
        <v>#REF!</v>
      </c>
      <c r="U84" s="1394" t="e">
        <f t="shared" ref="U84:V84" si="67">SUM(T84:T86)</f>
        <v>#REF!</v>
      </c>
      <c r="V84" s="1389" t="e">
        <f t="shared" si="67"/>
        <v>#REF!</v>
      </c>
      <c r="W84" s="159" t="e">
        <f t="shared" si="60"/>
        <v>#REF!</v>
      </c>
      <c r="X84" s="154" t="e">
        <f t="shared" si="61"/>
        <v>#REF!</v>
      </c>
      <c r="Y84" s="154" t="e">
        <f t="shared" si="62"/>
        <v>#REF!</v>
      </c>
      <c r="Z84" s="745"/>
    </row>
    <row r="85" spans="2:30" ht="15" hidden="1" customHeight="1" thickBot="1" x14ac:dyDescent="0.35">
      <c r="B85" s="1417"/>
      <c r="C85" s="1418"/>
      <c r="D85" s="13"/>
      <c r="E85" s="13"/>
      <c r="F85" s="917" t="s">
        <v>12</v>
      </c>
      <c r="G85" s="233"/>
      <c r="H85" s="13"/>
      <c r="I85" s="872"/>
      <c r="J85" s="233"/>
      <c r="K85" s="233"/>
      <c r="L85" s="233"/>
      <c r="M85" s="885">
        <f t="shared" si="65"/>
        <v>0</v>
      </c>
      <c r="N85" s="233"/>
      <c r="O85" s="872"/>
      <c r="P85" s="1397"/>
      <c r="Q85" s="867"/>
      <c r="R85" s="1397"/>
      <c r="S85" s="13"/>
      <c r="T85" s="1398"/>
      <c r="U85" s="1398"/>
      <c r="V85" s="1390"/>
      <c r="W85" s="159">
        <f t="shared" si="60"/>
        <v>0</v>
      </c>
      <c r="X85" s="154">
        <f t="shared" si="61"/>
        <v>0</v>
      </c>
      <c r="Y85" s="154">
        <f t="shared" si="62"/>
        <v>0</v>
      </c>
      <c r="Z85" s="745"/>
    </row>
    <row r="86" spans="2:30" ht="14.55" hidden="1" customHeight="1" thickBot="1" x14ac:dyDescent="0.35">
      <c r="B86" s="1417"/>
      <c r="C86" s="1418"/>
      <c r="D86" s="36"/>
      <c r="E86" s="36"/>
      <c r="F86" s="908" t="s">
        <v>13</v>
      </c>
      <c r="G86" s="233"/>
      <c r="H86" s="13"/>
      <c r="I86" s="872"/>
      <c r="J86" s="233"/>
      <c r="K86" s="233"/>
      <c r="L86" s="233"/>
      <c r="M86" s="885">
        <f t="shared" si="65"/>
        <v>0</v>
      </c>
      <c r="N86" s="233"/>
      <c r="O86" s="872"/>
      <c r="P86" s="1391">
        <f>'Milling Down Time Hours'!M91</f>
        <v>0</v>
      </c>
      <c r="Q86" s="866"/>
      <c r="R86" s="1391">
        <f>'Milling Down Time Hours'!L91</f>
        <v>0</v>
      </c>
      <c r="S86" s="13"/>
      <c r="T86" s="1394" t="e">
        <f>SUM(#REF!)</f>
        <v>#REF!</v>
      </c>
      <c r="U86" s="1394" t="e">
        <f t="shared" ref="U86:V86" si="68">SUM(T86:T88)</f>
        <v>#REF!</v>
      </c>
      <c r="V86" s="1389" t="e">
        <f t="shared" si="68"/>
        <v>#REF!</v>
      </c>
      <c r="W86" s="159" t="e">
        <f t="shared" si="60"/>
        <v>#REF!</v>
      </c>
      <c r="X86" s="154" t="e">
        <f t="shared" si="61"/>
        <v>#REF!</v>
      </c>
      <c r="Y86" s="154" t="e">
        <f t="shared" si="62"/>
        <v>#REF!</v>
      </c>
      <c r="Z86" s="745"/>
    </row>
    <row r="87" spans="2:30" ht="15" hidden="1" customHeight="1" thickBot="1" x14ac:dyDescent="0.35">
      <c r="B87" s="1417"/>
      <c r="C87" s="1418"/>
      <c r="D87" s="13"/>
      <c r="E87" s="13"/>
      <c r="F87" s="917" t="s">
        <v>12</v>
      </c>
      <c r="G87" s="233"/>
      <c r="H87" s="13"/>
      <c r="I87" s="872"/>
      <c r="J87" s="233"/>
      <c r="K87" s="233"/>
      <c r="L87" s="233"/>
      <c r="M87" s="885">
        <f t="shared" si="65"/>
        <v>0</v>
      </c>
      <c r="N87" s="233"/>
      <c r="O87" s="872"/>
      <c r="P87" s="1397"/>
      <c r="Q87" s="867"/>
      <c r="R87" s="1397"/>
      <c r="S87" s="13"/>
      <c r="T87" s="1398"/>
      <c r="U87" s="1398"/>
      <c r="V87" s="1390"/>
      <c r="W87" s="159">
        <f t="shared" si="60"/>
        <v>0</v>
      </c>
      <c r="X87" s="154">
        <f t="shared" si="61"/>
        <v>0</v>
      </c>
      <c r="Y87" s="154">
        <f t="shared" si="62"/>
        <v>0</v>
      </c>
      <c r="Z87" s="745"/>
    </row>
    <row r="88" spans="2:30" ht="14.55" hidden="1" customHeight="1" thickBot="1" x14ac:dyDescent="0.35">
      <c r="B88" s="1417"/>
      <c r="C88" s="1418"/>
      <c r="D88" s="36"/>
      <c r="E88" s="36"/>
      <c r="F88" s="908" t="s">
        <v>13</v>
      </c>
      <c r="G88" s="233"/>
      <c r="H88" s="13"/>
      <c r="I88" s="872"/>
      <c r="J88" s="233"/>
      <c r="K88" s="233"/>
      <c r="L88" s="233"/>
      <c r="M88" s="885">
        <f t="shared" si="65"/>
        <v>0</v>
      </c>
      <c r="N88" s="233"/>
      <c r="O88" s="872"/>
      <c r="P88" s="1391">
        <f>'Milling Down Time Hours'!M93</f>
        <v>0</v>
      </c>
      <c r="Q88" s="866"/>
      <c r="R88" s="1391">
        <f>'Milling Down Time Hours'!L93</f>
        <v>0</v>
      </c>
      <c r="S88" s="13"/>
      <c r="T88" s="1394" t="e">
        <f>SUM(#REF!)</f>
        <v>#REF!</v>
      </c>
      <c r="U88" s="1394" t="e">
        <f t="shared" ref="U88:V88" si="69">SUM(T88:T90)</f>
        <v>#REF!</v>
      </c>
      <c r="V88" s="1389" t="e">
        <f t="shared" si="69"/>
        <v>#REF!</v>
      </c>
      <c r="W88" s="159" t="e">
        <f t="shared" si="60"/>
        <v>#REF!</v>
      </c>
      <c r="X88" s="154" t="e">
        <f t="shared" si="61"/>
        <v>#REF!</v>
      </c>
      <c r="Y88" s="154" t="e">
        <f t="shared" si="62"/>
        <v>#REF!</v>
      </c>
      <c r="Z88" s="745"/>
    </row>
    <row r="89" spans="2:30" ht="15" hidden="1" customHeight="1" thickBot="1" x14ac:dyDescent="0.35">
      <c r="B89" s="1417"/>
      <c r="C89" s="1418"/>
      <c r="D89" s="13"/>
      <c r="E89" s="13"/>
      <c r="F89" s="917" t="s">
        <v>12</v>
      </c>
      <c r="G89" s="233"/>
      <c r="H89" s="13"/>
      <c r="I89" s="872"/>
      <c r="J89" s="233"/>
      <c r="K89" s="233"/>
      <c r="L89" s="233"/>
      <c r="M89" s="885">
        <f t="shared" si="65"/>
        <v>0</v>
      </c>
      <c r="N89" s="233"/>
      <c r="O89" s="872"/>
      <c r="P89" s="1397"/>
      <c r="Q89" s="867"/>
      <c r="R89" s="1397"/>
      <c r="S89" s="13"/>
      <c r="T89" s="1398"/>
      <c r="U89" s="1398"/>
      <c r="V89" s="1390"/>
      <c r="W89" s="159">
        <f t="shared" si="60"/>
        <v>0</v>
      </c>
      <c r="X89" s="154">
        <f t="shared" si="61"/>
        <v>0</v>
      </c>
      <c r="Y89" s="154">
        <f t="shared" si="62"/>
        <v>0</v>
      </c>
      <c r="Z89" s="745"/>
    </row>
    <row r="90" spans="2:30" ht="14.55" hidden="1" customHeight="1" thickBot="1" x14ac:dyDescent="0.35">
      <c r="B90" s="1417"/>
      <c r="C90" s="1418"/>
      <c r="D90" s="36"/>
      <c r="E90" s="36"/>
      <c r="F90" s="908" t="s">
        <v>13</v>
      </c>
      <c r="G90" s="233"/>
      <c r="H90" s="13"/>
      <c r="I90" s="872"/>
      <c r="J90" s="233"/>
      <c r="K90" s="233"/>
      <c r="L90" s="233"/>
      <c r="M90" s="885">
        <f t="shared" si="65"/>
        <v>0</v>
      </c>
      <c r="N90" s="233"/>
      <c r="O90" s="872"/>
      <c r="P90" s="1391">
        <f>'Milling Down Time Hours'!M95</f>
        <v>0</v>
      </c>
      <c r="Q90" s="866"/>
      <c r="R90" s="1391">
        <f>'Milling Down Time Hours'!L95</f>
        <v>0</v>
      </c>
      <c r="S90" s="13"/>
      <c r="T90" s="1394" t="e">
        <f>SUM(#REF!)</f>
        <v>#REF!</v>
      </c>
      <c r="U90" s="1394" t="e">
        <f t="shared" ref="U90:V90" si="70">SUM(T90:T92)</f>
        <v>#REF!</v>
      </c>
      <c r="V90" s="1389" t="e">
        <f t="shared" si="70"/>
        <v>#REF!</v>
      </c>
      <c r="W90" s="159" t="e">
        <f t="shared" si="60"/>
        <v>#REF!</v>
      </c>
      <c r="X90" s="154" t="e">
        <f t="shared" si="61"/>
        <v>#REF!</v>
      </c>
      <c r="Y90" s="154" t="e">
        <f t="shared" si="62"/>
        <v>#REF!</v>
      </c>
      <c r="Z90" s="745"/>
    </row>
    <row r="91" spans="2:30" ht="15" hidden="1" customHeight="1" thickBot="1" x14ac:dyDescent="0.35">
      <c r="B91" s="1417"/>
      <c r="C91" s="1418"/>
      <c r="D91" s="13"/>
      <c r="E91" s="13"/>
      <c r="F91" s="917" t="s">
        <v>12</v>
      </c>
      <c r="G91" s="233"/>
      <c r="H91" s="13"/>
      <c r="I91" s="872"/>
      <c r="J91" s="233"/>
      <c r="K91" s="233"/>
      <c r="L91" s="233"/>
      <c r="M91" s="885">
        <f t="shared" si="65"/>
        <v>0</v>
      </c>
      <c r="N91" s="233"/>
      <c r="O91" s="872"/>
      <c r="P91" s="1397"/>
      <c r="Q91" s="867"/>
      <c r="R91" s="1397"/>
      <c r="S91" s="13"/>
      <c r="T91" s="1398"/>
      <c r="U91" s="1398"/>
      <c r="V91" s="1390"/>
      <c r="W91" s="159">
        <f t="shared" si="60"/>
        <v>0</v>
      </c>
      <c r="X91" s="154">
        <f t="shared" si="61"/>
        <v>0</v>
      </c>
      <c r="Y91" s="154">
        <f t="shared" si="62"/>
        <v>0</v>
      </c>
      <c r="Z91" s="745"/>
    </row>
    <row r="92" spans="2:30" ht="14.55" hidden="1" customHeight="1" thickBot="1" x14ac:dyDescent="0.35">
      <c r="B92" s="1417"/>
      <c r="C92" s="1418"/>
      <c r="D92" s="36"/>
      <c r="E92" s="36"/>
      <c r="F92" s="908" t="s">
        <v>13</v>
      </c>
      <c r="G92" s="233"/>
      <c r="H92" s="13"/>
      <c r="I92" s="872"/>
      <c r="J92" s="233"/>
      <c r="K92" s="233"/>
      <c r="L92" s="233"/>
      <c r="M92" s="885">
        <f t="shared" si="65"/>
        <v>0</v>
      </c>
      <c r="N92" s="233"/>
      <c r="O92" s="872"/>
      <c r="P92" s="1391">
        <f>'Milling Down Time Hours'!M97</f>
        <v>0</v>
      </c>
      <c r="Q92" s="866"/>
      <c r="R92" s="1391">
        <f>'Milling Down Time Hours'!L97</f>
        <v>0</v>
      </c>
      <c r="S92" s="13"/>
      <c r="T92" s="1394" t="e">
        <f>SUM(#REF!)</f>
        <v>#REF!</v>
      </c>
      <c r="U92" s="1394" t="e">
        <f t="shared" ref="U92:V92" si="71">SUM(T92:T94)</f>
        <v>#REF!</v>
      </c>
      <c r="V92" s="1389" t="e">
        <f t="shared" si="71"/>
        <v>#REF!</v>
      </c>
      <c r="W92" s="159" t="e">
        <f t="shared" si="60"/>
        <v>#REF!</v>
      </c>
      <c r="X92" s="154" t="e">
        <f t="shared" si="61"/>
        <v>#REF!</v>
      </c>
      <c r="Y92" s="154" t="e">
        <f t="shared" si="62"/>
        <v>#REF!</v>
      </c>
      <c r="Z92" s="745"/>
    </row>
    <row r="93" spans="2:30" ht="15" hidden="1" customHeight="1" thickBot="1" x14ac:dyDescent="0.35">
      <c r="B93" s="1417"/>
      <c r="C93" s="1418"/>
      <c r="D93" s="13"/>
      <c r="E93" s="13"/>
      <c r="F93" s="917" t="s">
        <v>12</v>
      </c>
      <c r="G93" s="233"/>
      <c r="H93" s="13"/>
      <c r="I93" s="872"/>
      <c r="J93" s="233"/>
      <c r="K93" s="233"/>
      <c r="L93" s="233"/>
      <c r="M93" s="885">
        <f t="shared" si="65"/>
        <v>0</v>
      </c>
      <c r="N93" s="233"/>
      <c r="O93" s="872"/>
      <c r="P93" s="1397"/>
      <c r="Q93" s="867"/>
      <c r="R93" s="1397"/>
      <c r="S93" s="13"/>
      <c r="T93" s="1398"/>
      <c r="U93" s="1398"/>
      <c r="V93" s="1390"/>
      <c r="W93" s="159">
        <f t="shared" si="60"/>
        <v>0</v>
      </c>
      <c r="X93" s="154">
        <f t="shared" si="61"/>
        <v>0</v>
      </c>
      <c r="Y93" s="154">
        <f t="shared" si="62"/>
        <v>0</v>
      </c>
      <c r="Z93" s="745"/>
    </row>
    <row r="94" spans="2:30" ht="14.55" hidden="1" customHeight="1" thickBot="1" x14ac:dyDescent="0.35">
      <c r="B94" s="1417"/>
      <c r="C94" s="1418"/>
      <c r="D94" s="36"/>
      <c r="E94" s="36"/>
      <c r="F94" s="908" t="s">
        <v>13</v>
      </c>
      <c r="G94" s="233"/>
      <c r="H94" s="13"/>
      <c r="I94" s="872"/>
      <c r="J94" s="233"/>
      <c r="K94" s="233"/>
      <c r="L94" s="233"/>
      <c r="M94" s="885">
        <f t="shared" si="65"/>
        <v>0</v>
      </c>
      <c r="N94" s="233"/>
      <c r="O94" s="872"/>
      <c r="P94" s="1391">
        <f>'Milling Down Time Hours'!M99</f>
        <v>0</v>
      </c>
      <c r="Q94" s="866"/>
      <c r="R94" s="1391">
        <f>'Milling Down Time Hours'!L99</f>
        <v>0</v>
      </c>
      <c r="S94" s="13"/>
      <c r="T94" s="1394" t="e">
        <f>SUM(#REF!)</f>
        <v>#REF!</v>
      </c>
      <c r="U94" s="1394" t="e">
        <f t="shared" ref="U94:V94" si="72">SUM(T94:T96)</f>
        <v>#REF!</v>
      </c>
      <c r="V94" s="1389" t="e">
        <f t="shared" si="72"/>
        <v>#REF!</v>
      </c>
      <c r="W94" s="159" t="e">
        <f t="shared" si="60"/>
        <v>#REF!</v>
      </c>
      <c r="X94" s="154" t="e">
        <f t="shared" si="61"/>
        <v>#REF!</v>
      </c>
      <c r="Y94" s="154" t="e">
        <f t="shared" si="62"/>
        <v>#REF!</v>
      </c>
      <c r="Z94" s="745"/>
    </row>
    <row r="95" spans="2:30" ht="15" hidden="1" customHeight="1" thickBot="1" x14ac:dyDescent="0.35">
      <c r="B95" s="1417"/>
      <c r="C95" s="1418"/>
      <c r="D95" s="13"/>
      <c r="E95" s="13"/>
      <c r="F95" s="917" t="s">
        <v>12</v>
      </c>
      <c r="G95" s="233"/>
      <c r="H95" s="13"/>
      <c r="I95" s="872"/>
      <c r="J95" s="233"/>
      <c r="K95" s="233"/>
      <c r="L95" s="233"/>
      <c r="M95" s="885">
        <f t="shared" si="65"/>
        <v>0</v>
      </c>
      <c r="N95" s="233"/>
      <c r="O95" s="872"/>
      <c r="P95" s="1397"/>
      <c r="Q95" s="867"/>
      <c r="R95" s="1397"/>
      <c r="S95" s="13"/>
      <c r="T95" s="1398"/>
      <c r="U95" s="1398"/>
      <c r="V95" s="1390"/>
      <c r="W95" s="159">
        <f t="shared" si="60"/>
        <v>0</v>
      </c>
      <c r="X95" s="154">
        <f t="shared" si="61"/>
        <v>0</v>
      </c>
      <c r="Y95" s="154">
        <f t="shared" si="62"/>
        <v>0</v>
      </c>
      <c r="Z95" s="745"/>
    </row>
    <row r="96" spans="2:30" ht="14.55" hidden="1" customHeight="1" thickBot="1" x14ac:dyDescent="0.35">
      <c r="B96" s="1417"/>
      <c r="C96" s="1418"/>
      <c r="D96" s="36"/>
      <c r="E96" s="36"/>
      <c r="F96" s="908" t="s">
        <v>13</v>
      </c>
      <c r="G96" s="233"/>
      <c r="H96" s="13"/>
      <c r="I96" s="872"/>
      <c r="J96" s="233"/>
      <c r="K96" s="233"/>
      <c r="L96" s="233"/>
      <c r="M96" s="885">
        <f t="shared" si="65"/>
        <v>0</v>
      </c>
      <c r="N96" s="233"/>
      <c r="O96" s="872"/>
      <c r="P96" s="1391">
        <f>'Milling Down Time Hours'!M101</f>
        <v>0</v>
      </c>
      <c r="Q96" s="866"/>
      <c r="R96" s="1391">
        <f>'Milling Down Time Hours'!L101</f>
        <v>0</v>
      </c>
      <c r="S96" s="13"/>
      <c r="T96" s="1394" t="e">
        <f>SUM(#REF!)</f>
        <v>#REF!</v>
      </c>
      <c r="U96" s="1394" t="e">
        <f>SUM(T96:T107)</f>
        <v>#REF!</v>
      </c>
      <c r="V96" s="1389" t="e">
        <f>SUM(U96:U107)</f>
        <v>#REF!</v>
      </c>
      <c r="W96" s="159" t="e">
        <f t="shared" si="60"/>
        <v>#REF!</v>
      </c>
      <c r="X96" s="154" t="e">
        <f t="shared" si="61"/>
        <v>#REF!</v>
      </c>
      <c r="Y96" s="154" t="e">
        <f t="shared" si="62"/>
        <v>#REF!</v>
      </c>
      <c r="Z96" s="745"/>
    </row>
    <row r="97" spans="2:27" ht="14.55" hidden="1" customHeight="1" thickBot="1" x14ac:dyDescent="0.35">
      <c r="B97" s="1417"/>
      <c r="C97" s="1418"/>
      <c r="D97" s="95"/>
      <c r="E97" s="95"/>
      <c r="F97" s="917" t="s">
        <v>12</v>
      </c>
      <c r="G97" s="864"/>
      <c r="H97" s="95"/>
      <c r="I97" s="873"/>
      <c r="J97" s="864"/>
      <c r="K97" s="864"/>
      <c r="L97" s="864"/>
      <c r="M97" s="885">
        <f t="shared" si="65"/>
        <v>0</v>
      </c>
      <c r="N97" s="864"/>
      <c r="O97" s="873"/>
      <c r="P97" s="1392"/>
      <c r="Q97" s="458"/>
      <c r="R97" s="1393"/>
      <c r="S97" s="95"/>
      <c r="T97" s="1395"/>
      <c r="U97" s="1395"/>
      <c r="V97" s="1396"/>
      <c r="W97" s="159">
        <f t="shared" si="60"/>
        <v>0</v>
      </c>
      <c r="X97" s="154">
        <f t="shared" si="61"/>
        <v>0</v>
      </c>
      <c r="Y97" s="154">
        <f t="shared" si="62"/>
        <v>0</v>
      </c>
      <c r="Z97" s="745"/>
    </row>
    <row r="98" spans="2:27" ht="15" thickBot="1" x14ac:dyDescent="0.35">
      <c r="B98" s="1419"/>
      <c r="C98" s="1420"/>
      <c r="D98" s="13"/>
      <c r="E98" s="13"/>
      <c r="F98" s="745" t="s">
        <v>13</v>
      </c>
      <c r="G98" s="882"/>
      <c r="H98" s="13"/>
      <c r="I98" s="872"/>
      <c r="J98" s="233"/>
      <c r="K98" s="233"/>
      <c r="L98" s="882"/>
      <c r="M98" s="885">
        <f t="shared" si="65"/>
        <v>0</v>
      </c>
      <c r="N98" s="882"/>
      <c r="O98" s="872"/>
      <c r="P98" s="154"/>
      <c r="Q98" s="154"/>
      <c r="R98" s="154"/>
      <c r="S98" s="13"/>
      <c r="T98" s="154"/>
      <c r="U98" s="154"/>
      <c r="V98" s="418"/>
      <c r="W98" s="159">
        <f t="shared" si="60"/>
        <v>0</v>
      </c>
      <c r="X98" s="154">
        <f t="shared" si="61"/>
        <v>0</v>
      </c>
      <c r="Y98" s="154">
        <f t="shared" si="62"/>
        <v>0</v>
      </c>
      <c r="Z98" s="745"/>
    </row>
    <row r="99" spans="2:27" ht="15" thickBot="1" x14ac:dyDescent="0.35">
      <c r="B99" s="1415">
        <v>46302</v>
      </c>
      <c r="C99" s="1416"/>
      <c r="D99" s="13"/>
      <c r="E99" s="13"/>
      <c r="F99" s="917" t="s">
        <v>12</v>
      </c>
      <c r="G99" s="882"/>
      <c r="H99" s="13"/>
      <c r="I99" s="872"/>
      <c r="J99" s="233"/>
      <c r="K99" s="233"/>
      <c r="L99" s="882"/>
      <c r="M99" s="885"/>
      <c r="N99" s="882"/>
      <c r="O99" s="872"/>
      <c r="P99" s="154"/>
      <c r="Q99" s="154"/>
      <c r="R99" s="154"/>
      <c r="S99" s="13"/>
      <c r="T99" s="154"/>
      <c r="U99" s="154"/>
      <c r="V99" s="418"/>
      <c r="W99" s="159"/>
      <c r="X99" s="154"/>
      <c r="Y99" s="154"/>
      <c r="Z99" s="745"/>
    </row>
    <row r="100" spans="2:27" ht="15" thickBot="1" x14ac:dyDescent="0.35">
      <c r="B100" s="1419"/>
      <c r="C100" s="1420"/>
      <c r="D100" s="13"/>
      <c r="E100" s="13"/>
      <c r="F100" s="908" t="s">
        <v>13</v>
      </c>
      <c r="G100" s="882"/>
      <c r="H100" s="13"/>
      <c r="I100" s="872"/>
      <c r="J100" s="233"/>
      <c r="K100" s="233"/>
      <c r="L100" s="882"/>
      <c r="M100" s="885"/>
      <c r="N100" s="882"/>
      <c r="O100" s="872"/>
      <c r="P100" s="154"/>
      <c r="Q100" s="154"/>
      <c r="R100" s="154"/>
      <c r="S100" s="13"/>
      <c r="T100" s="154"/>
      <c r="U100" s="154"/>
      <c r="V100" s="418"/>
      <c r="W100" s="159"/>
      <c r="X100" s="154"/>
      <c r="Y100" s="154"/>
      <c r="Z100" s="745"/>
    </row>
    <row r="101" spans="2:27" ht="15" thickBot="1" x14ac:dyDescent="0.35">
      <c r="B101" s="1415">
        <v>46303</v>
      </c>
      <c r="C101" s="1416"/>
      <c r="D101" s="13"/>
      <c r="E101" s="13"/>
      <c r="F101" s="917" t="s">
        <v>12</v>
      </c>
      <c r="G101" s="882"/>
      <c r="H101" s="13"/>
      <c r="I101" s="872"/>
      <c r="J101" s="233"/>
      <c r="K101" s="233"/>
      <c r="L101" s="882"/>
      <c r="M101" s="885"/>
      <c r="N101" s="882"/>
      <c r="O101" s="872"/>
      <c r="P101" s="154"/>
      <c r="Q101" s="154"/>
      <c r="R101" s="154"/>
      <c r="S101" s="13"/>
      <c r="T101" s="154"/>
      <c r="U101" s="154"/>
      <c r="V101" s="418"/>
      <c r="W101" s="159"/>
      <c r="X101" s="154"/>
      <c r="Y101" s="154"/>
      <c r="Z101" s="745"/>
    </row>
    <row r="102" spans="2:27" ht="15" thickBot="1" x14ac:dyDescent="0.35">
      <c r="B102" s="1419"/>
      <c r="C102" s="1420"/>
      <c r="D102" s="13"/>
      <c r="E102" s="13"/>
      <c r="F102" s="908" t="s">
        <v>13</v>
      </c>
      <c r="G102" s="233"/>
      <c r="H102" s="13"/>
      <c r="I102" s="872"/>
      <c r="J102" s="233"/>
      <c r="K102" s="233"/>
      <c r="L102" s="233"/>
      <c r="M102" s="885">
        <f t="shared" si="65"/>
        <v>0</v>
      </c>
      <c r="N102" s="233"/>
      <c r="O102" s="872"/>
      <c r="P102" s="154"/>
      <c r="Q102" s="154"/>
      <c r="R102" s="154"/>
      <c r="S102" s="13"/>
      <c r="T102" s="154"/>
      <c r="U102" s="154"/>
      <c r="V102" s="418"/>
      <c r="W102" s="159">
        <f t="shared" si="60"/>
        <v>0</v>
      </c>
      <c r="X102" s="154">
        <f t="shared" si="61"/>
        <v>0</v>
      </c>
      <c r="Y102" s="154">
        <f t="shared" si="62"/>
        <v>0</v>
      </c>
      <c r="Z102" s="745"/>
      <c r="AA102" s="446">
        <f>SUM(AB5:AB17)</f>
        <v>1186273883.9705083</v>
      </c>
    </row>
    <row r="103" spans="2:27" ht="15" thickBot="1" x14ac:dyDescent="0.35">
      <c r="B103" s="1415">
        <v>46304</v>
      </c>
      <c r="C103" s="1416"/>
      <c r="D103" s="13"/>
      <c r="E103" s="13"/>
      <c r="F103" s="917" t="s">
        <v>12</v>
      </c>
      <c r="G103" s="882"/>
      <c r="H103" s="13"/>
      <c r="I103" s="872"/>
      <c r="J103" s="233"/>
      <c r="K103" s="233"/>
      <c r="L103" s="882"/>
      <c r="M103" s="885"/>
      <c r="N103" s="882"/>
      <c r="O103" s="872"/>
      <c r="P103" s="154"/>
      <c r="Q103" s="154"/>
      <c r="R103" s="154"/>
      <c r="S103" s="13"/>
      <c r="T103" s="154"/>
      <c r="U103" s="154"/>
      <c r="V103" s="418"/>
      <c r="W103" s="159"/>
      <c r="X103" s="154"/>
      <c r="Y103" s="154"/>
      <c r="Z103" s="745"/>
      <c r="AA103" s="446"/>
    </row>
    <row r="104" spans="2:27" ht="15" thickBot="1" x14ac:dyDescent="0.35">
      <c r="B104" s="1419"/>
      <c r="C104" s="1420"/>
      <c r="D104" s="13"/>
      <c r="E104" s="13"/>
      <c r="F104" s="908" t="s">
        <v>13</v>
      </c>
      <c r="G104" s="233"/>
      <c r="H104" s="13"/>
      <c r="I104" s="872"/>
      <c r="J104" s="233"/>
      <c r="K104" s="233"/>
      <c r="L104" s="233"/>
      <c r="M104" s="885">
        <f t="shared" ref="M104" si="73">H104*K104*G104</f>
        <v>0</v>
      </c>
      <c r="N104" s="233"/>
      <c r="O104" s="872"/>
      <c r="P104" s="154"/>
      <c r="Q104" s="154"/>
      <c r="R104" s="154"/>
      <c r="S104" s="13"/>
      <c r="T104" s="154"/>
      <c r="U104" s="154"/>
      <c r="V104" s="418"/>
      <c r="W104" s="159">
        <f t="shared" ref="W104" si="74">T104*M104</f>
        <v>0</v>
      </c>
      <c r="X104" s="154">
        <f t="shared" ref="X104" si="75">M104*U104</f>
        <v>0</v>
      </c>
      <c r="Y104" s="154">
        <f t="shared" ref="Y104" si="76">M104*V104</f>
        <v>0</v>
      </c>
      <c r="Z104" s="745"/>
      <c r="AA104" s="446"/>
    </row>
    <row r="105" spans="2:27" ht="15" thickBot="1" x14ac:dyDescent="0.35">
      <c r="B105" s="1415">
        <v>46305</v>
      </c>
      <c r="C105" s="1416"/>
      <c r="D105" s="13"/>
      <c r="E105" s="13"/>
      <c r="F105" s="917" t="s">
        <v>12</v>
      </c>
      <c r="G105" s="882"/>
      <c r="H105" s="13"/>
      <c r="I105" s="872"/>
      <c r="J105" s="233"/>
      <c r="K105" s="233"/>
      <c r="L105" s="882"/>
      <c r="M105" s="885"/>
      <c r="N105" s="882"/>
      <c r="O105" s="872"/>
      <c r="P105" s="154"/>
      <c r="Q105" s="154"/>
      <c r="R105" s="154"/>
      <c r="S105" s="13"/>
      <c r="T105" s="154"/>
      <c r="U105" s="154"/>
      <c r="V105" s="418"/>
      <c r="W105" s="159"/>
      <c r="X105" s="154"/>
      <c r="Y105" s="154"/>
      <c r="Z105" s="745"/>
      <c r="AA105" s="446"/>
    </row>
    <row r="106" spans="2:27" ht="15" thickBot="1" x14ac:dyDescent="0.35">
      <c r="B106" s="1419"/>
      <c r="C106" s="1420"/>
      <c r="D106" s="13"/>
      <c r="E106" s="13"/>
      <c r="F106" s="908" t="s">
        <v>13</v>
      </c>
      <c r="G106" s="233"/>
      <c r="H106" s="13"/>
      <c r="I106" s="872"/>
      <c r="J106" s="233"/>
      <c r="K106" s="233"/>
      <c r="L106" s="233"/>
      <c r="M106" s="885">
        <f t="shared" ref="M106" si="77">H106*K106*G106</f>
        <v>0</v>
      </c>
      <c r="N106" s="233"/>
      <c r="O106" s="872"/>
      <c r="P106" s="154"/>
      <c r="Q106" s="154"/>
      <c r="R106" s="154"/>
      <c r="S106" s="13"/>
      <c r="T106" s="154"/>
      <c r="U106" s="154"/>
      <c r="V106" s="418"/>
      <c r="W106" s="159">
        <f t="shared" ref="W106" si="78">T106*M106</f>
        <v>0</v>
      </c>
      <c r="X106" s="154">
        <f t="shared" ref="X106" si="79">M106*U106</f>
        <v>0</v>
      </c>
      <c r="Y106" s="154">
        <f t="shared" ref="Y106" si="80">M106*V106</f>
        <v>0</v>
      </c>
      <c r="Z106" s="745"/>
      <c r="AA106" s="446"/>
    </row>
    <row r="107" spans="2:27" ht="18" x14ac:dyDescent="0.35">
      <c r="B107" s="125" t="s">
        <v>121</v>
      </c>
      <c r="C107" s="126"/>
      <c r="D107" s="465"/>
      <c r="E107" s="465"/>
      <c r="F107" s="875"/>
      <c r="G107" s="875"/>
      <c r="H107" s="465"/>
      <c r="I107" s="874"/>
      <c r="J107" s="875"/>
      <c r="K107" s="875"/>
      <c r="L107" s="883">
        <f>AVERAGE(L5:L102)</f>
        <v>0.72326923076923089</v>
      </c>
      <c r="M107" s="886">
        <f>SUM(M5:M106)</f>
        <v>4340.4594887910007</v>
      </c>
      <c r="N107" s="883"/>
      <c r="O107" s="933" t="e">
        <f>AVERAGE(O5:O106)</f>
        <v>#DIV/0!</v>
      </c>
      <c r="P107" s="933">
        <f>SUM(P5:P106)</f>
        <v>502.23333333333329</v>
      </c>
      <c r="Q107" s="933">
        <f>SUM(Q5:Q106)</f>
        <v>30134</v>
      </c>
      <c r="R107" s="933">
        <f>SUM(R5:R106)</f>
        <v>13126</v>
      </c>
      <c r="S107" s="1096">
        <f>SUM(S5:S106)</f>
        <v>4340.4594887909998</v>
      </c>
      <c r="T107" s="118">
        <f>AVERAGE(T5:T43)</f>
        <v>0.65487096774193554</v>
      </c>
      <c r="U107" s="118">
        <f>AVERAGE(U5:U43)</f>
        <v>0.6632580645161289</v>
      </c>
      <c r="V107" s="118">
        <f>AVERAGE(V5:V43)</f>
        <v>8.9542903225806452</v>
      </c>
      <c r="W107" s="119" t="e">
        <f>SUM(W5:W102)</f>
        <v>#VALUE!</v>
      </c>
      <c r="X107" s="119">
        <f>SUM(X5:X16)</f>
        <v>421.51466277143334</v>
      </c>
      <c r="Y107" s="119">
        <f>SUM(Y5:Y16)</f>
        <v>5120.844159414587</v>
      </c>
      <c r="Z107" s="745"/>
    </row>
    <row r="109" spans="2:27" x14ac:dyDescent="0.3">
      <c r="Z109" s="584" t="s">
        <v>203</v>
      </c>
      <c r="AA109" s="1">
        <f>MIN(Z5:Z102)</f>
        <v>0</v>
      </c>
    </row>
    <row r="110" spans="2:27" x14ac:dyDescent="0.3">
      <c r="N110" s="887"/>
      <c r="Z110" s="584" t="s">
        <v>202</v>
      </c>
      <c r="AA110" s="136">
        <f>MAX(Z5:Z102)</f>
        <v>11.3</v>
      </c>
    </row>
    <row r="111" spans="2:27" x14ac:dyDescent="0.3">
      <c r="W111" s="136"/>
    </row>
  </sheetData>
  <mergeCells count="157">
    <mergeCell ref="B99:C100"/>
    <mergeCell ref="B101:C102"/>
    <mergeCell ref="N75:N76"/>
    <mergeCell ref="B103:C104"/>
    <mergeCell ref="B105:C106"/>
    <mergeCell ref="S61:S65"/>
    <mergeCell ref="A59:A64"/>
    <mergeCell ref="A56:A58"/>
    <mergeCell ref="H2:K2"/>
    <mergeCell ref="B4:C4"/>
    <mergeCell ref="A5:A8"/>
    <mergeCell ref="B5:C6"/>
    <mergeCell ref="N5:N6"/>
    <mergeCell ref="N52:N53"/>
    <mergeCell ref="N54:N56"/>
    <mergeCell ref="A32:A33"/>
    <mergeCell ref="B46:C47"/>
    <mergeCell ref="A46:A53"/>
    <mergeCell ref="A42:A45"/>
    <mergeCell ref="A38:A41"/>
    <mergeCell ref="A35:A37"/>
    <mergeCell ref="D13:D14"/>
    <mergeCell ref="A9:A14"/>
    <mergeCell ref="B9:C10"/>
    <mergeCell ref="N9:N10"/>
    <mergeCell ref="P9:P10"/>
    <mergeCell ref="B11:C12"/>
    <mergeCell ref="A29:A31"/>
    <mergeCell ref="B29:C29"/>
    <mergeCell ref="B30:C31"/>
    <mergeCell ref="N30:N31"/>
    <mergeCell ref="B24:C24"/>
    <mergeCell ref="A25:A27"/>
    <mergeCell ref="B25:C26"/>
    <mergeCell ref="B27:C27"/>
    <mergeCell ref="S5:S8"/>
    <mergeCell ref="B7:C8"/>
    <mergeCell ref="N7:N8"/>
    <mergeCell ref="P7:P8"/>
    <mergeCell ref="B15:C15"/>
    <mergeCell ref="A16:A19"/>
    <mergeCell ref="B16:C16"/>
    <mergeCell ref="S16:S19"/>
    <mergeCell ref="B17:C18"/>
    <mergeCell ref="N17:N18"/>
    <mergeCell ref="B19:C19"/>
    <mergeCell ref="N19:N20"/>
    <mergeCell ref="A20:A23"/>
    <mergeCell ref="B20:C20"/>
    <mergeCell ref="S20:S23"/>
    <mergeCell ref="B21:C22"/>
    <mergeCell ref="N21:N22"/>
    <mergeCell ref="B23:C23"/>
    <mergeCell ref="S9:S12"/>
    <mergeCell ref="R13:R14"/>
    <mergeCell ref="P5:P6"/>
    <mergeCell ref="N11:N12"/>
    <mergeCell ref="P11:P12"/>
    <mergeCell ref="B13:C14"/>
    <mergeCell ref="S38:S41"/>
    <mergeCell ref="N42:N43"/>
    <mergeCell ref="S42:S45"/>
    <mergeCell ref="N25:N26"/>
    <mergeCell ref="N36:N37"/>
    <mergeCell ref="N38:N39"/>
    <mergeCell ref="S35:S37"/>
    <mergeCell ref="N27:N28"/>
    <mergeCell ref="B28:C28"/>
    <mergeCell ref="S28:S31"/>
    <mergeCell ref="B44:C45"/>
    <mergeCell ref="B38:C39"/>
    <mergeCell ref="N44:N45"/>
    <mergeCell ref="S25:S27"/>
    <mergeCell ref="B42:C43"/>
    <mergeCell ref="B32:C32"/>
    <mergeCell ref="B33:C33"/>
    <mergeCell ref="B36:C37"/>
    <mergeCell ref="B34:C34"/>
    <mergeCell ref="B35:C35"/>
    <mergeCell ref="N40:N41"/>
    <mergeCell ref="B40:C41"/>
    <mergeCell ref="AG5:AJ5"/>
    <mergeCell ref="B77:C78"/>
    <mergeCell ref="B79:C98"/>
    <mergeCell ref="P80:P81"/>
    <mergeCell ref="R80:R81"/>
    <mergeCell ref="R86:R87"/>
    <mergeCell ref="T86:T87"/>
    <mergeCell ref="T80:T81"/>
    <mergeCell ref="U80:U81"/>
    <mergeCell ref="V80:V81"/>
    <mergeCell ref="P82:P83"/>
    <mergeCell ref="P94:P95"/>
    <mergeCell ref="R94:R95"/>
    <mergeCell ref="T94:T95"/>
    <mergeCell ref="U94:U95"/>
    <mergeCell ref="R82:R83"/>
    <mergeCell ref="T82:T83"/>
    <mergeCell ref="B67:C68"/>
    <mergeCell ref="R68:R69"/>
    <mergeCell ref="B69:C70"/>
    <mergeCell ref="R70:R71"/>
    <mergeCell ref="B71:C72"/>
    <mergeCell ref="R72:R73"/>
    <mergeCell ref="B73:C74"/>
    <mergeCell ref="B75:C76"/>
    <mergeCell ref="B48:C49"/>
    <mergeCell ref="B50:C51"/>
    <mergeCell ref="B52:C53"/>
    <mergeCell ref="B54:C56"/>
    <mergeCell ref="B57:C58"/>
    <mergeCell ref="B59:C60"/>
    <mergeCell ref="B61:C62"/>
    <mergeCell ref="B63:C64"/>
    <mergeCell ref="B65:C66"/>
    <mergeCell ref="N48:N49"/>
    <mergeCell ref="N61:N62"/>
    <mergeCell ref="N57:N58"/>
    <mergeCell ref="N50:N51"/>
    <mergeCell ref="N63:N64"/>
    <mergeCell ref="N65:N66"/>
    <mergeCell ref="O54:O56"/>
    <mergeCell ref="U88:U89"/>
    <mergeCell ref="V88:V89"/>
    <mergeCell ref="U82:U83"/>
    <mergeCell ref="V82:V83"/>
    <mergeCell ref="P84:P85"/>
    <mergeCell ref="R84:R85"/>
    <mergeCell ref="T84:T85"/>
    <mergeCell ref="U84:U85"/>
    <mergeCell ref="V84:V85"/>
    <mergeCell ref="S56:S58"/>
    <mergeCell ref="S48:S54"/>
    <mergeCell ref="N77:N78"/>
    <mergeCell ref="S75:S78"/>
    <mergeCell ref="V94:V95"/>
    <mergeCell ref="P96:P97"/>
    <mergeCell ref="R96:R97"/>
    <mergeCell ref="T96:T97"/>
    <mergeCell ref="U96:U97"/>
    <mergeCell ref="V96:V97"/>
    <mergeCell ref="P86:P87"/>
    <mergeCell ref="P90:P91"/>
    <mergeCell ref="R90:R91"/>
    <mergeCell ref="T90:T91"/>
    <mergeCell ref="U90:U91"/>
    <mergeCell ref="V90:V91"/>
    <mergeCell ref="P92:P93"/>
    <mergeCell ref="R92:R93"/>
    <mergeCell ref="T92:T93"/>
    <mergeCell ref="U92:U93"/>
    <mergeCell ref="V92:V93"/>
    <mergeCell ref="U86:U87"/>
    <mergeCell ref="V86:V87"/>
    <mergeCell ref="P88:P89"/>
    <mergeCell ref="R88:R89"/>
    <mergeCell ref="T88:T89"/>
  </mergeCells>
  <pageMargins left="0.7" right="0.7" top="0.75" bottom="0.75" header="0.3" footer="0.3"/>
  <pageSetup paperSize="9" orientation="portrait" horizontalDpi="360" verticalDpi="360" r:id="rId1"/>
  <ignoredErrors>
    <ignoredError sqref="T48:V48 T45" formulaRange="1"/>
  </ignoredError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47"/>
  <sheetViews>
    <sheetView topLeftCell="A11" zoomScale="77" zoomScaleNormal="55" workbookViewId="0">
      <selection activeCell="E33" sqref="E33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28.88671875" style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57" customWidth="1"/>
    <col min="9" max="9" width="9.5546875" style="357" customWidth="1"/>
    <col min="10" max="10" width="11.21875" style="357" customWidth="1"/>
    <col min="11" max="11" width="12" style="357" customWidth="1"/>
    <col min="12" max="12" width="11.77734375" style="357" customWidth="1"/>
    <col min="13" max="13" width="14.44140625" style="357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2"/>
    <col min="32" max="16384" width="8.88671875" style="1"/>
  </cols>
  <sheetData>
    <row r="1" spans="2:31" ht="15" thickBot="1" x14ac:dyDescent="0.35">
      <c r="AD1" s="13">
        <v>1</v>
      </c>
      <c r="AE1" s="13">
        <v>4.7E-2</v>
      </c>
    </row>
    <row r="2" spans="2:31" ht="15" thickBot="1" x14ac:dyDescent="0.35">
      <c r="B2" s="1477" t="s">
        <v>664</v>
      </c>
      <c r="C2" s="1478"/>
      <c r="D2" s="1478"/>
      <c r="E2" s="1478"/>
      <c r="F2" s="1478"/>
      <c r="G2" s="1478"/>
      <c r="H2" s="1478"/>
      <c r="I2" s="1478"/>
      <c r="J2" s="1478"/>
      <c r="K2" s="1478"/>
      <c r="L2" s="1478"/>
      <c r="M2" s="1479"/>
      <c r="AD2" s="13">
        <v>2</v>
      </c>
      <c r="AE2" s="13">
        <v>9.9000000000000005E-2</v>
      </c>
    </row>
    <row r="3" spans="2:31" ht="15" thickBot="1" x14ac:dyDescent="0.35">
      <c r="B3" s="1477" t="s">
        <v>197</v>
      </c>
      <c r="C3" s="1478"/>
      <c r="D3" s="1478"/>
      <c r="E3" s="1478"/>
      <c r="F3" s="1478"/>
      <c r="G3" s="1478"/>
      <c r="H3" s="1478"/>
      <c r="I3" s="1478"/>
      <c r="J3" s="1478"/>
      <c r="K3" s="1478"/>
      <c r="L3" s="1478"/>
      <c r="M3" s="1479"/>
      <c r="AD3" s="13">
        <v>3</v>
      </c>
      <c r="AE3" s="13">
        <v>0.16</v>
      </c>
    </row>
    <row r="4" spans="2:31" x14ac:dyDescent="0.3">
      <c r="B4" s="137"/>
      <c r="C4" s="137"/>
      <c r="D4" s="137"/>
      <c r="E4" s="137"/>
      <c r="F4" s="137"/>
      <c r="G4" s="137"/>
      <c r="H4" s="358"/>
      <c r="I4" s="358"/>
      <c r="J4" s="358"/>
      <c r="K4" s="358"/>
      <c r="L4" s="358"/>
      <c r="M4" s="358"/>
      <c r="AD4" s="13">
        <v>4</v>
      </c>
      <c r="AE4" s="13">
        <v>0.16700000000000001</v>
      </c>
    </row>
    <row r="5" spans="2:31" x14ac:dyDescent="0.3">
      <c r="B5" s="137"/>
      <c r="C5" s="137"/>
      <c r="D5" s="137"/>
      <c r="E5" s="137"/>
      <c r="F5" s="137"/>
      <c r="G5" s="137"/>
      <c r="H5" s="358"/>
      <c r="I5" s="358"/>
      <c r="J5" s="358"/>
      <c r="K5" s="358"/>
      <c r="L5" s="358"/>
      <c r="M5" s="358"/>
      <c r="AD5" s="13">
        <v>5</v>
      </c>
      <c r="AE5" s="6">
        <v>0.17799999999999999</v>
      </c>
    </row>
    <row r="6" spans="2:31" x14ac:dyDescent="0.3">
      <c r="AD6" s="13">
        <v>6</v>
      </c>
      <c r="AE6" s="6">
        <v>0.17899999999999999</v>
      </c>
    </row>
    <row r="7" spans="2:31" ht="41.4" x14ac:dyDescent="0.3">
      <c r="B7" s="1119" t="s">
        <v>70</v>
      </c>
      <c r="C7" s="1119" t="s">
        <v>0</v>
      </c>
      <c r="D7" s="1120" t="s">
        <v>178</v>
      </c>
      <c r="E7" s="1120" t="s">
        <v>179</v>
      </c>
      <c r="F7" s="1120" t="s">
        <v>180</v>
      </c>
      <c r="G7" s="1120" t="s">
        <v>181</v>
      </c>
      <c r="H7" s="1120" t="s">
        <v>182</v>
      </c>
      <c r="I7" s="1120" t="s">
        <v>183</v>
      </c>
      <c r="J7" s="1120" t="s">
        <v>662</v>
      </c>
      <c r="K7" s="1120" t="s">
        <v>371</v>
      </c>
      <c r="L7" s="1120" t="s">
        <v>185</v>
      </c>
      <c r="M7" s="1120" t="s">
        <v>195</v>
      </c>
      <c r="Q7" s="1262" t="s">
        <v>337</v>
      </c>
      <c r="R7" s="1262"/>
      <c r="S7" s="1262"/>
      <c r="T7" s="1262"/>
      <c r="U7" s="1262"/>
      <c r="V7" s="1262"/>
      <c r="AD7" s="13">
        <v>7</v>
      </c>
      <c r="AE7" s="6">
        <v>0.21</v>
      </c>
    </row>
    <row r="8" spans="2:31" x14ac:dyDescent="0.3">
      <c r="B8" s="13">
        <v>1</v>
      </c>
      <c r="C8" s="73">
        <v>46174</v>
      </c>
      <c r="D8" s="13" t="s">
        <v>187</v>
      </c>
      <c r="E8" s="13" t="s">
        <v>191</v>
      </c>
      <c r="F8" s="13" t="s">
        <v>334</v>
      </c>
      <c r="G8" s="13"/>
      <c r="H8" s="359">
        <v>41</v>
      </c>
      <c r="I8" s="359">
        <v>1.35</v>
      </c>
      <c r="J8" s="363">
        <f>H8*I8</f>
        <v>55.35</v>
      </c>
      <c r="K8" s="363">
        <f>I8*G8</f>
        <v>0</v>
      </c>
      <c r="L8" s="359">
        <v>1.0269999999999999</v>
      </c>
      <c r="M8" s="363">
        <f t="shared" ref="M8:M30" si="0">L8*J8</f>
        <v>56.844449999999995</v>
      </c>
      <c r="Q8" s="251" t="s">
        <v>70</v>
      </c>
      <c r="R8" s="251" t="s">
        <v>338</v>
      </c>
      <c r="S8" s="251" t="s">
        <v>0</v>
      </c>
      <c r="T8" s="251" t="s">
        <v>339</v>
      </c>
      <c r="U8" s="251" t="s">
        <v>340</v>
      </c>
      <c r="V8" s="251" t="s">
        <v>341</v>
      </c>
      <c r="AD8" s="13">
        <v>8</v>
      </c>
      <c r="AE8" s="13">
        <v>0.21199999999999999</v>
      </c>
    </row>
    <row r="9" spans="2:31" x14ac:dyDescent="0.3">
      <c r="B9" s="13">
        <v>2</v>
      </c>
      <c r="C9" s="73">
        <v>46174</v>
      </c>
      <c r="D9" s="13" t="s">
        <v>186</v>
      </c>
      <c r="E9" s="13" t="s">
        <v>196</v>
      </c>
      <c r="F9" s="13" t="s">
        <v>335</v>
      </c>
      <c r="G9" s="13"/>
      <c r="H9" s="359">
        <v>16</v>
      </c>
      <c r="I9" s="359">
        <v>1.35</v>
      </c>
      <c r="J9" s="363">
        <f t="shared" ref="J9:J12" si="1">H9*I9</f>
        <v>21.6</v>
      </c>
      <c r="K9" s="363">
        <f t="shared" ref="K9:K12" si="2">I9*G9</f>
        <v>0</v>
      </c>
      <c r="L9" s="359">
        <v>1.228</v>
      </c>
      <c r="M9" s="363">
        <f t="shared" si="0"/>
        <v>26.524800000000003</v>
      </c>
      <c r="N9" s="29"/>
      <c r="O9" s="117"/>
      <c r="Q9" s="13">
        <v>1</v>
      </c>
      <c r="R9" s="6" t="s">
        <v>342</v>
      </c>
      <c r="S9" s="62">
        <v>46197</v>
      </c>
      <c r="T9" s="6">
        <v>0.54600000000000004</v>
      </c>
      <c r="U9" s="6"/>
      <c r="V9" s="6"/>
      <c r="Y9" s="252" t="s">
        <v>268</v>
      </c>
      <c r="Z9" s="133">
        <f>AVERAGE(T9:T255)</f>
        <v>0.77330198019801932</v>
      </c>
      <c r="AA9" s="117"/>
      <c r="AD9" s="13">
        <v>9</v>
      </c>
      <c r="AE9" s="13">
        <v>0.23100000000000001</v>
      </c>
    </row>
    <row r="10" spans="2:31" x14ac:dyDescent="0.3">
      <c r="B10" s="13">
        <v>3</v>
      </c>
      <c r="C10" s="73">
        <v>46175</v>
      </c>
      <c r="D10" s="13" t="s">
        <v>188</v>
      </c>
      <c r="E10" s="13" t="s">
        <v>193</v>
      </c>
      <c r="F10" s="13" t="s">
        <v>336</v>
      </c>
      <c r="G10" s="13"/>
      <c r="H10" s="359">
        <v>93</v>
      </c>
      <c r="I10" s="359">
        <v>1.35</v>
      </c>
      <c r="J10" s="363">
        <f t="shared" si="1"/>
        <v>125.55000000000001</v>
      </c>
      <c r="K10" s="363">
        <f t="shared" si="2"/>
        <v>0</v>
      </c>
      <c r="L10" s="365">
        <v>0.6</v>
      </c>
      <c r="M10" s="363">
        <f t="shared" si="0"/>
        <v>75.33</v>
      </c>
      <c r="Q10" s="13">
        <v>2</v>
      </c>
      <c r="R10" s="6" t="s">
        <v>343</v>
      </c>
      <c r="S10" s="62">
        <v>46197</v>
      </c>
      <c r="T10" s="6">
        <v>0.57599999999999996</v>
      </c>
      <c r="U10" s="6"/>
      <c r="V10" s="6"/>
      <c r="Y10" s="252" t="s">
        <v>205</v>
      </c>
      <c r="Z10" s="133">
        <f>MEDIAN(T9:T324)</f>
        <v>0.61299999999999999</v>
      </c>
      <c r="AD10" s="13">
        <v>10</v>
      </c>
      <c r="AE10" s="13">
        <v>0.24</v>
      </c>
    </row>
    <row r="11" spans="2:31" x14ac:dyDescent="0.3">
      <c r="B11" s="13">
        <v>4</v>
      </c>
      <c r="C11" s="73">
        <v>46175</v>
      </c>
      <c r="D11" s="13" t="s">
        <v>189</v>
      </c>
      <c r="E11" s="13" t="s">
        <v>194</v>
      </c>
      <c r="F11" s="13" t="s">
        <v>334</v>
      </c>
      <c r="G11" s="13"/>
      <c r="H11" s="359">
        <v>40</v>
      </c>
      <c r="I11" s="359">
        <v>1.35</v>
      </c>
      <c r="J11" s="363">
        <f t="shared" si="1"/>
        <v>54</v>
      </c>
      <c r="K11" s="363">
        <f t="shared" si="2"/>
        <v>0</v>
      </c>
      <c r="L11" s="359">
        <v>1.0269999999999999</v>
      </c>
      <c r="M11" s="363">
        <f t="shared" si="0"/>
        <v>55.457999999999998</v>
      </c>
      <c r="O11" s="29"/>
      <c r="Q11" s="13">
        <v>3</v>
      </c>
      <c r="R11" s="6" t="s">
        <v>344</v>
      </c>
      <c r="S11" s="62">
        <v>46197</v>
      </c>
      <c r="T11" s="6">
        <v>0.83899999999999997</v>
      </c>
      <c r="U11" s="6"/>
      <c r="V11" s="6"/>
      <c r="Y11" s="252" t="s">
        <v>203</v>
      </c>
      <c r="Z11" s="133">
        <f>MIN(T9:T347)</f>
        <v>4.7E-2</v>
      </c>
      <c r="AD11" s="13">
        <v>11</v>
      </c>
      <c r="AE11" s="13">
        <v>0.24199999999999999</v>
      </c>
    </row>
    <row r="12" spans="2:31" x14ac:dyDescent="0.3">
      <c r="B12" s="13">
        <v>5</v>
      </c>
      <c r="C12" s="73">
        <v>46175</v>
      </c>
      <c r="D12" s="13" t="s">
        <v>190</v>
      </c>
      <c r="E12" s="13" t="s">
        <v>192</v>
      </c>
      <c r="F12" s="13" t="s">
        <v>335</v>
      </c>
      <c r="G12" s="13"/>
      <c r="H12" s="359">
        <v>13</v>
      </c>
      <c r="I12" s="359">
        <v>1.35</v>
      </c>
      <c r="J12" s="363">
        <f t="shared" si="1"/>
        <v>17.55</v>
      </c>
      <c r="K12" s="363">
        <f t="shared" si="2"/>
        <v>0</v>
      </c>
      <c r="L12" s="359">
        <v>1.228</v>
      </c>
      <c r="M12" s="363">
        <f t="shared" si="0"/>
        <v>21.551400000000001</v>
      </c>
      <c r="Q12" s="13">
        <v>4</v>
      </c>
      <c r="R12" s="6" t="s">
        <v>345</v>
      </c>
      <c r="S12" s="62">
        <v>46197</v>
      </c>
      <c r="T12" s="6">
        <v>2.0110000000000001</v>
      </c>
      <c r="U12" s="6"/>
      <c r="V12" s="6"/>
      <c r="Y12" s="252" t="s">
        <v>202</v>
      </c>
      <c r="Z12" s="133">
        <f>MAX(T9:T236)</f>
        <v>3.8769999999999998</v>
      </c>
      <c r="AD12" s="13">
        <v>12</v>
      </c>
      <c r="AE12" s="13">
        <v>0.252</v>
      </c>
    </row>
    <row r="13" spans="2:31" x14ac:dyDescent="0.3">
      <c r="B13" s="13">
        <v>6</v>
      </c>
      <c r="C13" s="73">
        <v>46249</v>
      </c>
      <c r="D13" s="13"/>
      <c r="E13" s="13" t="s">
        <v>372</v>
      </c>
      <c r="F13" s="13" t="s">
        <v>372</v>
      </c>
      <c r="G13" s="13">
        <v>200</v>
      </c>
      <c r="H13" s="359">
        <v>310</v>
      </c>
      <c r="I13" s="359">
        <v>1.39</v>
      </c>
      <c r="J13" s="363">
        <f>H13*I13</f>
        <v>430.9</v>
      </c>
      <c r="K13" s="363">
        <f t="shared" ref="K13:K26" si="3">I13*G13</f>
        <v>278</v>
      </c>
      <c r="L13" s="359">
        <v>1.1220000000000001</v>
      </c>
      <c r="M13" s="363">
        <f t="shared" si="0"/>
        <v>483.46980000000002</v>
      </c>
      <c r="Q13" s="13">
        <v>5</v>
      </c>
      <c r="R13" s="6" t="s">
        <v>346</v>
      </c>
      <c r="S13" s="62">
        <v>46197</v>
      </c>
      <c r="T13" s="6">
        <v>0.94399999999999995</v>
      </c>
      <c r="U13" s="6"/>
      <c r="V13" s="6"/>
      <c r="Y13" s="253" t="s">
        <v>367</v>
      </c>
      <c r="Z13" s="38">
        <f>((Z9-Z10)/(Z9+Z10)/2)</f>
        <v>5.7816400209975111E-2</v>
      </c>
      <c r="AA13" s="117"/>
      <c r="AD13" s="13">
        <v>13</v>
      </c>
      <c r="AE13" s="13">
        <v>0.253</v>
      </c>
    </row>
    <row r="14" spans="2:31" x14ac:dyDescent="0.3">
      <c r="B14" s="13">
        <v>7</v>
      </c>
      <c r="C14" s="73">
        <v>46250</v>
      </c>
      <c r="D14" s="13"/>
      <c r="E14" s="13" t="s">
        <v>373</v>
      </c>
      <c r="F14" s="13" t="s">
        <v>373</v>
      </c>
      <c r="G14" s="13">
        <v>220</v>
      </c>
      <c r="H14" s="359">
        <v>190</v>
      </c>
      <c r="I14" s="359">
        <v>1.39</v>
      </c>
      <c r="J14" s="363">
        <f>H14*I14</f>
        <v>264.09999999999997</v>
      </c>
      <c r="K14" s="363">
        <f t="shared" si="3"/>
        <v>305.79999999999995</v>
      </c>
      <c r="L14" s="359">
        <v>1.1220000000000001</v>
      </c>
      <c r="M14" s="363">
        <f t="shared" si="0"/>
        <v>296.3202</v>
      </c>
      <c r="Q14" s="13">
        <v>6</v>
      </c>
      <c r="R14" s="6" t="s">
        <v>347</v>
      </c>
      <c r="S14" s="62">
        <v>46197</v>
      </c>
      <c r="T14" s="6">
        <v>0.70199999999999996</v>
      </c>
      <c r="U14" s="6"/>
      <c r="V14" s="6"/>
      <c r="Y14" s="253" t="s">
        <v>269</v>
      </c>
      <c r="Z14" s="133">
        <f>Z9-Z10</f>
        <v>0.16030198019801933</v>
      </c>
      <c r="AD14" s="13">
        <v>14</v>
      </c>
      <c r="AE14" s="13">
        <v>0.30399999999999999</v>
      </c>
    </row>
    <row r="15" spans="2:31" x14ac:dyDescent="0.3">
      <c r="B15" s="13">
        <v>8</v>
      </c>
      <c r="C15" s="73">
        <v>46251</v>
      </c>
      <c r="D15" s="13"/>
      <c r="E15" s="13"/>
      <c r="F15" s="13" t="s">
        <v>334</v>
      </c>
      <c r="G15" s="13">
        <v>210</v>
      </c>
      <c r="H15" s="359">
        <v>34</v>
      </c>
      <c r="I15" s="359">
        <v>1.39</v>
      </c>
      <c r="J15" s="363">
        <f>H15*I15</f>
        <v>47.26</v>
      </c>
      <c r="K15" s="363">
        <f t="shared" si="3"/>
        <v>291.89999999999998</v>
      </c>
      <c r="L15" s="359">
        <v>1.02</v>
      </c>
      <c r="M15" s="363">
        <f t="shared" si="0"/>
        <v>48.205199999999998</v>
      </c>
      <c r="N15" s="117"/>
      <c r="Q15" s="13">
        <v>7</v>
      </c>
      <c r="R15" s="6" t="s">
        <v>348</v>
      </c>
      <c r="S15" s="62">
        <v>46197</v>
      </c>
      <c r="T15" s="6">
        <v>3.2160000000000002</v>
      </c>
      <c r="U15" s="6"/>
      <c r="V15" s="6"/>
      <c r="Z15" s="222">
        <f>_xlfn.STDEV.P(T9:T206)</f>
        <v>0.55606769341991147</v>
      </c>
      <c r="AD15" s="13">
        <v>15</v>
      </c>
      <c r="AE15" s="13">
        <v>0.308</v>
      </c>
    </row>
    <row r="16" spans="2:31" x14ac:dyDescent="0.3">
      <c r="B16" s="13">
        <v>9</v>
      </c>
      <c r="C16" s="73">
        <v>46252</v>
      </c>
      <c r="D16" s="359"/>
      <c r="E16" s="13"/>
      <c r="F16" s="13" t="s">
        <v>334</v>
      </c>
      <c r="G16" s="13">
        <v>30</v>
      </c>
      <c r="H16" s="359">
        <v>64</v>
      </c>
      <c r="I16" s="359">
        <v>1.39</v>
      </c>
      <c r="J16" s="363">
        <f>H16*I16</f>
        <v>88.96</v>
      </c>
      <c r="K16" s="363">
        <f t="shared" si="3"/>
        <v>41.699999999999996</v>
      </c>
      <c r="L16" s="395">
        <v>1.02</v>
      </c>
      <c r="M16" s="363">
        <f t="shared" si="0"/>
        <v>90.739199999999997</v>
      </c>
      <c r="Q16" s="13">
        <v>8</v>
      </c>
      <c r="R16" s="6" t="s">
        <v>349</v>
      </c>
      <c r="S16" s="62">
        <v>46197</v>
      </c>
      <c r="T16" s="6">
        <v>0.56200000000000006</v>
      </c>
      <c r="U16" s="6"/>
      <c r="V16" s="6"/>
      <c r="AD16" s="13">
        <v>16</v>
      </c>
      <c r="AE16" s="13">
        <v>0.31</v>
      </c>
    </row>
    <row r="17" spans="2:31" x14ac:dyDescent="0.3">
      <c r="B17" s="13">
        <v>10</v>
      </c>
      <c r="C17" s="73">
        <v>46253</v>
      </c>
      <c r="D17" s="13"/>
      <c r="E17" s="13"/>
      <c r="F17" s="13" t="s">
        <v>334</v>
      </c>
      <c r="G17" s="13">
        <v>60</v>
      </c>
      <c r="H17" s="359">
        <v>62</v>
      </c>
      <c r="I17" s="359">
        <v>1.39</v>
      </c>
      <c r="J17" s="363">
        <f t="shared" ref="J17:J33" si="4">H17*I17</f>
        <v>86.179999999999993</v>
      </c>
      <c r="K17" s="363">
        <f t="shared" si="3"/>
        <v>83.399999999999991</v>
      </c>
      <c r="L17" s="359">
        <v>0.93500000000000005</v>
      </c>
      <c r="M17" s="363">
        <f t="shared" si="0"/>
        <v>80.578299999999999</v>
      </c>
      <c r="Q17" s="13">
        <v>9</v>
      </c>
      <c r="R17" s="6" t="s">
        <v>350</v>
      </c>
      <c r="S17" s="62">
        <v>46197</v>
      </c>
      <c r="T17" s="6">
        <v>0.79</v>
      </c>
      <c r="U17" s="6"/>
      <c r="V17" s="6"/>
      <c r="Z17" s="117"/>
      <c r="AD17" s="13">
        <v>17</v>
      </c>
      <c r="AE17" s="13">
        <v>0.318</v>
      </c>
    </row>
    <row r="18" spans="2:31" x14ac:dyDescent="0.3">
      <c r="B18" s="13">
        <v>11</v>
      </c>
      <c r="C18" s="73">
        <v>46254</v>
      </c>
      <c r="D18" s="13"/>
      <c r="E18" s="13"/>
      <c r="F18" s="13" t="s">
        <v>334</v>
      </c>
      <c r="G18" s="13">
        <v>60</v>
      </c>
      <c r="H18" s="359">
        <v>108</v>
      </c>
      <c r="I18" s="359">
        <v>1.39</v>
      </c>
      <c r="J18" s="363">
        <f t="shared" si="4"/>
        <v>150.11999999999998</v>
      </c>
      <c r="K18" s="363">
        <f t="shared" si="3"/>
        <v>83.399999999999991</v>
      </c>
      <c r="L18" s="359">
        <v>1.1100000000000001</v>
      </c>
      <c r="M18" s="363">
        <f t="shared" si="0"/>
        <v>166.63319999999999</v>
      </c>
      <c r="Q18" s="13">
        <v>10</v>
      </c>
      <c r="R18" s="6" t="s">
        <v>351</v>
      </c>
      <c r="S18" s="62">
        <v>46197</v>
      </c>
      <c r="T18" s="6">
        <v>1.583</v>
      </c>
      <c r="U18" s="6"/>
      <c r="V18" s="6"/>
      <c r="AD18" s="13">
        <v>18</v>
      </c>
      <c r="AE18" s="13">
        <v>0.32300000000000001</v>
      </c>
    </row>
    <row r="19" spans="2:31" x14ac:dyDescent="0.3">
      <c r="B19" s="13">
        <v>12</v>
      </c>
      <c r="C19" s="73">
        <v>46255</v>
      </c>
      <c r="D19" s="13"/>
      <c r="E19" s="13"/>
      <c r="F19" s="13" t="s">
        <v>334</v>
      </c>
      <c r="G19" s="13">
        <v>150</v>
      </c>
      <c r="H19" s="359">
        <v>130</v>
      </c>
      <c r="I19" s="359">
        <v>1.39</v>
      </c>
      <c r="J19" s="363">
        <f>H19*I19</f>
        <v>180.7</v>
      </c>
      <c r="K19" s="363">
        <f t="shared" si="3"/>
        <v>208.49999999999997</v>
      </c>
      <c r="L19" s="359">
        <v>12.308999999999999</v>
      </c>
      <c r="M19" s="363">
        <f t="shared" si="0"/>
        <v>2224.2362999999996</v>
      </c>
      <c r="Q19" s="13">
        <v>11</v>
      </c>
      <c r="R19" s="6" t="s">
        <v>352</v>
      </c>
      <c r="S19" s="62">
        <v>46181</v>
      </c>
      <c r="T19" s="6">
        <v>1.9630000000000001</v>
      </c>
      <c r="U19" s="6"/>
      <c r="V19" s="6"/>
      <c r="AD19" s="13">
        <v>19</v>
      </c>
      <c r="AE19" s="13">
        <v>0.32600000000000001</v>
      </c>
    </row>
    <row r="20" spans="2:31" x14ac:dyDescent="0.3">
      <c r="B20" s="13">
        <v>13</v>
      </c>
      <c r="C20" s="73">
        <v>46257</v>
      </c>
      <c r="D20" s="13"/>
      <c r="E20" s="13"/>
      <c r="F20" s="13" t="s">
        <v>334</v>
      </c>
      <c r="G20" s="13">
        <v>110</v>
      </c>
      <c r="H20" s="359">
        <v>94</v>
      </c>
      <c r="I20" s="359">
        <v>1.39</v>
      </c>
      <c r="J20" s="363">
        <f t="shared" si="4"/>
        <v>130.66</v>
      </c>
      <c r="K20" s="363">
        <f t="shared" si="3"/>
        <v>152.89999999999998</v>
      </c>
      <c r="L20" s="359">
        <v>0.86</v>
      </c>
      <c r="M20" s="363">
        <f t="shared" si="0"/>
        <v>112.3676</v>
      </c>
      <c r="Q20" s="13">
        <v>12</v>
      </c>
      <c r="R20" s="6" t="s">
        <v>353</v>
      </c>
      <c r="S20" s="62">
        <v>46181</v>
      </c>
      <c r="T20" s="6">
        <v>0.73499999999999999</v>
      </c>
      <c r="U20" s="6"/>
      <c r="V20" s="6"/>
      <c r="AD20" s="13">
        <v>20</v>
      </c>
      <c r="AE20" s="6">
        <v>0.33600000000000002</v>
      </c>
    </row>
    <row r="21" spans="2:31" x14ac:dyDescent="0.3">
      <c r="B21" s="13">
        <v>14</v>
      </c>
      <c r="C21" s="73">
        <v>46261</v>
      </c>
      <c r="D21" s="13"/>
      <c r="E21" s="13"/>
      <c r="F21" s="13" t="s">
        <v>334</v>
      </c>
      <c r="G21" s="13">
        <v>100</v>
      </c>
      <c r="H21" s="359">
        <v>310</v>
      </c>
      <c r="I21" s="382">
        <v>1.3</v>
      </c>
      <c r="J21" s="363">
        <f t="shared" si="4"/>
        <v>403</v>
      </c>
      <c r="K21" s="363">
        <f t="shared" si="3"/>
        <v>130</v>
      </c>
      <c r="L21" s="359">
        <v>1.2969999999999999</v>
      </c>
      <c r="M21" s="363">
        <f t="shared" si="0"/>
        <v>522.69099999999992</v>
      </c>
      <c r="Q21" s="13">
        <v>13</v>
      </c>
      <c r="R21" s="6" t="s">
        <v>354</v>
      </c>
      <c r="S21" s="62">
        <v>46181</v>
      </c>
      <c r="T21" s="6">
        <v>0.34799999999999998</v>
      </c>
      <c r="U21" s="6"/>
      <c r="V21" s="6"/>
      <c r="AD21" s="13">
        <v>21</v>
      </c>
      <c r="AE21" s="13">
        <v>0.33700000000000002</v>
      </c>
    </row>
    <row r="22" spans="2:31" x14ac:dyDescent="0.3">
      <c r="B22" s="13">
        <v>15</v>
      </c>
      <c r="C22" s="62">
        <v>46262</v>
      </c>
      <c r="D22" s="6"/>
      <c r="E22" s="6"/>
      <c r="F22" s="13" t="s">
        <v>334</v>
      </c>
      <c r="G22" s="13">
        <v>280</v>
      </c>
      <c r="H22" s="359">
        <v>56</v>
      </c>
      <c r="I22" s="382">
        <v>1.3</v>
      </c>
      <c r="J22" s="363">
        <f t="shared" si="4"/>
        <v>72.8</v>
      </c>
      <c r="K22" s="363">
        <f t="shared" si="3"/>
        <v>364</v>
      </c>
      <c r="L22" s="359">
        <v>1.4970000000000001</v>
      </c>
      <c r="M22" s="363">
        <f t="shared" si="0"/>
        <v>108.9816</v>
      </c>
      <c r="Q22" s="13">
        <v>14</v>
      </c>
      <c r="R22" s="6" t="s">
        <v>355</v>
      </c>
      <c r="S22" s="62">
        <v>46181</v>
      </c>
      <c r="T22" s="6">
        <v>1.2929999999999999</v>
      </c>
      <c r="U22" s="6"/>
      <c r="V22" s="6"/>
      <c r="AD22" s="13">
        <v>22</v>
      </c>
      <c r="AE22" s="13">
        <v>0.34</v>
      </c>
    </row>
    <row r="23" spans="2:31" ht="16.2" customHeight="1" x14ac:dyDescent="0.3">
      <c r="B23" s="13">
        <v>18</v>
      </c>
      <c r="C23" s="397">
        <v>46265</v>
      </c>
      <c r="D23" s="6"/>
      <c r="E23" s="6"/>
      <c r="F23" s="13" t="s">
        <v>334</v>
      </c>
      <c r="G23" s="6"/>
      <c r="H23" s="359">
        <v>23</v>
      </c>
      <c r="I23" s="359">
        <v>1.3</v>
      </c>
      <c r="J23" s="363">
        <f t="shared" si="4"/>
        <v>29.900000000000002</v>
      </c>
      <c r="K23" s="363">
        <f t="shared" si="3"/>
        <v>0</v>
      </c>
      <c r="L23" s="359">
        <v>1.23</v>
      </c>
      <c r="M23" s="363">
        <f t="shared" si="0"/>
        <v>36.777000000000001</v>
      </c>
      <c r="Q23" s="13">
        <v>17</v>
      </c>
      <c r="R23" s="6" t="s">
        <v>358</v>
      </c>
      <c r="S23" s="62">
        <v>46180</v>
      </c>
      <c r="T23" s="6">
        <v>0.60399999999999998</v>
      </c>
      <c r="U23" s="6"/>
      <c r="V23" s="6"/>
      <c r="AD23" s="13">
        <v>25</v>
      </c>
      <c r="AE23" s="13">
        <v>0.35099999999999998</v>
      </c>
    </row>
    <row r="24" spans="2:31" x14ac:dyDescent="0.3">
      <c r="B24" s="13">
        <v>22</v>
      </c>
      <c r="C24" s="397">
        <v>46269</v>
      </c>
      <c r="D24" s="6"/>
      <c r="E24" s="6"/>
      <c r="F24" s="13" t="s">
        <v>334</v>
      </c>
      <c r="G24" s="6"/>
      <c r="H24" s="359">
        <v>90</v>
      </c>
      <c r="I24" s="359">
        <v>1.3</v>
      </c>
      <c r="J24" s="363">
        <f t="shared" si="4"/>
        <v>117</v>
      </c>
      <c r="K24" s="363">
        <f t="shared" si="3"/>
        <v>0</v>
      </c>
      <c r="L24" s="359">
        <v>0.8</v>
      </c>
      <c r="M24" s="363">
        <f t="shared" si="0"/>
        <v>93.600000000000009</v>
      </c>
      <c r="Q24" s="13">
        <v>21</v>
      </c>
      <c r="R24" s="6" t="s">
        <v>362</v>
      </c>
      <c r="S24" s="62">
        <v>46180</v>
      </c>
      <c r="T24" s="6">
        <v>1.2390000000000001</v>
      </c>
      <c r="U24" s="6"/>
      <c r="V24" s="6"/>
      <c r="AD24" s="13">
        <v>29</v>
      </c>
      <c r="AE24" s="13">
        <v>0.35699999999999998</v>
      </c>
    </row>
    <row r="25" spans="2:31" x14ac:dyDescent="0.3">
      <c r="B25" s="13">
        <v>28</v>
      </c>
      <c r="C25" s="397">
        <v>46275</v>
      </c>
      <c r="D25" s="6"/>
      <c r="E25" s="6"/>
      <c r="F25" s="13" t="s">
        <v>334</v>
      </c>
      <c r="G25" s="6"/>
      <c r="H25" s="359">
        <v>312</v>
      </c>
      <c r="I25" s="359">
        <v>1.3</v>
      </c>
      <c r="J25" s="363">
        <f t="shared" si="4"/>
        <v>405.6</v>
      </c>
      <c r="K25" s="363">
        <f t="shared" si="3"/>
        <v>0</v>
      </c>
      <c r="L25" s="359">
        <v>1.3</v>
      </c>
      <c r="M25" s="363">
        <f t="shared" si="0"/>
        <v>527.28000000000009</v>
      </c>
      <c r="Q25" s="13">
        <v>27</v>
      </c>
      <c r="R25" s="6" t="s">
        <v>361</v>
      </c>
      <c r="S25" s="62">
        <v>46176</v>
      </c>
      <c r="T25" s="6">
        <v>0.79700000000000004</v>
      </c>
      <c r="U25" s="6"/>
      <c r="V25" s="6"/>
      <c r="AD25" s="13">
        <v>35</v>
      </c>
      <c r="AE25" s="13">
        <v>0.42199999999999999</v>
      </c>
    </row>
    <row r="26" spans="2:31" x14ac:dyDescent="0.3">
      <c r="B26" s="13">
        <v>29</v>
      </c>
      <c r="C26" s="397">
        <v>46282</v>
      </c>
      <c r="D26" s="6"/>
      <c r="E26" s="6"/>
      <c r="F26" s="13" t="s">
        <v>660</v>
      </c>
      <c r="G26" s="6"/>
      <c r="H26" s="359">
        <v>2291</v>
      </c>
      <c r="I26" s="359">
        <v>1.3</v>
      </c>
      <c r="J26" s="363">
        <f t="shared" si="4"/>
        <v>2978.3</v>
      </c>
      <c r="K26" s="363">
        <f t="shared" si="3"/>
        <v>0</v>
      </c>
      <c r="L26" s="359">
        <v>0.8</v>
      </c>
      <c r="M26" s="363">
        <f t="shared" si="0"/>
        <v>2382.6400000000003</v>
      </c>
      <c r="Q26" s="13">
        <v>28</v>
      </c>
      <c r="R26" s="6" t="s">
        <v>362</v>
      </c>
      <c r="S26" s="62">
        <v>46176</v>
      </c>
      <c r="T26" s="6">
        <v>1.3919999999999999</v>
      </c>
      <c r="U26" s="6"/>
      <c r="V26" s="6"/>
      <c r="AD26" s="13">
        <v>36</v>
      </c>
      <c r="AE26" s="13">
        <v>0.43</v>
      </c>
    </row>
    <row r="27" spans="2:31" x14ac:dyDescent="0.3">
      <c r="B27" s="13">
        <v>30</v>
      </c>
      <c r="C27" s="397">
        <v>46286</v>
      </c>
      <c r="D27" s="6"/>
      <c r="E27" s="6"/>
      <c r="F27" s="13" t="s">
        <v>372</v>
      </c>
      <c r="G27" s="13">
        <v>113</v>
      </c>
      <c r="H27" s="359">
        <v>92</v>
      </c>
      <c r="I27" s="359">
        <v>1.3</v>
      </c>
      <c r="J27" s="363">
        <f t="shared" si="4"/>
        <v>119.60000000000001</v>
      </c>
      <c r="K27" s="363">
        <f>I27*G27</f>
        <v>146.9</v>
      </c>
      <c r="L27" s="359">
        <v>0.93</v>
      </c>
      <c r="M27" s="363">
        <f t="shared" si="0"/>
        <v>111.22800000000001</v>
      </c>
      <c r="Q27" s="13">
        <v>29</v>
      </c>
      <c r="R27" s="6" t="s">
        <v>363</v>
      </c>
      <c r="S27" s="62">
        <v>46176</v>
      </c>
      <c r="T27" s="6">
        <v>0.70699999999999996</v>
      </c>
      <c r="U27" s="6"/>
      <c r="V27" s="6"/>
      <c r="AD27" s="13">
        <v>37</v>
      </c>
      <c r="AE27" s="13">
        <v>0.438</v>
      </c>
    </row>
    <row r="28" spans="2:31" x14ac:dyDescent="0.3">
      <c r="B28" s="13">
        <v>31</v>
      </c>
      <c r="C28" s="397">
        <v>46288</v>
      </c>
      <c r="D28" s="6"/>
      <c r="E28" s="6"/>
      <c r="F28" s="13" t="s">
        <v>747</v>
      </c>
      <c r="G28" s="13">
        <v>182</v>
      </c>
      <c r="H28" s="359">
        <v>171</v>
      </c>
      <c r="I28" s="359">
        <v>1.3</v>
      </c>
      <c r="J28" s="363">
        <f t="shared" si="4"/>
        <v>222.3</v>
      </c>
      <c r="K28" s="363">
        <f>I28*G28</f>
        <v>236.6</v>
      </c>
      <c r="L28" s="359">
        <v>2.81</v>
      </c>
      <c r="M28" s="363">
        <f t="shared" si="0"/>
        <v>624.66300000000001</v>
      </c>
      <c r="N28" s="10"/>
      <c r="Q28" s="13">
        <v>32</v>
      </c>
      <c r="R28" s="6" t="s">
        <v>366</v>
      </c>
      <c r="S28" s="62">
        <v>46176</v>
      </c>
      <c r="T28" s="6">
        <v>1.2350000000000001</v>
      </c>
      <c r="U28" s="6"/>
      <c r="V28" s="6"/>
      <c r="AD28" s="13"/>
      <c r="AE28" s="13"/>
    </row>
    <row r="29" spans="2:31" x14ac:dyDescent="0.3">
      <c r="B29" s="13">
        <v>32</v>
      </c>
      <c r="C29" s="397">
        <v>46289</v>
      </c>
      <c r="D29" s="6"/>
      <c r="E29" s="6"/>
      <c r="F29" s="13" t="s">
        <v>372</v>
      </c>
      <c r="G29" s="13">
        <v>86</v>
      </c>
      <c r="H29" s="359">
        <f>59+27</f>
        <v>86</v>
      </c>
      <c r="I29" s="359">
        <v>1.3</v>
      </c>
      <c r="J29" s="363">
        <f t="shared" si="4"/>
        <v>111.8</v>
      </c>
      <c r="K29" s="363">
        <f>I29*G29</f>
        <v>111.8</v>
      </c>
      <c r="L29" s="359">
        <v>0.89</v>
      </c>
      <c r="M29" s="363">
        <f t="shared" si="0"/>
        <v>99.501999999999995</v>
      </c>
      <c r="N29" s="10"/>
      <c r="O29" s="10"/>
      <c r="Q29" s="208">
        <v>33</v>
      </c>
      <c r="R29" s="208" t="s">
        <v>374</v>
      </c>
      <c r="S29" s="73">
        <v>46251</v>
      </c>
      <c r="T29" s="13">
        <v>1.0349999999999999</v>
      </c>
      <c r="U29" s="6"/>
      <c r="V29" s="6"/>
      <c r="AD29" s="13"/>
      <c r="AE29" s="13"/>
    </row>
    <row r="30" spans="2:31" x14ac:dyDescent="0.3">
      <c r="B30" s="13">
        <v>33</v>
      </c>
      <c r="C30" s="397">
        <v>46290</v>
      </c>
      <c r="D30" s="6"/>
      <c r="E30" s="6"/>
      <c r="F30" s="13" t="s">
        <v>372</v>
      </c>
      <c r="G30" s="13">
        <v>113</v>
      </c>
      <c r="H30" s="359">
        <v>92</v>
      </c>
      <c r="I30" s="359">
        <v>1.3</v>
      </c>
      <c r="J30" s="363">
        <f t="shared" si="4"/>
        <v>119.60000000000001</v>
      </c>
      <c r="K30" s="363">
        <f>I30*G30</f>
        <v>146.9</v>
      </c>
      <c r="L30" s="359">
        <v>0.64</v>
      </c>
      <c r="M30" s="363">
        <f t="shared" si="0"/>
        <v>76.544000000000011</v>
      </c>
      <c r="O30" s="244"/>
      <c r="Q30" s="208">
        <v>34</v>
      </c>
      <c r="R30" s="208" t="s">
        <v>375</v>
      </c>
      <c r="S30" s="73">
        <v>46251</v>
      </c>
      <c r="T30" s="13">
        <v>0.52600000000000002</v>
      </c>
      <c r="U30" s="6"/>
      <c r="V30" s="6"/>
      <c r="AD30" s="13"/>
      <c r="AE30" s="13"/>
    </row>
    <row r="31" spans="2:31" x14ac:dyDescent="0.3">
      <c r="B31" s="13">
        <v>34</v>
      </c>
      <c r="C31" s="397">
        <v>46291</v>
      </c>
      <c r="D31" s="6"/>
      <c r="E31" s="6"/>
      <c r="F31" s="13" t="s">
        <v>769</v>
      </c>
      <c r="G31" s="6"/>
      <c r="H31" s="360">
        <v>153</v>
      </c>
      <c r="I31" s="359">
        <v>1.3</v>
      </c>
      <c r="J31" s="363">
        <f t="shared" si="4"/>
        <v>198.9</v>
      </c>
      <c r="K31" s="363"/>
      <c r="L31" s="359"/>
      <c r="M31" s="363"/>
      <c r="O31" s="29"/>
      <c r="Q31" s="208">
        <v>35</v>
      </c>
      <c r="R31" s="208" t="s">
        <v>376</v>
      </c>
      <c r="S31" s="73">
        <v>46251</v>
      </c>
      <c r="T31" s="13">
        <v>0.81599999999999995</v>
      </c>
      <c r="U31" s="6"/>
      <c r="V31" s="6"/>
      <c r="AD31" s="13"/>
      <c r="AE31" s="13"/>
    </row>
    <row r="32" spans="2:31" x14ac:dyDescent="0.3">
      <c r="B32" s="13">
        <v>35</v>
      </c>
      <c r="C32" s="397">
        <v>46292</v>
      </c>
      <c r="D32" s="6"/>
      <c r="E32" s="6"/>
      <c r="F32" s="6" t="s">
        <v>334</v>
      </c>
      <c r="G32" s="6"/>
      <c r="H32" s="360">
        <v>169</v>
      </c>
      <c r="I32" s="359">
        <v>1.3</v>
      </c>
      <c r="J32" s="363">
        <f t="shared" si="4"/>
        <v>219.70000000000002</v>
      </c>
      <c r="K32" s="363"/>
      <c r="L32" s="359"/>
      <c r="M32" s="363"/>
      <c r="O32" s="29"/>
      <c r="Q32" s="208">
        <v>36</v>
      </c>
      <c r="R32" s="208" t="s">
        <v>377</v>
      </c>
      <c r="S32" s="73">
        <v>46251</v>
      </c>
      <c r="T32" s="13">
        <v>0.34399999999999997</v>
      </c>
      <c r="U32" s="6"/>
      <c r="V32" s="6"/>
      <c r="AD32" s="13"/>
      <c r="AE32" s="13"/>
    </row>
    <row r="33" spans="2:38" x14ac:dyDescent="0.3">
      <c r="B33" s="13">
        <v>36</v>
      </c>
      <c r="C33" s="397">
        <v>46294</v>
      </c>
      <c r="D33" s="6"/>
      <c r="E33" s="6"/>
      <c r="F33" s="6" t="s">
        <v>769</v>
      </c>
      <c r="G33" s="6"/>
      <c r="H33" s="360">
        <v>21</v>
      </c>
      <c r="I33" s="359">
        <v>1.3</v>
      </c>
      <c r="J33" s="363">
        <f t="shared" si="4"/>
        <v>27.3</v>
      </c>
      <c r="K33" s="363"/>
      <c r="L33" s="359"/>
      <c r="M33" s="363"/>
      <c r="O33" s="29"/>
      <c r="Q33" s="208">
        <v>37</v>
      </c>
      <c r="R33" s="208" t="s">
        <v>378</v>
      </c>
      <c r="S33" s="73">
        <v>46251</v>
      </c>
      <c r="T33" s="13">
        <v>0.30399999999999999</v>
      </c>
      <c r="U33" s="6"/>
      <c r="V33" s="6"/>
      <c r="AD33" s="13"/>
      <c r="AE33" s="13"/>
    </row>
    <row r="34" spans="2:38" x14ac:dyDescent="0.3">
      <c r="B34" s="131" t="s">
        <v>121</v>
      </c>
      <c r="C34" s="1072"/>
      <c r="D34" s="131"/>
      <c r="E34" s="131"/>
      <c r="F34" s="131"/>
      <c r="G34" s="131"/>
      <c r="H34" s="361"/>
      <c r="I34" s="396">
        <f>AVERAGE(I8:I33)</f>
        <v>1.3373076923076925</v>
      </c>
      <c r="J34" s="361"/>
      <c r="K34" s="361"/>
      <c r="L34" s="396">
        <f>AVERAGE(L8:L22)</f>
        <v>1.8267999999999998</v>
      </c>
      <c r="M34" s="367">
        <f>SUM(M8:M33)</f>
        <v>8322.1650500000014</v>
      </c>
      <c r="N34" s="244"/>
      <c r="O34" s="1115"/>
      <c r="Q34" s="208">
        <v>38</v>
      </c>
      <c r="R34" s="208" t="s">
        <v>379</v>
      </c>
      <c r="S34" s="73">
        <v>46251</v>
      </c>
      <c r="T34" s="13">
        <v>0.74399999999999999</v>
      </c>
      <c r="U34" s="6"/>
      <c r="V34" s="6"/>
      <c r="AD34" s="13">
        <v>40</v>
      </c>
      <c r="AE34" s="13">
        <v>0.45800000000000002</v>
      </c>
      <c r="AG34" s="1480"/>
      <c r="AH34" s="1465"/>
      <c r="AI34" s="1465"/>
      <c r="AJ34" s="1465"/>
      <c r="AK34" s="1465"/>
      <c r="AL34" s="1481"/>
    </row>
    <row r="35" spans="2:38" x14ac:dyDescent="0.3">
      <c r="B35" s="131" t="s">
        <v>17</v>
      </c>
      <c r="C35" s="131"/>
      <c r="D35" s="134"/>
      <c r="E35" s="134"/>
      <c r="F35" s="134"/>
      <c r="G35" s="131">
        <f>SUM(G8:G27)</f>
        <v>1533</v>
      </c>
      <c r="H35" s="361">
        <f>SUM(H8:H33)</f>
        <v>5061</v>
      </c>
      <c r="I35" s="361"/>
      <c r="J35" s="367">
        <f>SUM(J8:J33)</f>
        <v>6678.7300000000014</v>
      </c>
      <c r="K35" s="367">
        <f>SUM(K8:K30)</f>
        <v>2581.8000000000002</v>
      </c>
      <c r="L35" s="396">
        <f>MEDIAN(L8:L22)</f>
        <v>1.1100000000000001</v>
      </c>
      <c r="M35" s="367">
        <f>L35*J35</f>
        <v>7413.3903000000018</v>
      </c>
      <c r="N35" s="1110"/>
      <c r="O35" s="1115"/>
      <c r="Q35" s="208">
        <v>39</v>
      </c>
      <c r="R35" s="208" t="s">
        <v>380</v>
      </c>
      <c r="S35" s="73">
        <v>46251</v>
      </c>
      <c r="T35" s="13">
        <v>0.56299999999999994</v>
      </c>
      <c r="U35" s="208"/>
      <c r="V35" s="208"/>
      <c r="AD35" s="13">
        <v>41</v>
      </c>
      <c r="AE35" s="6">
        <v>0.48799999999999999</v>
      </c>
      <c r="AG35" s="368">
        <v>1</v>
      </c>
      <c r="AH35" s="29">
        <v>0.81</v>
      </c>
      <c r="AJ35" s="1">
        <v>1</v>
      </c>
      <c r="AK35" s="174">
        <v>1.6</v>
      </c>
      <c r="AL35" s="369"/>
    </row>
    <row r="36" spans="2:38" x14ac:dyDescent="0.3">
      <c r="J36" s="362">
        <f>J35-Crushing!N115</f>
        <v>342.08790000000135</v>
      </c>
      <c r="L36" s="366"/>
      <c r="O36" s="29"/>
      <c r="Q36" s="208">
        <v>40</v>
      </c>
      <c r="R36" s="208" t="s">
        <v>381</v>
      </c>
      <c r="S36" s="73">
        <v>46251</v>
      </c>
      <c r="T36" s="13">
        <v>0.438</v>
      </c>
      <c r="U36" s="208"/>
      <c r="V36" s="208"/>
      <c r="Y36" s="2"/>
      <c r="AD36" s="13">
        <v>42</v>
      </c>
      <c r="AE36" s="13">
        <v>0.48899999999999999</v>
      </c>
      <c r="AG36" s="368">
        <v>2</v>
      </c>
      <c r="AH36" s="29">
        <v>0.81</v>
      </c>
      <c r="AJ36" s="1">
        <v>2</v>
      </c>
      <c r="AK36" s="174">
        <v>1.6</v>
      </c>
      <c r="AL36" s="369"/>
    </row>
    <row r="37" spans="2:38" ht="43.2" x14ac:dyDescent="0.3">
      <c r="I37" s="362"/>
      <c r="J37" s="362"/>
      <c r="L37" s="383" t="s">
        <v>427</v>
      </c>
      <c r="M37" s="1061">
        <f>M34/J35</f>
        <v>1.2460699938461355</v>
      </c>
      <c r="N37" s="222"/>
      <c r="Q37" s="208">
        <v>41</v>
      </c>
      <c r="R37" s="208" t="s">
        <v>382</v>
      </c>
      <c r="S37" s="73">
        <v>46251</v>
      </c>
      <c r="T37" s="13">
        <v>0.45800000000000002</v>
      </c>
      <c r="U37" s="208"/>
      <c r="V37" s="208"/>
      <c r="AD37" s="13">
        <v>43</v>
      </c>
      <c r="AE37" s="13">
        <v>0.501</v>
      </c>
      <c r="AG37" s="368">
        <v>3</v>
      </c>
      <c r="AH37" s="29">
        <v>0.81</v>
      </c>
      <c r="AJ37" s="1">
        <v>3</v>
      </c>
      <c r="AK37" s="174">
        <v>1.6</v>
      </c>
      <c r="AL37" s="369"/>
    </row>
    <row r="38" spans="2:38" x14ac:dyDescent="0.3">
      <c r="I38" s="362"/>
      <c r="J38" s="362"/>
      <c r="K38" s="362"/>
      <c r="L38" s="366"/>
      <c r="Q38" s="208">
        <v>42</v>
      </c>
      <c r="R38" s="208" t="s">
        <v>383</v>
      </c>
      <c r="S38" s="73">
        <v>46252</v>
      </c>
      <c r="T38" s="13">
        <v>0.55800000000000005</v>
      </c>
      <c r="U38" s="208"/>
      <c r="V38" s="208"/>
      <c r="AD38" s="13">
        <v>44</v>
      </c>
      <c r="AE38" s="13">
        <v>0.502</v>
      </c>
      <c r="AG38" s="368">
        <v>4</v>
      </c>
      <c r="AH38" s="29">
        <v>0.81</v>
      </c>
      <c r="AJ38" s="1">
        <v>4</v>
      </c>
      <c r="AK38" s="174">
        <v>1.6</v>
      </c>
      <c r="AL38" s="369"/>
    </row>
    <row r="39" spans="2:38" x14ac:dyDescent="0.3">
      <c r="I39" s="362"/>
      <c r="Q39" s="208">
        <v>43</v>
      </c>
      <c r="R39" s="208" t="s">
        <v>384</v>
      </c>
      <c r="S39" s="73">
        <v>46252</v>
      </c>
      <c r="T39" s="13">
        <v>0.501</v>
      </c>
      <c r="U39" s="208"/>
      <c r="V39" s="208"/>
      <c r="AD39" s="13">
        <v>45</v>
      </c>
      <c r="AE39" s="13">
        <v>0.50600000000000001</v>
      </c>
      <c r="AG39" s="368">
        <v>5</v>
      </c>
      <c r="AH39" s="29">
        <v>0.81</v>
      </c>
      <c r="AJ39" s="1">
        <v>5</v>
      </c>
      <c r="AK39" s="174">
        <v>1.6</v>
      </c>
      <c r="AL39" s="369"/>
    </row>
    <row r="40" spans="2:38" x14ac:dyDescent="0.3">
      <c r="J40" s="362"/>
      <c r="Q40" s="208">
        <v>44</v>
      </c>
      <c r="R40" s="208" t="s">
        <v>385</v>
      </c>
      <c r="S40" s="73">
        <v>46252</v>
      </c>
      <c r="T40" s="13">
        <v>1.25</v>
      </c>
      <c r="U40" s="208"/>
      <c r="V40" s="208"/>
      <c r="AD40" s="13">
        <v>46</v>
      </c>
      <c r="AE40" s="13">
        <v>0.52600000000000002</v>
      </c>
      <c r="AG40" s="368">
        <v>6</v>
      </c>
      <c r="AH40" s="29">
        <v>0.81</v>
      </c>
      <c r="AJ40" s="1">
        <v>6</v>
      </c>
      <c r="AK40" s="174">
        <v>1.6</v>
      </c>
      <c r="AL40" s="369"/>
    </row>
    <row r="41" spans="2:38" x14ac:dyDescent="0.3">
      <c r="B41" s="1" t="s">
        <v>370</v>
      </c>
      <c r="C41" s="73">
        <v>46245</v>
      </c>
      <c r="D41" s="13" t="s">
        <v>368</v>
      </c>
      <c r="E41" s="13" t="s">
        <v>369</v>
      </c>
      <c r="F41" s="13"/>
      <c r="G41" s="13"/>
      <c r="H41" s="359">
        <v>271</v>
      </c>
      <c r="I41" s="359">
        <v>1.35</v>
      </c>
      <c r="J41" s="363">
        <f>H41*I41</f>
        <v>365.85</v>
      </c>
      <c r="K41" s="364"/>
      <c r="M41" s="362"/>
      <c r="Q41" s="208">
        <v>45</v>
      </c>
      <c r="R41" s="208" t="s">
        <v>389</v>
      </c>
      <c r="S41" s="262">
        <v>46253</v>
      </c>
      <c r="T41" s="208">
        <v>0.35099999999999998</v>
      </c>
      <c r="U41" s="208"/>
      <c r="V41" s="208"/>
      <c r="AD41" s="13">
        <v>47</v>
      </c>
      <c r="AE41" s="6">
        <v>0.53800000000000003</v>
      </c>
      <c r="AG41" s="368">
        <v>7</v>
      </c>
      <c r="AH41" s="29">
        <v>0.81</v>
      </c>
      <c r="AJ41" s="1">
        <v>7</v>
      </c>
      <c r="AK41" s="174">
        <v>1.6</v>
      </c>
      <c r="AL41" s="369"/>
    </row>
    <row r="42" spans="2:38" x14ac:dyDescent="0.3">
      <c r="J42" s="362"/>
      <c r="Q42" s="208">
        <v>46</v>
      </c>
      <c r="R42" s="208" t="s">
        <v>390</v>
      </c>
      <c r="S42" s="262">
        <v>46253</v>
      </c>
      <c r="T42" s="208">
        <v>2.028</v>
      </c>
      <c r="U42" s="208"/>
      <c r="V42" s="208"/>
      <c r="AD42" s="13">
        <v>48</v>
      </c>
      <c r="AE42" s="13">
        <v>0.54600000000000004</v>
      </c>
      <c r="AG42" s="368">
        <v>8</v>
      </c>
      <c r="AH42" s="29">
        <v>0.81</v>
      </c>
      <c r="AJ42" s="1">
        <v>8</v>
      </c>
      <c r="AK42" s="174">
        <v>1.6</v>
      </c>
      <c r="AL42" s="369"/>
    </row>
    <row r="43" spans="2:38" x14ac:dyDescent="0.3">
      <c r="Q43" s="208">
        <v>47</v>
      </c>
      <c r="R43" s="208" t="s">
        <v>391</v>
      </c>
      <c r="S43" s="262">
        <v>46253</v>
      </c>
      <c r="T43" s="208">
        <v>1.8380000000000001</v>
      </c>
      <c r="U43" s="208"/>
      <c r="V43" s="208"/>
      <c r="AD43" s="13">
        <v>49</v>
      </c>
      <c r="AE43" s="13">
        <v>0.55500000000000005</v>
      </c>
      <c r="AG43" s="368">
        <v>9</v>
      </c>
      <c r="AH43" s="29">
        <v>0.81</v>
      </c>
      <c r="AJ43" s="1">
        <v>9</v>
      </c>
      <c r="AK43" s="174">
        <v>1.6</v>
      </c>
      <c r="AL43" s="369"/>
    </row>
    <row r="44" spans="2:38" x14ac:dyDescent="0.3">
      <c r="G44" s="13">
        <v>41</v>
      </c>
      <c r="J44" s="362"/>
      <c r="Q44" s="208">
        <v>48</v>
      </c>
      <c r="R44" s="208" t="s">
        <v>392</v>
      </c>
      <c r="S44" s="262">
        <v>46253</v>
      </c>
      <c r="T44" s="208">
        <v>1.3220000000000001</v>
      </c>
      <c r="U44" s="208"/>
      <c r="V44" s="208"/>
      <c r="AD44" s="13">
        <v>50</v>
      </c>
      <c r="AE44" s="13">
        <v>0.55600000000000005</v>
      </c>
      <c r="AG44" s="368">
        <v>10</v>
      </c>
      <c r="AH44" s="29">
        <v>0.81</v>
      </c>
      <c r="AJ44" s="1">
        <v>10</v>
      </c>
      <c r="AK44" s="174">
        <v>1.6</v>
      </c>
      <c r="AL44" s="369"/>
    </row>
    <row r="45" spans="2:38" x14ac:dyDescent="0.3">
      <c r="G45" s="13">
        <v>16</v>
      </c>
      <c r="Q45" s="208">
        <v>49</v>
      </c>
      <c r="R45" s="208" t="s">
        <v>393</v>
      </c>
      <c r="S45" s="262">
        <v>46253</v>
      </c>
      <c r="T45" s="208">
        <v>0.65100000000000002</v>
      </c>
      <c r="U45" s="208"/>
      <c r="V45" s="208"/>
      <c r="AD45" s="13">
        <v>51</v>
      </c>
      <c r="AE45" s="13">
        <v>0.55800000000000005</v>
      </c>
      <c r="AG45" s="368">
        <v>11</v>
      </c>
      <c r="AH45" s="29">
        <v>0.81</v>
      </c>
      <c r="AJ45" s="1">
        <v>11</v>
      </c>
      <c r="AK45" s="174">
        <v>1.6</v>
      </c>
      <c r="AL45" s="369"/>
    </row>
    <row r="46" spans="2:38" x14ac:dyDescent="0.3">
      <c r="G46" s="13">
        <v>93</v>
      </c>
      <c r="I46" s="362"/>
      <c r="Q46" s="208">
        <v>50</v>
      </c>
      <c r="R46" s="208" t="s">
        <v>394</v>
      </c>
      <c r="S46" s="262">
        <v>46253</v>
      </c>
      <c r="T46" s="208">
        <v>0.50600000000000001</v>
      </c>
      <c r="U46" s="208"/>
      <c r="V46" s="208"/>
      <c r="AD46" s="13">
        <v>52</v>
      </c>
      <c r="AE46" s="13">
        <v>0.55800000000000005</v>
      </c>
      <c r="AG46" s="368">
        <v>12</v>
      </c>
      <c r="AH46" s="29">
        <v>0.81</v>
      </c>
      <c r="AJ46" s="1">
        <v>12</v>
      </c>
      <c r="AK46" s="174">
        <v>1.6</v>
      </c>
      <c r="AL46" s="369"/>
    </row>
    <row r="47" spans="2:38" x14ac:dyDescent="0.3">
      <c r="G47" s="13">
        <v>40</v>
      </c>
      <c r="H47" s="357">
        <f>1800+1000</f>
        <v>2800</v>
      </c>
      <c r="Q47" s="208">
        <v>51</v>
      </c>
      <c r="R47" s="208" t="s">
        <v>395</v>
      </c>
      <c r="S47" s="262">
        <v>46253</v>
      </c>
      <c r="T47" s="208">
        <v>0.67300000000000004</v>
      </c>
      <c r="U47" s="208"/>
      <c r="V47" s="208"/>
      <c r="AD47" s="13">
        <v>53</v>
      </c>
      <c r="AE47" s="13">
        <v>0.56200000000000006</v>
      </c>
      <c r="AG47" s="368">
        <v>13</v>
      </c>
      <c r="AH47" s="29">
        <v>0.81</v>
      </c>
      <c r="AJ47" s="1">
        <v>13</v>
      </c>
      <c r="AK47" s="174">
        <v>1.6</v>
      </c>
      <c r="AL47" s="369"/>
    </row>
    <row r="48" spans="2:38" x14ac:dyDescent="0.3">
      <c r="G48" s="13">
        <v>13</v>
      </c>
      <c r="Q48" s="208">
        <v>52</v>
      </c>
      <c r="R48" s="208" t="s">
        <v>396</v>
      </c>
      <c r="S48" s="262">
        <v>46253</v>
      </c>
      <c r="T48" s="208">
        <v>0.66200000000000003</v>
      </c>
      <c r="U48" s="208"/>
      <c r="V48" s="208"/>
      <c r="AD48" s="13">
        <v>54</v>
      </c>
      <c r="AE48" s="13">
        <v>0.56299999999999994</v>
      </c>
      <c r="AG48" s="368">
        <v>14</v>
      </c>
      <c r="AH48" s="29">
        <v>0.81</v>
      </c>
      <c r="AJ48" s="1">
        <v>14</v>
      </c>
      <c r="AK48" s="174">
        <v>1.6</v>
      </c>
      <c r="AL48" s="369"/>
    </row>
    <row r="49" spans="7:38" x14ac:dyDescent="0.3">
      <c r="G49" s="13">
        <v>190</v>
      </c>
      <c r="Q49" s="208">
        <v>53</v>
      </c>
      <c r="R49" s="208" t="s">
        <v>397</v>
      </c>
      <c r="S49" s="262">
        <v>46253</v>
      </c>
      <c r="T49" s="208">
        <v>0.55500000000000005</v>
      </c>
      <c r="U49" s="208"/>
      <c r="V49" s="208"/>
      <c r="AD49" s="13">
        <v>55</v>
      </c>
      <c r="AE49" s="13">
        <v>0.57399999999999995</v>
      </c>
      <c r="AG49" s="368">
        <v>15</v>
      </c>
      <c r="AH49" s="29">
        <v>0.81</v>
      </c>
      <c r="AJ49" s="1">
        <v>15</v>
      </c>
      <c r="AK49" s="174">
        <v>1.6</v>
      </c>
      <c r="AL49" s="369"/>
    </row>
    <row r="50" spans="7:38" x14ac:dyDescent="0.3">
      <c r="G50" s="13">
        <v>220</v>
      </c>
      <c r="Q50" s="208">
        <v>54</v>
      </c>
      <c r="R50" s="208" t="s">
        <v>398</v>
      </c>
      <c r="S50" s="262">
        <v>46253</v>
      </c>
      <c r="T50" s="208">
        <v>0.81299999999999994</v>
      </c>
      <c r="U50" s="208"/>
      <c r="V50" s="208"/>
      <c r="AD50" s="13">
        <v>56</v>
      </c>
      <c r="AE50" s="13">
        <v>0.57599999999999996</v>
      </c>
      <c r="AG50" s="368">
        <v>16</v>
      </c>
      <c r="AH50" s="29">
        <v>0.81</v>
      </c>
      <c r="AJ50" s="1">
        <v>16</v>
      </c>
      <c r="AK50" s="174">
        <v>1.6</v>
      </c>
      <c r="AL50" s="369"/>
    </row>
    <row r="51" spans="7:38" x14ac:dyDescent="0.3">
      <c r="Q51" s="208">
        <v>55</v>
      </c>
      <c r="R51" s="208" t="s">
        <v>399</v>
      </c>
      <c r="S51" s="262">
        <v>46253</v>
      </c>
      <c r="T51" s="208">
        <v>1.147</v>
      </c>
      <c r="U51" s="208"/>
      <c r="V51" s="208"/>
      <c r="AD51" s="13">
        <v>57</v>
      </c>
      <c r="AE51" s="13">
        <v>0.57599999999999996</v>
      </c>
      <c r="AG51" s="368">
        <v>17</v>
      </c>
      <c r="AH51" s="29">
        <v>0.81</v>
      </c>
      <c r="AJ51" s="1">
        <v>17</v>
      </c>
      <c r="AK51" s="174">
        <v>1.6</v>
      </c>
      <c r="AL51" s="369"/>
    </row>
    <row r="52" spans="7:38" x14ac:dyDescent="0.3">
      <c r="Q52" s="208">
        <v>56</v>
      </c>
      <c r="R52" s="208" t="s">
        <v>400</v>
      </c>
      <c r="S52" s="262">
        <v>46253</v>
      </c>
      <c r="T52" s="208">
        <v>1.9410000000000001</v>
      </c>
      <c r="U52" s="208"/>
      <c r="V52" s="208"/>
      <c r="AD52" s="13">
        <v>58</v>
      </c>
      <c r="AE52" s="13">
        <v>0.60399999999999998</v>
      </c>
      <c r="AG52" s="368">
        <v>18</v>
      </c>
      <c r="AH52" s="29">
        <v>0.81</v>
      </c>
      <c r="AJ52" s="1">
        <v>18</v>
      </c>
      <c r="AK52" s="174">
        <v>1.6</v>
      </c>
      <c r="AL52" s="369"/>
    </row>
    <row r="53" spans="7:38" x14ac:dyDescent="0.3">
      <c r="Q53" s="208">
        <v>57</v>
      </c>
      <c r="R53" s="208" t="s">
        <v>401</v>
      </c>
      <c r="S53" s="262">
        <v>46253</v>
      </c>
      <c r="T53" s="208">
        <v>0.48899999999999999</v>
      </c>
      <c r="U53" s="208"/>
      <c r="V53" s="208"/>
      <c r="AD53" s="13">
        <v>59</v>
      </c>
      <c r="AE53" s="13">
        <v>0.60399999999999998</v>
      </c>
      <c r="AG53" s="368">
        <v>19</v>
      </c>
      <c r="AH53" s="29">
        <v>0.81</v>
      </c>
      <c r="AJ53" s="1">
        <v>19</v>
      </c>
      <c r="AK53" s="174">
        <v>1.6</v>
      </c>
      <c r="AL53" s="369"/>
    </row>
    <row r="54" spans="7:38" x14ac:dyDescent="0.3">
      <c r="Q54" s="208">
        <v>58</v>
      </c>
      <c r="R54" s="208" t="s">
        <v>402</v>
      </c>
      <c r="S54" s="262">
        <v>46253</v>
      </c>
      <c r="T54" s="208">
        <v>0.55600000000000005</v>
      </c>
      <c r="U54" s="208"/>
      <c r="V54" s="208"/>
      <c r="AD54" s="13">
        <v>60</v>
      </c>
      <c r="AE54" s="6">
        <v>0.61099999999999999</v>
      </c>
      <c r="AG54" s="368">
        <v>20</v>
      </c>
      <c r="AH54" s="29">
        <v>0.81</v>
      </c>
      <c r="AJ54" s="1">
        <v>20</v>
      </c>
      <c r="AK54" s="174">
        <v>1.6</v>
      </c>
      <c r="AL54" s="369"/>
    </row>
    <row r="55" spans="7:38" x14ac:dyDescent="0.3">
      <c r="Q55" s="208">
        <v>59</v>
      </c>
      <c r="R55" s="208" t="s">
        <v>403</v>
      </c>
      <c r="S55" s="262">
        <v>46253</v>
      </c>
      <c r="T55" s="6">
        <v>3.032</v>
      </c>
      <c r="U55" s="208"/>
      <c r="V55" s="208"/>
      <c r="AD55" s="13">
        <v>61</v>
      </c>
      <c r="AE55" s="6">
        <v>0.61299999999999999</v>
      </c>
      <c r="AG55" s="368">
        <v>21</v>
      </c>
      <c r="AH55" s="29">
        <v>0.81</v>
      </c>
      <c r="AJ55" s="1">
        <v>21</v>
      </c>
      <c r="AK55" s="174">
        <v>1.6</v>
      </c>
      <c r="AL55" s="369"/>
    </row>
    <row r="56" spans="7:38" x14ac:dyDescent="0.3">
      <c r="Q56" s="208">
        <v>60</v>
      </c>
      <c r="R56" s="208" t="s">
        <v>383</v>
      </c>
      <c r="S56" s="262">
        <v>46253</v>
      </c>
      <c r="T56" s="6">
        <v>0.63200000000000001</v>
      </c>
      <c r="U56" s="208"/>
      <c r="V56" s="208"/>
      <c r="AD56" s="13">
        <v>62</v>
      </c>
      <c r="AE56" s="6">
        <v>0.61299999999999999</v>
      </c>
      <c r="AG56" s="368">
        <v>22</v>
      </c>
      <c r="AH56" s="29">
        <v>0.81</v>
      </c>
      <c r="AJ56" s="1">
        <v>22</v>
      </c>
      <c r="AK56" s="174">
        <v>1.6</v>
      </c>
      <c r="AL56" s="369"/>
    </row>
    <row r="57" spans="7:38" x14ac:dyDescent="0.3">
      <c r="Q57" s="208">
        <v>61</v>
      </c>
      <c r="R57" s="208" t="s">
        <v>384</v>
      </c>
      <c r="S57" s="262">
        <v>46253</v>
      </c>
      <c r="T57" s="6">
        <v>1.0429999999999999</v>
      </c>
      <c r="U57" s="208"/>
      <c r="V57" s="208"/>
      <c r="AD57" s="13">
        <v>63</v>
      </c>
      <c r="AE57" s="13">
        <v>0.61599999999999999</v>
      </c>
      <c r="AG57" s="368">
        <v>23</v>
      </c>
      <c r="AH57" s="29">
        <v>0.81</v>
      </c>
      <c r="AJ57" s="1">
        <v>23</v>
      </c>
      <c r="AK57" s="174">
        <v>1.6</v>
      </c>
      <c r="AL57" s="369"/>
    </row>
    <row r="58" spans="7:38" x14ac:dyDescent="0.3">
      <c r="Q58" s="208">
        <v>62</v>
      </c>
      <c r="R58" s="208" t="s">
        <v>385</v>
      </c>
      <c r="S58" s="262">
        <v>46253</v>
      </c>
      <c r="T58" s="6">
        <v>1.59</v>
      </c>
      <c r="U58" s="208"/>
      <c r="V58" s="208"/>
      <c r="AD58" s="13">
        <v>64</v>
      </c>
      <c r="AE58" s="13">
        <v>0.63200000000000001</v>
      </c>
      <c r="AG58" s="368">
        <v>24</v>
      </c>
      <c r="AH58" s="29">
        <v>0.81</v>
      </c>
      <c r="AJ58" s="1">
        <v>24</v>
      </c>
      <c r="AK58" s="174">
        <v>1.6</v>
      </c>
      <c r="AL58" s="369"/>
    </row>
    <row r="59" spans="7:38" x14ac:dyDescent="0.3">
      <c r="Q59" s="208">
        <v>63</v>
      </c>
      <c r="R59" s="208" t="s">
        <v>404</v>
      </c>
      <c r="S59" s="262">
        <v>46253</v>
      </c>
      <c r="T59" s="6">
        <v>0.33700000000000002</v>
      </c>
      <c r="U59" s="208"/>
      <c r="V59" s="208"/>
      <c r="AD59" s="13">
        <v>65</v>
      </c>
      <c r="AE59" s="13">
        <v>0.63500000000000001</v>
      </c>
      <c r="AG59" s="368">
        <v>25</v>
      </c>
      <c r="AH59" s="29">
        <v>0.81</v>
      </c>
      <c r="AJ59" s="1">
        <v>25</v>
      </c>
      <c r="AK59" s="174">
        <v>1.6</v>
      </c>
      <c r="AL59" s="369"/>
    </row>
    <row r="60" spans="7:38" x14ac:dyDescent="0.3">
      <c r="Q60" s="208">
        <v>64</v>
      </c>
      <c r="R60" s="208" t="s">
        <v>405</v>
      </c>
      <c r="S60" s="262">
        <v>46253</v>
      </c>
      <c r="T60" s="6">
        <v>0.252</v>
      </c>
      <c r="U60" s="208"/>
      <c r="V60" s="208"/>
      <c r="AD60" s="13">
        <v>66</v>
      </c>
      <c r="AE60" s="13">
        <v>0.65100000000000002</v>
      </c>
      <c r="AG60" s="368">
        <v>26</v>
      </c>
      <c r="AH60" s="29">
        <v>0.81</v>
      </c>
      <c r="AJ60" s="1">
        <v>26</v>
      </c>
      <c r="AK60" s="174">
        <v>1.6</v>
      </c>
      <c r="AL60" s="369"/>
    </row>
    <row r="61" spans="7:38" x14ac:dyDescent="0.3">
      <c r="Q61" s="208">
        <v>65</v>
      </c>
      <c r="R61" s="208" t="s">
        <v>389</v>
      </c>
      <c r="S61" s="262">
        <v>46254</v>
      </c>
      <c r="T61" s="6">
        <v>0.90500000000000003</v>
      </c>
      <c r="U61" s="6"/>
      <c r="V61" s="6"/>
      <c r="AD61" s="13">
        <v>67</v>
      </c>
      <c r="AE61" s="13">
        <v>0.66200000000000003</v>
      </c>
      <c r="AG61" s="368">
        <v>27</v>
      </c>
      <c r="AH61" s="29">
        <v>0.81</v>
      </c>
      <c r="AJ61" s="1">
        <v>27</v>
      </c>
      <c r="AK61" s="174">
        <v>1.6</v>
      </c>
      <c r="AL61" s="369"/>
    </row>
    <row r="62" spans="7:38" x14ac:dyDescent="0.3">
      <c r="Q62" s="208">
        <v>66</v>
      </c>
      <c r="R62" s="208" t="s">
        <v>391</v>
      </c>
      <c r="S62" s="262">
        <v>46254</v>
      </c>
      <c r="T62" s="6">
        <v>0.91200000000000003</v>
      </c>
      <c r="U62" s="6"/>
      <c r="V62" s="6"/>
      <c r="AD62" s="13">
        <v>68</v>
      </c>
      <c r="AE62" s="13">
        <v>0.66300000000000003</v>
      </c>
      <c r="AG62" s="368">
        <v>28</v>
      </c>
      <c r="AH62" s="29">
        <v>0.81</v>
      </c>
      <c r="AJ62" s="1">
        <v>28</v>
      </c>
      <c r="AK62" s="174">
        <v>1.6</v>
      </c>
      <c r="AL62" s="369"/>
    </row>
    <row r="63" spans="7:38" x14ac:dyDescent="0.3">
      <c r="Q63" s="208">
        <v>67</v>
      </c>
      <c r="R63" s="208" t="s">
        <v>393</v>
      </c>
      <c r="S63" s="262">
        <v>46254</v>
      </c>
      <c r="T63" s="6">
        <v>0.21199999999999999</v>
      </c>
      <c r="U63" s="6"/>
      <c r="V63" s="6"/>
      <c r="AD63" s="13">
        <v>69</v>
      </c>
      <c r="AE63" s="13">
        <v>0.67300000000000004</v>
      </c>
      <c r="AG63" s="368">
        <v>29</v>
      </c>
      <c r="AH63" s="29">
        <v>0.81</v>
      </c>
      <c r="AJ63" s="1">
        <v>29</v>
      </c>
      <c r="AK63" s="174">
        <v>1.6</v>
      </c>
      <c r="AL63" s="369"/>
    </row>
    <row r="64" spans="7:38" x14ac:dyDescent="0.3">
      <c r="Q64" s="208">
        <v>68</v>
      </c>
      <c r="R64" s="208" t="s">
        <v>395</v>
      </c>
      <c r="S64" s="262">
        <v>46254</v>
      </c>
      <c r="T64" s="6">
        <v>0.32300000000000001</v>
      </c>
      <c r="U64" s="6"/>
      <c r="V64" s="6"/>
      <c r="AD64" s="13">
        <v>70</v>
      </c>
      <c r="AE64" s="13">
        <v>0.69599999999999995</v>
      </c>
      <c r="AG64" s="368">
        <v>30</v>
      </c>
      <c r="AH64" s="29">
        <v>0.81</v>
      </c>
      <c r="AJ64" s="1">
        <v>30</v>
      </c>
      <c r="AK64" s="174">
        <v>1.6</v>
      </c>
      <c r="AL64" s="369"/>
    </row>
    <row r="65" spans="17:38" x14ac:dyDescent="0.3">
      <c r="Q65" s="208">
        <v>69</v>
      </c>
      <c r="R65" s="208" t="s">
        <v>397</v>
      </c>
      <c r="S65" s="262">
        <v>46254</v>
      </c>
      <c r="T65" s="6">
        <v>0.63500000000000001</v>
      </c>
      <c r="U65" s="6"/>
      <c r="V65" s="6"/>
      <c r="AD65" s="13">
        <v>71</v>
      </c>
      <c r="AE65" s="13">
        <v>0.70199999999999996</v>
      </c>
      <c r="AG65" s="368">
        <v>31</v>
      </c>
      <c r="AH65" s="29">
        <v>0.81</v>
      </c>
      <c r="AJ65" s="1">
        <v>31</v>
      </c>
      <c r="AK65" s="174">
        <v>1.6</v>
      </c>
      <c r="AL65" s="369"/>
    </row>
    <row r="66" spans="17:38" x14ac:dyDescent="0.3">
      <c r="Q66" s="208">
        <v>70</v>
      </c>
      <c r="R66" s="208" t="s">
        <v>399</v>
      </c>
      <c r="S66" s="262">
        <v>46254</v>
      </c>
      <c r="T66" s="6">
        <v>0.45500000000000002</v>
      </c>
      <c r="U66" s="6"/>
      <c r="V66" s="6"/>
      <c r="AD66" s="13">
        <v>72</v>
      </c>
      <c r="AE66" s="13">
        <v>0.70699999999999996</v>
      </c>
      <c r="AG66" s="368">
        <v>32</v>
      </c>
      <c r="AH66" s="29">
        <v>0.81</v>
      </c>
      <c r="AJ66" s="1">
        <v>32</v>
      </c>
      <c r="AK66" s="174">
        <v>1.6</v>
      </c>
      <c r="AL66" s="369"/>
    </row>
    <row r="67" spans="17:38" x14ac:dyDescent="0.3">
      <c r="Q67" s="208">
        <v>71</v>
      </c>
      <c r="R67" s="208" t="s">
        <v>401</v>
      </c>
      <c r="S67" s="262">
        <v>46254</v>
      </c>
      <c r="T67" s="6">
        <v>9.9000000000000005E-2</v>
      </c>
      <c r="U67" s="6"/>
      <c r="V67" s="6"/>
      <c r="AD67" s="13">
        <v>73</v>
      </c>
      <c r="AE67" s="13">
        <v>0.73199999999999998</v>
      </c>
      <c r="AG67" s="368">
        <v>33</v>
      </c>
      <c r="AH67" s="29">
        <v>0.81</v>
      </c>
      <c r="AJ67" s="1">
        <v>33</v>
      </c>
      <c r="AK67" s="174">
        <v>1.6</v>
      </c>
      <c r="AL67" s="369"/>
    </row>
    <row r="68" spans="17:38" x14ac:dyDescent="0.3">
      <c r="Q68" s="208">
        <v>72</v>
      </c>
      <c r="R68" s="208" t="s">
        <v>403</v>
      </c>
      <c r="S68" s="262">
        <v>46254</v>
      </c>
      <c r="T68" s="6">
        <v>0.69599999999999995</v>
      </c>
      <c r="U68" s="6"/>
      <c r="V68" s="6"/>
      <c r="AD68" s="13">
        <v>74</v>
      </c>
      <c r="AE68" s="13">
        <v>0.73499999999999999</v>
      </c>
      <c r="AG68" s="368">
        <v>34</v>
      </c>
      <c r="AH68" s="29">
        <v>0.81</v>
      </c>
      <c r="AJ68" s="1">
        <v>34</v>
      </c>
      <c r="AK68" s="174">
        <v>1.6</v>
      </c>
      <c r="AL68" s="369"/>
    </row>
    <row r="69" spans="17:38" x14ac:dyDescent="0.3">
      <c r="Q69" s="208">
        <v>73</v>
      </c>
      <c r="R69" s="208" t="s">
        <v>384</v>
      </c>
      <c r="S69" s="262">
        <v>46254</v>
      </c>
      <c r="T69" s="6">
        <v>0.34</v>
      </c>
      <c r="U69" s="6"/>
      <c r="V69" s="6"/>
      <c r="AD69" s="13">
        <v>75</v>
      </c>
      <c r="AE69" s="13">
        <v>0.74399999999999999</v>
      </c>
      <c r="AG69" s="368">
        <v>35</v>
      </c>
      <c r="AH69" s="29">
        <v>0.81</v>
      </c>
      <c r="AJ69" s="1">
        <v>35</v>
      </c>
      <c r="AK69" s="174">
        <v>1.6</v>
      </c>
      <c r="AL69" s="369"/>
    </row>
    <row r="70" spans="17:38" x14ac:dyDescent="0.3">
      <c r="Q70" s="208">
        <v>74</v>
      </c>
      <c r="R70" s="208" t="s">
        <v>404</v>
      </c>
      <c r="S70" s="262">
        <v>46254</v>
      </c>
      <c r="T70" s="6">
        <v>0.98199999999999998</v>
      </c>
      <c r="U70" s="6"/>
      <c r="V70" s="6"/>
      <c r="AD70" s="13">
        <v>76</v>
      </c>
      <c r="AE70" s="13">
        <v>0.751</v>
      </c>
      <c r="AG70" s="368">
        <v>36</v>
      </c>
      <c r="AH70" s="29">
        <v>0.81</v>
      </c>
      <c r="AJ70" s="1">
        <v>36</v>
      </c>
      <c r="AK70" s="174">
        <v>1.6</v>
      </c>
      <c r="AL70" s="369"/>
    </row>
    <row r="71" spans="17:38" x14ac:dyDescent="0.3">
      <c r="Q71" s="208">
        <v>75</v>
      </c>
      <c r="R71" s="208" t="s">
        <v>406</v>
      </c>
      <c r="S71" s="262">
        <v>46254</v>
      </c>
      <c r="T71" s="6">
        <v>1.0880000000000001</v>
      </c>
      <c r="U71" s="6"/>
      <c r="V71" s="6"/>
      <c r="AD71" s="13">
        <v>77</v>
      </c>
      <c r="AE71" s="13">
        <v>0.76500000000000001</v>
      </c>
      <c r="AG71" s="368">
        <v>37</v>
      </c>
      <c r="AH71" s="29">
        <v>0.81</v>
      </c>
      <c r="AJ71" s="1">
        <v>37</v>
      </c>
      <c r="AK71" s="174">
        <v>1.6</v>
      </c>
      <c r="AL71" s="369"/>
    </row>
    <row r="72" spans="17:38" x14ac:dyDescent="0.3">
      <c r="Q72" s="208">
        <v>76</v>
      </c>
      <c r="R72" s="208" t="s">
        <v>389</v>
      </c>
      <c r="S72" s="262">
        <v>46255</v>
      </c>
      <c r="T72" s="6">
        <v>0.57399999999999995</v>
      </c>
      <c r="U72" s="6"/>
      <c r="V72" s="6"/>
      <c r="AD72" s="13">
        <v>78</v>
      </c>
      <c r="AE72" s="13">
        <v>0.79</v>
      </c>
      <c r="AG72" s="368">
        <v>38</v>
      </c>
      <c r="AH72" s="29">
        <v>0.81</v>
      </c>
      <c r="AJ72" s="1">
        <v>38</v>
      </c>
      <c r="AK72" s="174">
        <v>1.6</v>
      </c>
      <c r="AL72" s="369"/>
    </row>
    <row r="73" spans="17:38" x14ac:dyDescent="0.3">
      <c r="Q73" s="208">
        <v>77</v>
      </c>
      <c r="R73" s="208" t="s">
        <v>391</v>
      </c>
      <c r="S73" s="262">
        <v>46255</v>
      </c>
      <c r="T73" s="6">
        <v>0.35399999999999998</v>
      </c>
      <c r="U73" s="6"/>
      <c r="V73" s="6"/>
      <c r="AD73" s="13">
        <v>79</v>
      </c>
      <c r="AE73" s="13">
        <v>0.79700000000000004</v>
      </c>
      <c r="AG73" s="368">
        <v>39</v>
      </c>
      <c r="AH73" s="29">
        <v>0.81</v>
      </c>
      <c r="AJ73" s="1">
        <v>39</v>
      </c>
      <c r="AK73" s="174">
        <v>1.6</v>
      </c>
      <c r="AL73" s="369"/>
    </row>
    <row r="74" spans="17:38" x14ac:dyDescent="0.3">
      <c r="Q74" s="208">
        <v>78</v>
      </c>
      <c r="R74" s="208" t="s">
        <v>393</v>
      </c>
      <c r="S74" s="262">
        <v>46255</v>
      </c>
      <c r="T74" s="6">
        <v>0.80200000000000005</v>
      </c>
      <c r="U74" s="6"/>
      <c r="V74" s="6"/>
      <c r="AD74" s="13">
        <v>80</v>
      </c>
      <c r="AE74" s="13">
        <v>0.80200000000000005</v>
      </c>
      <c r="AG74" s="368">
        <v>40</v>
      </c>
      <c r="AH74" s="29">
        <v>0.81</v>
      </c>
      <c r="AJ74" s="1">
        <v>40</v>
      </c>
      <c r="AK74" s="174">
        <v>1.6</v>
      </c>
      <c r="AL74" s="369"/>
    </row>
    <row r="75" spans="17:38" x14ac:dyDescent="0.3">
      <c r="Q75" s="208">
        <v>79</v>
      </c>
      <c r="R75" s="208" t="s">
        <v>395</v>
      </c>
      <c r="S75" s="262">
        <v>46255</v>
      </c>
      <c r="T75" s="6">
        <v>0.16</v>
      </c>
      <c r="U75" s="6"/>
      <c r="V75" s="6"/>
      <c r="AD75" s="13">
        <v>81</v>
      </c>
      <c r="AE75" s="13">
        <v>0.81299999999999994</v>
      </c>
      <c r="AG75" s="368">
        <v>41</v>
      </c>
      <c r="AH75" s="29">
        <v>0.81</v>
      </c>
      <c r="AJ75" s="1">
        <v>41</v>
      </c>
      <c r="AK75" s="174">
        <v>1.6</v>
      </c>
      <c r="AL75" s="369"/>
    </row>
    <row r="76" spans="17:38" x14ac:dyDescent="0.3">
      <c r="Q76" s="208">
        <v>80</v>
      </c>
      <c r="R76" s="208" t="s">
        <v>397</v>
      </c>
      <c r="S76" s="262">
        <v>46255</v>
      </c>
      <c r="T76" s="6">
        <v>0.96199999999999997</v>
      </c>
      <c r="U76" s="6"/>
      <c r="V76" s="6"/>
      <c r="AD76" s="13">
        <v>82</v>
      </c>
      <c r="AE76" s="13">
        <v>0.81599999999999995</v>
      </c>
      <c r="AG76" s="368">
        <v>42</v>
      </c>
      <c r="AH76" s="29">
        <v>0.81</v>
      </c>
      <c r="AJ76" s="1">
        <v>42</v>
      </c>
      <c r="AK76" s="174">
        <v>1.6</v>
      </c>
      <c r="AL76" s="369"/>
    </row>
    <row r="77" spans="17:38" x14ac:dyDescent="0.3">
      <c r="Q77" s="208">
        <v>81</v>
      </c>
      <c r="R77" s="208" t="s">
        <v>399</v>
      </c>
      <c r="S77" s="262">
        <v>46255</v>
      </c>
      <c r="T77" s="6">
        <v>0.42199999999999999</v>
      </c>
      <c r="U77" s="6"/>
      <c r="V77" s="6"/>
      <c r="AD77" s="13">
        <v>83</v>
      </c>
      <c r="AE77" s="6">
        <v>0.83599999999999997</v>
      </c>
      <c r="AG77" s="368">
        <v>43</v>
      </c>
      <c r="AH77" s="29">
        <v>0.81</v>
      </c>
      <c r="AJ77" s="1">
        <v>43</v>
      </c>
      <c r="AK77" s="174">
        <v>1.6</v>
      </c>
      <c r="AL77" s="369"/>
    </row>
    <row r="78" spans="17:38" x14ac:dyDescent="0.3">
      <c r="Q78" s="208">
        <v>82</v>
      </c>
      <c r="R78" s="208" t="s">
        <v>401</v>
      </c>
      <c r="S78" s="262">
        <v>46255</v>
      </c>
      <c r="T78" s="6">
        <v>0.16700000000000001</v>
      </c>
      <c r="U78" s="6"/>
      <c r="V78" s="6"/>
      <c r="AD78" s="13">
        <v>84</v>
      </c>
      <c r="AE78" s="13">
        <v>0.83899999999999997</v>
      </c>
      <c r="AG78" s="368">
        <v>44</v>
      </c>
      <c r="AH78" s="29">
        <v>0.81</v>
      </c>
      <c r="AJ78" s="1">
        <v>44</v>
      </c>
      <c r="AK78" s="174">
        <v>1.6</v>
      </c>
      <c r="AL78" s="369"/>
    </row>
    <row r="79" spans="17:38" x14ac:dyDescent="0.3">
      <c r="Q79" s="208">
        <v>83</v>
      </c>
      <c r="R79" s="208" t="s">
        <v>403</v>
      </c>
      <c r="S79" s="262">
        <v>46255</v>
      </c>
      <c r="T79" s="6">
        <v>0.31</v>
      </c>
      <c r="U79" s="6"/>
      <c r="V79" s="6"/>
      <c r="AD79" s="13">
        <v>85</v>
      </c>
      <c r="AE79" s="13">
        <v>0.84699999999999998</v>
      </c>
      <c r="AG79" s="368">
        <v>45</v>
      </c>
      <c r="AH79" s="29">
        <v>0.81</v>
      </c>
      <c r="AJ79" s="1">
        <v>45</v>
      </c>
      <c r="AK79" s="174">
        <v>1.6</v>
      </c>
      <c r="AL79" s="369"/>
    </row>
    <row r="80" spans="17:38" x14ac:dyDescent="0.3">
      <c r="Q80" s="208">
        <v>84</v>
      </c>
      <c r="R80" s="208" t="s">
        <v>384</v>
      </c>
      <c r="S80" s="262">
        <v>46255</v>
      </c>
      <c r="T80" s="6">
        <v>0.23100000000000001</v>
      </c>
      <c r="U80" s="6"/>
      <c r="V80" s="6"/>
      <c r="AD80" s="13">
        <v>86</v>
      </c>
      <c r="AE80" s="13">
        <v>0.86299999999999999</v>
      </c>
      <c r="AG80" s="368">
        <v>46</v>
      </c>
      <c r="AH80" s="29">
        <v>0.81</v>
      </c>
      <c r="AJ80" s="1">
        <v>46</v>
      </c>
      <c r="AK80" s="174">
        <v>1.6</v>
      </c>
      <c r="AL80" s="369"/>
    </row>
    <row r="81" spans="17:38" x14ac:dyDescent="0.3">
      <c r="Q81" s="208">
        <v>85</v>
      </c>
      <c r="R81" s="208" t="s">
        <v>391</v>
      </c>
      <c r="S81" s="262">
        <v>46256</v>
      </c>
      <c r="T81" s="6">
        <v>2.5209999999999999</v>
      </c>
      <c r="U81" s="6"/>
      <c r="V81" s="6"/>
      <c r="AD81" s="13">
        <v>87</v>
      </c>
      <c r="AE81" s="13">
        <v>0.90500000000000003</v>
      </c>
      <c r="AG81" s="368">
        <v>47</v>
      </c>
      <c r="AH81" s="29">
        <v>0.81</v>
      </c>
      <c r="AJ81" s="1">
        <v>47</v>
      </c>
      <c r="AK81" s="174">
        <v>1.6</v>
      </c>
      <c r="AL81" s="369"/>
    </row>
    <row r="82" spans="17:38" x14ac:dyDescent="0.3">
      <c r="Q82" s="208">
        <v>86</v>
      </c>
      <c r="R82" s="208" t="s">
        <v>393</v>
      </c>
      <c r="S82" s="262">
        <v>46256</v>
      </c>
      <c r="T82" s="6">
        <v>0.308</v>
      </c>
      <c r="U82" s="6"/>
      <c r="V82" s="6"/>
      <c r="AD82" s="13">
        <v>88</v>
      </c>
      <c r="AE82" s="13">
        <v>0.91200000000000003</v>
      </c>
      <c r="AG82" s="368">
        <v>48</v>
      </c>
      <c r="AH82" s="29">
        <v>0.81</v>
      </c>
      <c r="AJ82" s="1">
        <v>48</v>
      </c>
      <c r="AK82" s="174">
        <v>1.6</v>
      </c>
      <c r="AL82" s="369"/>
    </row>
    <row r="83" spans="17:38" x14ac:dyDescent="0.3">
      <c r="Q83" s="208">
        <v>87</v>
      </c>
      <c r="R83" s="208" t="s">
        <v>395</v>
      </c>
      <c r="S83" s="262">
        <v>46256</v>
      </c>
      <c r="T83" s="6">
        <v>0.35099999999999998</v>
      </c>
      <c r="U83" s="6"/>
      <c r="V83" s="6"/>
      <c r="AD83" s="13">
        <v>89</v>
      </c>
      <c r="AE83" s="6">
        <v>0.91700000000000004</v>
      </c>
      <c r="AG83" s="368">
        <v>49</v>
      </c>
      <c r="AH83" s="29">
        <v>0.81</v>
      </c>
      <c r="AJ83" s="1">
        <v>49</v>
      </c>
      <c r="AK83" s="174">
        <v>1.6</v>
      </c>
      <c r="AL83" s="369"/>
    </row>
    <row r="84" spans="17:38" x14ac:dyDescent="0.3">
      <c r="Q84" s="208">
        <v>88</v>
      </c>
      <c r="R84" s="208" t="s">
        <v>397</v>
      </c>
      <c r="S84" s="262">
        <v>46256</v>
      </c>
      <c r="T84" s="6">
        <v>0.751</v>
      </c>
      <c r="U84" s="6"/>
      <c r="V84" s="6"/>
      <c r="AD84" s="13">
        <v>90</v>
      </c>
      <c r="AE84" s="13">
        <v>0.94399999999999995</v>
      </c>
      <c r="AG84" s="368">
        <v>50</v>
      </c>
      <c r="AH84" s="29">
        <v>0.81</v>
      </c>
      <c r="AJ84" s="1">
        <v>50</v>
      </c>
      <c r="AK84" s="174">
        <v>1.6</v>
      </c>
      <c r="AL84" s="369"/>
    </row>
    <row r="85" spans="17:38" x14ac:dyDescent="0.3">
      <c r="Q85" s="208">
        <v>89</v>
      </c>
      <c r="R85" s="208" t="s">
        <v>399</v>
      </c>
      <c r="S85" s="262">
        <v>46256</v>
      </c>
      <c r="T85" s="6">
        <v>0.60399999999999998</v>
      </c>
      <c r="U85" s="6"/>
      <c r="V85" s="6"/>
      <c r="AD85" s="13">
        <v>91</v>
      </c>
      <c r="AE85" s="13">
        <v>0.96199999999999997</v>
      </c>
      <c r="AG85" s="368">
        <v>51</v>
      </c>
      <c r="AH85" s="29">
        <v>0.81</v>
      </c>
      <c r="AJ85" s="1">
        <v>51</v>
      </c>
      <c r="AK85" s="174">
        <v>1.6</v>
      </c>
      <c r="AL85" s="369"/>
    </row>
    <row r="86" spans="17:38" x14ac:dyDescent="0.3">
      <c r="Q86" s="208">
        <v>90</v>
      </c>
      <c r="R86" s="208" t="s">
        <v>401</v>
      </c>
      <c r="S86" s="262">
        <v>46256</v>
      </c>
      <c r="T86" s="6">
        <v>4.7E-2</v>
      </c>
      <c r="U86" s="6"/>
      <c r="V86" s="6"/>
      <c r="AD86" s="13">
        <v>92</v>
      </c>
      <c r="AE86" s="13">
        <v>0.98199999999999998</v>
      </c>
      <c r="AG86" s="368">
        <v>52</v>
      </c>
      <c r="AH86" s="29">
        <v>0.81</v>
      </c>
      <c r="AJ86" s="1">
        <v>52</v>
      </c>
      <c r="AK86" s="174">
        <v>1.6</v>
      </c>
      <c r="AL86" s="369"/>
    </row>
    <row r="87" spans="17:38" x14ac:dyDescent="0.3">
      <c r="Q87" s="208">
        <v>91</v>
      </c>
      <c r="R87" s="208" t="s">
        <v>403</v>
      </c>
      <c r="S87" s="262">
        <v>46256</v>
      </c>
      <c r="T87" s="6">
        <v>0.35699999999999998</v>
      </c>
      <c r="U87" s="6">
        <f>T87*18</f>
        <v>6.4260000000000002</v>
      </c>
      <c r="V87" s="6"/>
      <c r="AD87" s="13">
        <v>93</v>
      </c>
      <c r="AE87" s="6">
        <v>0.98599999999999999</v>
      </c>
      <c r="AG87" s="368">
        <v>53</v>
      </c>
      <c r="AH87" s="29">
        <v>0.81</v>
      </c>
      <c r="AJ87" s="1">
        <v>53</v>
      </c>
      <c r="AK87" s="174">
        <v>1.6</v>
      </c>
      <c r="AL87" s="369"/>
    </row>
    <row r="88" spans="17:38" x14ac:dyDescent="0.3">
      <c r="Q88" s="208">
        <v>92</v>
      </c>
      <c r="R88" s="208" t="s">
        <v>384</v>
      </c>
      <c r="S88" s="262">
        <v>46256</v>
      </c>
      <c r="T88" s="6">
        <v>0.40699999999999997</v>
      </c>
      <c r="U88" s="6">
        <f t="shared" ref="U88:U95" si="5">T88*18</f>
        <v>7.3259999999999996</v>
      </c>
      <c r="V88" s="6"/>
      <c r="AD88" s="13">
        <v>94</v>
      </c>
      <c r="AE88" s="13">
        <v>1.0349999999999999</v>
      </c>
      <c r="AG88" s="368">
        <v>54</v>
      </c>
      <c r="AH88" s="29">
        <v>0.81</v>
      </c>
      <c r="AJ88" s="1">
        <v>54</v>
      </c>
      <c r="AK88" s="174">
        <v>1.6</v>
      </c>
      <c r="AL88" s="369"/>
    </row>
    <row r="89" spans="17:38" x14ac:dyDescent="0.3">
      <c r="Q89" s="208">
        <v>93</v>
      </c>
      <c r="R89" s="208" t="s">
        <v>404</v>
      </c>
      <c r="S89" s="262">
        <v>46256</v>
      </c>
      <c r="T89" s="6">
        <v>0.318</v>
      </c>
      <c r="U89" s="6">
        <f t="shared" si="5"/>
        <v>5.7240000000000002</v>
      </c>
      <c r="V89" s="6"/>
      <c r="AD89" s="13">
        <v>95</v>
      </c>
      <c r="AE89" s="13">
        <v>1.0409999999999999</v>
      </c>
      <c r="AG89" s="368">
        <v>55</v>
      </c>
      <c r="AH89" s="29">
        <v>0.81</v>
      </c>
      <c r="AJ89" s="1">
        <v>55</v>
      </c>
      <c r="AK89" s="174">
        <v>1.6</v>
      </c>
      <c r="AL89" s="369"/>
    </row>
    <row r="90" spans="17:38" x14ac:dyDescent="0.3">
      <c r="Q90" s="208">
        <v>94</v>
      </c>
      <c r="R90" s="208" t="s">
        <v>389</v>
      </c>
      <c r="S90" s="262">
        <v>46258</v>
      </c>
      <c r="T90" s="6">
        <v>0.502</v>
      </c>
      <c r="U90" s="6">
        <f t="shared" si="5"/>
        <v>9.0359999999999996</v>
      </c>
      <c r="V90" s="6"/>
      <c r="AD90" s="13">
        <v>96</v>
      </c>
      <c r="AE90" s="13">
        <v>1.0429999999999999</v>
      </c>
      <c r="AG90" s="368">
        <v>56</v>
      </c>
      <c r="AH90" s="29">
        <v>0.81</v>
      </c>
      <c r="AJ90" s="1">
        <v>56</v>
      </c>
      <c r="AK90" s="174">
        <v>1.6</v>
      </c>
      <c r="AL90" s="369"/>
    </row>
    <row r="91" spans="17:38" x14ac:dyDescent="0.3">
      <c r="Q91" s="208">
        <v>95</v>
      </c>
      <c r="R91" s="208" t="s">
        <v>391</v>
      </c>
      <c r="S91" s="262">
        <v>46258</v>
      </c>
      <c r="T91" s="6">
        <v>0.38800000000000001</v>
      </c>
      <c r="U91" s="6">
        <f t="shared" si="5"/>
        <v>6.984</v>
      </c>
      <c r="V91" s="6"/>
      <c r="AD91" s="13">
        <v>97</v>
      </c>
      <c r="AE91" s="6">
        <v>1.044</v>
      </c>
      <c r="AG91" s="368">
        <v>57</v>
      </c>
      <c r="AH91" s="29">
        <v>0.81</v>
      </c>
      <c r="AJ91" s="1">
        <v>57</v>
      </c>
      <c r="AK91" s="174">
        <v>1.6</v>
      </c>
      <c r="AL91" s="369"/>
    </row>
    <row r="92" spans="17:38" x14ac:dyDescent="0.3">
      <c r="Q92" s="208">
        <v>96</v>
      </c>
      <c r="R92" s="208" t="s">
        <v>393</v>
      </c>
      <c r="S92" s="262">
        <v>46258</v>
      </c>
      <c r="T92" s="6">
        <v>1.0409999999999999</v>
      </c>
      <c r="U92" s="6">
        <f t="shared" si="5"/>
        <v>18.738</v>
      </c>
      <c r="V92" s="6"/>
      <c r="AD92" s="13">
        <v>98</v>
      </c>
      <c r="AE92" s="13">
        <v>1.077</v>
      </c>
      <c r="AG92" s="368">
        <v>58</v>
      </c>
      <c r="AH92" s="29">
        <v>0.81</v>
      </c>
      <c r="AJ92" s="1">
        <v>58</v>
      </c>
      <c r="AK92" s="174">
        <v>1.6</v>
      </c>
      <c r="AL92" s="369"/>
    </row>
    <row r="93" spans="17:38" x14ac:dyDescent="0.3">
      <c r="Q93" s="208">
        <v>97</v>
      </c>
      <c r="R93" s="208" t="s">
        <v>395</v>
      </c>
      <c r="S93" s="262">
        <v>46258</v>
      </c>
      <c r="T93" s="6">
        <v>1.47</v>
      </c>
      <c r="U93" s="6">
        <f t="shared" si="5"/>
        <v>26.46</v>
      </c>
      <c r="V93" s="6"/>
      <c r="AD93" s="13">
        <v>99</v>
      </c>
      <c r="AE93" s="13">
        <v>1.0880000000000001</v>
      </c>
      <c r="AG93" s="368">
        <v>59</v>
      </c>
      <c r="AH93" s="29">
        <v>0.81</v>
      </c>
      <c r="AJ93" s="1">
        <v>59</v>
      </c>
      <c r="AK93" s="174">
        <v>1.6</v>
      </c>
      <c r="AL93" s="369"/>
    </row>
    <row r="94" spans="17:38" x14ac:dyDescent="0.3">
      <c r="Q94" s="208">
        <v>98</v>
      </c>
      <c r="R94" s="208" t="s">
        <v>397</v>
      </c>
      <c r="S94" s="262">
        <v>46258</v>
      </c>
      <c r="T94" s="6">
        <v>3.8769999999999998</v>
      </c>
      <c r="U94" s="6">
        <f t="shared" si="5"/>
        <v>69.786000000000001</v>
      </c>
      <c r="V94" s="6"/>
      <c r="AD94" s="13">
        <v>100</v>
      </c>
      <c r="AE94" s="6">
        <v>1.1000000000000001</v>
      </c>
      <c r="AG94" s="368">
        <v>60</v>
      </c>
      <c r="AH94" s="29">
        <v>0.81</v>
      </c>
      <c r="AJ94" s="1">
        <v>60</v>
      </c>
      <c r="AK94" s="174">
        <v>1.6</v>
      </c>
      <c r="AL94" s="369"/>
    </row>
    <row r="95" spans="17:38" x14ac:dyDescent="0.3">
      <c r="Q95" s="208">
        <v>99</v>
      </c>
      <c r="R95" s="208" t="s">
        <v>399</v>
      </c>
      <c r="S95" s="262">
        <v>46258</v>
      </c>
      <c r="T95" s="6">
        <v>0.35099999999999998</v>
      </c>
      <c r="U95" s="6">
        <f t="shared" si="5"/>
        <v>6.3179999999999996</v>
      </c>
      <c r="V95" s="6"/>
      <c r="AD95" s="13">
        <v>101</v>
      </c>
      <c r="AE95" s="6">
        <v>1.125</v>
      </c>
      <c r="AG95" s="368">
        <v>61</v>
      </c>
      <c r="AH95" s="29">
        <v>0.81</v>
      </c>
      <c r="AJ95" s="1">
        <v>61</v>
      </c>
      <c r="AK95" s="174">
        <v>1.6</v>
      </c>
      <c r="AL95" s="369"/>
    </row>
    <row r="96" spans="17:38" x14ac:dyDescent="0.3">
      <c r="Q96" s="208">
        <v>100</v>
      </c>
      <c r="R96" s="208" t="s">
        <v>401</v>
      </c>
      <c r="S96" s="262">
        <v>46258</v>
      </c>
      <c r="T96" s="6">
        <v>0.32600000000000001</v>
      </c>
      <c r="U96" s="6"/>
      <c r="V96" s="6"/>
      <c r="AD96" s="13">
        <v>102</v>
      </c>
      <c r="AE96" s="13">
        <v>1.147</v>
      </c>
      <c r="AG96" s="368">
        <v>62</v>
      </c>
      <c r="AH96" s="29">
        <v>0.81</v>
      </c>
      <c r="AJ96" s="1">
        <v>62</v>
      </c>
      <c r="AK96" s="174">
        <v>1.6</v>
      </c>
      <c r="AL96" s="369"/>
    </row>
    <row r="97" spans="2:38" x14ac:dyDescent="0.3">
      <c r="Q97" s="208">
        <v>101</v>
      </c>
      <c r="R97" s="208" t="s">
        <v>403</v>
      </c>
      <c r="S97" s="262">
        <v>46258</v>
      </c>
      <c r="T97" s="6">
        <v>0.24</v>
      </c>
      <c r="U97" s="6"/>
      <c r="V97" s="6"/>
      <c r="AD97" s="13">
        <v>103</v>
      </c>
      <c r="AE97" s="6">
        <v>1.2170000000000001</v>
      </c>
      <c r="AG97" s="368">
        <v>63</v>
      </c>
      <c r="AH97" s="29">
        <v>0.81</v>
      </c>
      <c r="AJ97" s="1">
        <v>63</v>
      </c>
      <c r="AK97" s="174">
        <v>1.6</v>
      </c>
      <c r="AL97" s="369"/>
    </row>
    <row r="98" spans="2:38" x14ac:dyDescent="0.3">
      <c r="Q98" s="208">
        <v>102</v>
      </c>
      <c r="R98" s="208" t="s">
        <v>384</v>
      </c>
      <c r="S98" s="262">
        <v>46258</v>
      </c>
      <c r="T98" s="6">
        <v>1.077</v>
      </c>
      <c r="U98" s="6"/>
      <c r="V98" s="6"/>
      <c r="AD98" s="13">
        <v>104</v>
      </c>
      <c r="AE98" s="13">
        <v>1.2350000000000001</v>
      </c>
      <c r="AG98" s="368">
        <v>64</v>
      </c>
      <c r="AH98" s="29">
        <v>0.81</v>
      </c>
      <c r="AJ98" s="1">
        <v>64</v>
      </c>
      <c r="AK98" s="174">
        <v>1.6</v>
      </c>
      <c r="AL98" s="369"/>
    </row>
    <row r="99" spans="2:38" x14ac:dyDescent="0.3">
      <c r="Q99" s="208">
        <v>103</v>
      </c>
      <c r="R99" s="208" t="s">
        <v>397</v>
      </c>
      <c r="S99" s="262">
        <v>46261</v>
      </c>
      <c r="T99" s="6">
        <v>0.253</v>
      </c>
      <c r="U99" s="6"/>
      <c r="V99" s="6"/>
      <c r="AD99" s="13">
        <v>105</v>
      </c>
      <c r="AE99" s="13">
        <v>1.2390000000000001</v>
      </c>
      <c r="AG99" s="368">
        <v>65</v>
      </c>
      <c r="AH99" s="29">
        <v>0.81</v>
      </c>
      <c r="AJ99" s="1">
        <v>65</v>
      </c>
      <c r="AK99" s="174">
        <v>1.6</v>
      </c>
      <c r="AL99" s="369"/>
    </row>
    <row r="100" spans="2:38" x14ac:dyDescent="0.3">
      <c r="Q100" s="208">
        <v>104</v>
      </c>
      <c r="R100" s="208" t="s">
        <v>399</v>
      </c>
      <c r="S100" s="262">
        <v>46261</v>
      </c>
      <c r="T100" s="6">
        <v>0.73199999999999998</v>
      </c>
      <c r="U100" s="6"/>
      <c r="V100" s="6"/>
      <c r="AD100" s="13">
        <v>106</v>
      </c>
      <c r="AE100" s="13">
        <v>1.25</v>
      </c>
      <c r="AG100" s="368">
        <v>66</v>
      </c>
      <c r="AH100" s="29">
        <v>0.81</v>
      </c>
      <c r="AJ100" s="1">
        <v>66</v>
      </c>
      <c r="AK100" s="174">
        <v>1.6</v>
      </c>
      <c r="AL100" s="369"/>
    </row>
    <row r="101" spans="2:38" x14ac:dyDescent="0.3">
      <c r="Q101" s="208">
        <v>105</v>
      </c>
      <c r="R101" s="208" t="s">
        <v>401</v>
      </c>
      <c r="S101" s="262">
        <v>46261</v>
      </c>
      <c r="T101" s="6">
        <v>0.45400000000000001</v>
      </c>
      <c r="U101" s="6"/>
      <c r="V101" s="6"/>
      <c r="AD101" s="13">
        <v>107</v>
      </c>
      <c r="AE101" s="13">
        <v>1.2929999999999999</v>
      </c>
      <c r="AG101" s="368">
        <v>67</v>
      </c>
      <c r="AH101" s="29">
        <v>0.81</v>
      </c>
      <c r="AJ101" s="1">
        <v>67</v>
      </c>
      <c r="AK101" s="174">
        <v>1.6</v>
      </c>
      <c r="AL101" s="369"/>
    </row>
    <row r="102" spans="2:38" x14ac:dyDescent="0.3">
      <c r="Q102" s="208">
        <v>106</v>
      </c>
      <c r="R102" s="208" t="s">
        <v>403</v>
      </c>
      <c r="S102" s="262">
        <v>46261</v>
      </c>
      <c r="T102" s="6">
        <v>0.61599999999999999</v>
      </c>
      <c r="U102" s="6"/>
      <c r="V102" s="6"/>
      <c r="AD102" s="13">
        <v>108</v>
      </c>
      <c r="AE102" s="6">
        <v>1.2949999999999999</v>
      </c>
      <c r="AG102" s="368">
        <v>68</v>
      </c>
      <c r="AH102" s="29">
        <v>0.81</v>
      </c>
      <c r="AJ102" s="1">
        <v>68</v>
      </c>
      <c r="AK102" s="174">
        <v>1.6</v>
      </c>
      <c r="AL102" s="369"/>
    </row>
    <row r="103" spans="2:38" x14ac:dyDescent="0.3">
      <c r="Q103" s="208">
        <v>107</v>
      </c>
      <c r="R103" s="208" t="s">
        <v>384</v>
      </c>
      <c r="S103" s="262">
        <v>46261</v>
      </c>
      <c r="T103" s="6">
        <v>0.24199999999999999</v>
      </c>
      <c r="U103" s="6"/>
      <c r="V103" s="6"/>
      <c r="AD103" s="13">
        <v>109</v>
      </c>
      <c r="AE103" s="6">
        <v>1.3080000000000001</v>
      </c>
      <c r="AG103" s="368">
        <v>69</v>
      </c>
      <c r="AH103" s="29">
        <v>0.81</v>
      </c>
      <c r="AJ103" s="1">
        <v>69</v>
      </c>
      <c r="AK103" s="174">
        <v>1.6</v>
      </c>
      <c r="AL103" s="369"/>
    </row>
    <row r="104" spans="2:38" x14ac:dyDescent="0.3">
      <c r="Q104" s="208">
        <v>108</v>
      </c>
      <c r="R104" s="208" t="s">
        <v>404</v>
      </c>
      <c r="S104" s="262">
        <v>46261</v>
      </c>
      <c r="T104" s="6">
        <v>2.0979999999999999</v>
      </c>
      <c r="U104" s="6"/>
      <c r="V104" s="6"/>
      <c r="AD104" s="13">
        <v>110</v>
      </c>
      <c r="AE104" s="13">
        <v>1.3220000000000001</v>
      </c>
      <c r="AG104" s="368">
        <v>70</v>
      </c>
      <c r="AH104" s="29">
        <v>0.81</v>
      </c>
      <c r="AJ104" s="1">
        <v>70</v>
      </c>
      <c r="AK104" s="174">
        <v>1.6</v>
      </c>
      <c r="AL104" s="369"/>
    </row>
    <row r="105" spans="2:38" x14ac:dyDescent="0.3">
      <c r="Q105" s="208">
        <v>109</v>
      </c>
      <c r="R105" s="208" t="s">
        <v>406</v>
      </c>
      <c r="S105" s="262">
        <v>46261</v>
      </c>
      <c r="T105" s="6">
        <v>0.86299999999999999</v>
      </c>
      <c r="U105" s="6"/>
      <c r="V105" s="6"/>
      <c r="AD105" s="13">
        <v>111</v>
      </c>
      <c r="AE105" s="6">
        <v>1.3280000000000001</v>
      </c>
      <c r="AG105" s="368">
        <v>71</v>
      </c>
      <c r="AH105" s="29">
        <v>0.81</v>
      </c>
      <c r="AJ105" s="1">
        <v>71</v>
      </c>
      <c r="AK105" s="174">
        <v>1.6</v>
      </c>
      <c r="AL105" s="369"/>
    </row>
    <row r="106" spans="2:38" x14ac:dyDescent="0.3">
      <c r="B106" s="1482" t="s">
        <v>422</v>
      </c>
      <c r="C106" s="1482"/>
      <c r="D106" s="1482"/>
      <c r="E106" s="1482"/>
      <c r="F106" s="1482"/>
      <c r="G106" s="1482"/>
      <c r="H106" s="1482"/>
      <c r="I106" s="1482"/>
      <c r="J106" s="1482"/>
      <c r="Q106" s="208">
        <v>110</v>
      </c>
      <c r="R106" s="208" t="s">
        <v>389</v>
      </c>
      <c r="S106" s="262">
        <v>46262</v>
      </c>
      <c r="T106" s="6">
        <v>0.17899999999999999</v>
      </c>
      <c r="U106" s="6"/>
      <c r="V106" s="6"/>
      <c r="AD106" s="13">
        <v>112</v>
      </c>
      <c r="AE106" s="13">
        <v>1.3919999999999999</v>
      </c>
      <c r="AG106" s="368">
        <v>72</v>
      </c>
      <c r="AH106" s="29">
        <v>0.81</v>
      </c>
      <c r="AJ106" s="1">
        <v>72</v>
      </c>
      <c r="AK106" s="174">
        <v>1.6</v>
      </c>
      <c r="AL106" s="369"/>
    </row>
    <row r="107" spans="2:38" x14ac:dyDescent="0.3">
      <c r="B107" s="1482"/>
      <c r="C107" s="1482"/>
      <c r="D107" s="1482"/>
      <c r="E107" s="1482"/>
      <c r="F107" s="1482"/>
      <c r="G107" s="1482"/>
      <c r="H107" s="1482"/>
      <c r="I107" s="1482"/>
      <c r="J107" s="1482"/>
      <c r="Q107" s="208">
        <v>111</v>
      </c>
      <c r="R107" s="208" t="s">
        <v>391</v>
      </c>
      <c r="S107" s="262">
        <v>46262</v>
      </c>
      <c r="T107" s="6">
        <v>0.17799999999999999</v>
      </c>
      <c r="U107" s="6"/>
      <c r="V107" s="6"/>
      <c r="AD107" s="13">
        <v>113</v>
      </c>
      <c r="AE107" s="13">
        <v>1.47</v>
      </c>
      <c r="AG107" s="368">
        <v>73</v>
      </c>
      <c r="AH107" s="29">
        <v>0.81</v>
      </c>
      <c r="AJ107" s="1">
        <v>73</v>
      </c>
      <c r="AK107" s="174">
        <v>1.6</v>
      </c>
      <c r="AL107" s="369"/>
    </row>
    <row r="108" spans="2:38" x14ac:dyDescent="0.3">
      <c r="Q108" s="208">
        <v>112</v>
      </c>
      <c r="R108" s="208" t="s">
        <v>393</v>
      </c>
      <c r="S108" s="262">
        <v>46262</v>
      </c>
      <c r="T108" s="6">
        <v>1.1000000000000001</v>
      </c>
      <c r="U108" s="6"/>
      <c r="V108" s="6"/>
      <c r="AD108" s="13">
        <v>114</v>
      </c>
      <c r="AE108" s="13">
        <v>1.552</v>
      </c>
      <c r="AG108" s="368">
        <v>74</v>
      </c>
      <c r="AH108" s="29">
        <v>0.81</v>
      </c>
      <c r="AJ108" s="1">
        <v>74</v>
      </c>
      <c r="AK108" s="174">
        <v>1.6</v>
      </c>
      <c r="AL108" s="369"/>
    </row>
    <row r="109" spans="2:38" x14ac:dyDescent="0.3">
      <c r="Q109" s="208">
        <v>113</v>
      </c>
      <c r="R109" s="208" t="s">
        <v>397</v>
      </c>
      <c r="S109" s="262">
        <v>46262</v>
      </c>
      <c r="T109" s="6">
        <v>0.61299999999999999</v>
      </c>
      <c r="U109" s="6"/>
      <c r="V109" s="6"/>
      <c r="AD109" s="13">
        <v>115</v>
      </c>
      <c r="AE109" s="13">
        <v>1.583</v>
      </c>
      <c r="AG109" s="368">
        <v>75</v>
      </c>
      <c r="AH109" s="29">
        <v>0.81</v>
      </c>
      <c r="AJ109" s="1">
        <v>75</v>
      </c>
      <c r="AK109" s="174">
        <v>1.6</v>
      </c>
      <c r="AL109" s="369"/>
    </row>
    <row r="110" spans="2:38" x14ac:dyDescent="0.3">
      <c r="Q110" s="208">
        <v>114</v>
      </c>
      <c r="R110" s="208" t="s">
        <v>399</v>
      </c>
      <c r="S110" s="262">
        <v>46262</v>
      </c>
      <c r="T110" s="6">
        <v>0.33600000000000002</v>
      </c>
      <c r="U110" s="6"/>
      <c r="V110" s="6"/>
      <c r="AD110" s="13">
        <v>116</v>
      </c>
      <c r="AE110" s="13">
        <v>1.59</v>
      </c>
      <c r="AG110" s="368">
        <v>76</v>
      </c>
      <c r="AH110" s="29">
        <v>0.81</v>
      </c>
      <c r="AJ110" s="1">
        <v>76</v>
      </c>
      <c r="AK110" s="174">
        <v>1.6</v>
      </c>
      <c r="AL110" s="369"/>
    </row>
    <row r="111" spans="2:38" x14ac:dyDescent="0.3">
      <c r="Q111" s="208">
        <v>115</v>
      </c>
      <c r="R111" s="208" t="s">
        <v>401</v>
      </c>
      <c r="S111" s="262">
        <v>46262</v>
      </c>
      <c r="T111" s="6">
        <v>0.61299999999999999</v>
      </c>
      <c r="U111" s="6"/>
      <c r="V111" s="6"/>
      <c r="AD111" s="13">
        <v>117</v>
      </c>
      <c r="AE111" s="13">
        <v>1.635</v>
      </c>
      <c r="AG111" s="368">
        <v>77</v>
      </c>
      <c r="AH111" s="29">
        <v>0.81</v>
      </c>
      <c r="AJ111" s="1">
        <v>77</v>
      </c>
      <c r="AK111" s="174">
        <v>1.6</v>
      </c>
      <c r="AL111" s="369"/>
    </row>
    <row r="112" spans="2:38" x14ac:dyDescent="0.3">
      <c r="Q112" s="208">
        <v>116</v>
      </c>
      <c r="R112" s="208" t="s">
        <v>403</v>
      </c>
      <c r="S112" s="262">
        <v>46262</v>
      </c>
      <c r="T112" s="6">
        <v>1.125</v>
      </c>
      <c r="U112" s="6"/>
      <c r="V112" s="6"/>
      <c r="AD112" s="13">
        <v>118</v>
      </c>
      <c r="AE112" s="6">
        <v>1.718</v>
      </c>
      <c r="AG112" s="368">
        <v>78</v>
      </c>
      <c r="AH112" s="29">
        <v>0.81</v>
      </c>
      <c r="AJ112" s="1">
        <v>78</v>
      </c>
      <c r="AK112" s="174">
        <v>1.6</v>
      </c>
      <c r="AL112" s="369"/>
    </row>
    <row r="113" spans="17:38" x14ac:dyDescent="0.3">
      <c r="Q113" s="208">
        <v>117</v>
      </c>
      <c r="R113" s="208" t="s">
        <v>384</v>
      </c>
      <c r="S113" s="262">
        <v>46262</v>
      </c>
      <c r="T113" s="6">
        <v>1.2949999999999999</v>
      </c>
      <c r="U113" s="6"/>
      <c r="V113" s="6"/>
      <c r="AD113" s="13">
        <v>119</v>
      </c>
      <c r="AE113" s="6">
        <v>1.7190000000000001</v>
      </c>
      <c r="AG113" s="368">
        <v>79</v>
      </c>
      <c r="AH113" s="29">
        <v>0.81</v>
      </c>
      <c r="AJ113" s="1">
        <v>79</v>
      </c>
      <c r="AK113" s="174">
        <v>1.6</v>
      </c>
      <c r="AL113" s="369"/>
    </row>
    <row r="114" spans="17:38" x14ac:dyDescent="0.3">
      <c r="Q114" s="208">
        <v>118</v>
      </c>
      <c r="R114" s="208" t="s">
        <v>404</v>
      </c>
      <c r="S114" s="262">
        <v>46262</v>
      </c>
      <c r="T114" s="6">
        <v>0.53800000000000003</v>
      </c>
      <c r="U114" s="6"/>
      <c r="V114" s="6"/>
      <c r="AD114" s="13">
        <v>120</v>
      </c>
      <c r="AE114" s="13">
        <v>1.8220000000000001</v>
      </c>
      <c r="AG114" s="368">
        <v>80</v>
      </c>
      <c r="AH114" s="29">
        <v>0.81</v>
      </c>
      <c r="AJ114" s="1">
        <v>80</v>
      </c>
      <c r="AK114" s="174">
        <v>1.6</v>
      </c>
      <c r="AL114" s="369"/>
    </row>
    <row r="115" spans="17:38" x14ac:dyDescent="0.3">
      <c r="Q115" s="208">
        <v>119</v>
      </c>
      <c r="R115" s="208" t="s">
        <v>389</v>
      </c>
      <c r="S115" s="262">
        <v>46263</v>
      </c>
      <c r="T115" s="6">
        <v>1.3080000000000001</v>
      </c>
      <c r="U115" s="6"/>
      <c r="V115" s="6"/>
      <c r="AD115" s="13">
        <v>121</v>
      </c>
      <c r="AE115" s="13">
        <v>1.8380000000000001</v>
      </c>
      <c r="AG115" s="368">
        <v>81</v>
      </c>
      <c r="AH115" s="29">
        <v>0.81</v>
      </c>
      <c r="AJ115" s="1">
        <v>81</v>
      </c>
      <c r="AK115" s="174">
        <v>1.6</v>
      </c>
      <c r="AL115" s="369"/>
    </row>
    <row r="116" spans="17:38" x14ac:dyDescent="0.3">
      <c r="Q116" s="208">
        <v>120</v>
      </c>
      <c r="R116" s="208" t="s">
        <v>391</v>
      </c>
      <c r="S116" s="262">
        <v>46263</v>
      </c>
      <c r="T116" s="6">
        <v>0.48799999999999999</v>
      </c>
      <c r="U116" s="6"/>
      <c r="V116" s="6"/>
      <c r="AD116" s="13">
        <v>122</v>
      </c>
      <c r="AE116" s="13">
        <v>1.9410000000000001</v>
      </c>
      <c r="AG116" s="368">
        <v>82</v>
      </c>
      <c r="AH116" s="29">
        <v>0.81</v>
      </c>
      <c r="AJ116" s="1">
        <v>82</v>
      </c>
      <c r="AK116" s="174">
        <v>1.6</v>
      </c>
      <c r="AL116" s="369"/>
    </row>
    <row r="117" spans="17:38" x14ac:dyDescent="0.3">
      <c r="Q117" s="208">
        <v>121</v>
      </c>
      <c r="R117" s="208" t="s">
        <v>393</v>
      </c>
      <c r="S117" s="262">
        <v>46263</v>
      </c>
      <c r="T117" s="6">
        <v>1.7190000000000001</v>
      </c>
      <c r="U117" s="6"/>
      <c r="V117" s="6"/>
      <c r="AD117" s="13">
        <v>123</v>
      </c>
      <c r="AE117" s="13">
        <v>1.9630000000000001</v>
      </c>
      <c r="AG117" s="368">
        <v>83</v>
      </c>
      <c r="AH117" s="29">
        <v>0.81</v>
      </c>
      <c r="AJ117" s="1">
        <v>83</v>
      </c>
      <c r="AK117" s="174">
        <v>1.6</v>
      </c>
      <c r="AL117" s="369"/>
    </row>
    <row r="118" spans="17:38" x14ac:dyDescent="0.3">
      <c r="Q118" s="208">
        <v>122</v>
      </c>
      <c r="R118" s="208" t="s">
        <v>395</v>
      </c>
      <c r="S118" s="262">
        <v>46263</v>
      </c>
      <c r="T118" s="6">
        <v>1.718</v>
      </c>
      <c r="U118" s="6"/>
      <c r="V118" s="6"/>
      <c r="AD118" s="13">
        <v>124</v>
      </c>
      <c r="AE118" s="13">
        <v>2.0110000000000001</v>
      </c>
      <c r="AG118" s="368">
        <v>84</v>
      </c>
      <c r="AH118" s="29">
        <v>0.81</v>
      </c>
      <c r="AJ118" s="1">
        <v>84</v>
      </c>
      <c r="AK118" s="174">
        <v>1.6</v>
      </c>
      <c r="AL118" s="369"/>
    </row>
    <row r="119" spans="17:38" ht="15" thickBot="1" x14ac:dyDescent="0.35">
      <c r="Q119" s="208">
        <v>123</v>
      </c>
      <c r="R119" s="208" t="s">
        <v>397</v>
      </c>
      <c r="S119" s="262">
        <v>46263</v>
      </c>
      <c r="T119" s="6">
        <v>1.3280000000000001</v>
      </c>
      <c r="U119" s="6"/>
      <c r="V119" s="6"/>
      <c r="AD119" s="13">
        <v>125</v>
      </c>
      <c r="AE119" s="13">
        <v>2.028</v>
      </c>
      <c r="AG119" s="370">
        <v>85</v>
      </c>
      <c r="AH119" s="29">
        <v>0.81</v>
      </c>
      <c r="AI119" s="371"/>
      <c r="AJ119" s="1">
        <v>85</v>
      </c>
      <c r="AK119" s="174">
        <v>1.6</v>
      </c>
      <c r="AL119" s="372"/>
    </row>
    <row r="120" spans="17:38" x14ac:dyDescent="0.3">
      <c r="Q120" s="208">
        <v>124</v>
      </c>
      <c r="R120" s="208" t="s">
        <v>399</v>
      </c>
      <c r="S120" s="262">
        <v>46263</v>
      </c>
      <c r="T120" s="6">
        <v>0.61099999999999999</v>
      </c>
      <c r="U120" s="6"/>
      <c r="V120" s="6"/>
      <c r="AD120" s="13">
        <v>126</v>
      </c>
      <c r="AE120" s="13">
        <v>2.0979999999999999</v>
      </c>
      <c r="AG120" s="368">
        <v>86</v>
      </c>
      <c r="AH120" s="29">
        <v>0.81</v>
      </c>
    </row>
    <row r="121" spans="17:38" x14ac:dyDescent="0.3">
      <c r="Q121" s="208">
        <v>125</v>
      </c>
      <c r="R121" s="208" t="s">
        <v>401</v>
      </c>
      <c r="S121" s="262">
        <v>46263</v>
      </c>
      <c r="T121" s="6">
        <v>0.35799999999999998</v>
      </c>
      <c r="U121" s="6"/>
      <c r="V121" s="6"/>
      <c r="AD121" s="13">
        <v>127</v>
      </c>
      <c r="AE121" s="13">
        <v>2.5209999999999999</v>
      </c>
      <c r="AG121" s="368">
        <v>87</v>
      </c>
      <c r="AH121" s="29">
        <v>0.81</v>
      </c>
    </row>
    <row r="122" spans="17:38" ht="15" thickBot="1" x14ac:dyDescent="0.35">
      <c r="Q122" s="208">
        <v>126</v>
      </c>
      <c r="R122" s="208" t="s">
        <v>403</v>
      </c>
      <c r="S122" s="262">
        <v>46263</v>
      </c>
      <c r="T122" s="6">
        <v>0.21</v>
      </c>
      <c r="U122" s="6"/>
      <c r="V122" s="6"/>
      <c r="AD122" s="13">
        <v>128</v>
      </c>
      <c r="AE122" s="13">
        <v>2.72</v>
      </c>
      <c r="AG122" s="370">
        <v>88</v>
      </c>
      <c r="AH122" s="29">
        <v>0.81</v>
      </c>
    </row>
    <row r="123" spans="17:38" x14ac:dyDescent="0.3">
      <c r="Q123" s="208">
        <v>127</v>
      </c>
      <c r="R123" s="208" t="s">
        <v>384</v>
      </c>
      <c r="S123" s="262">
        <v>46263</v>
      </c>
      <c r="T123" s="6">
        <v>0.42</v>
      </c>
      <c r="U123" s="6"/>
      <c r="V123" s="6"/>
      <c r="AD123" s="13">
        <v>129</v>
      </c>
      <c r="AE123" s="13">
        <v>3.032</v>
      </c>
      <c r="AG123" s="368">
        <v>89</v>
      </c>
      <c r="AH123" s="29">
        <v>0.81</v>
      </c>
    </row>
    <row r="124" spans="17:38" x14ac:dyDescent="0.3">
      <c r="Q124" s="208">
        <v>128</v>
      </c>
      <c r="R124" s="208" t="s">
        <v>404</v>
      </c>
      <c r="S124" s="262">
        <v>46263</v>
      </c>
      <c r="T124" s="6">
        <v>1.044</v>
      </c>
      <c r="U124" s="6"/>
      <c r="V124" s="6"/>
      <c r="AD124" s="13">
        <v>130</v>
      </c>
      <c r="AE124" s="13">
        <v>3.2160000000000002</v>
      </c>
      <c r="AG124" s="368">
        <v>90</v>
      </c>
      <c r="AH124" s="29">
        <v>0.81</v>
      </c>
    </row>
    <row r="125" spans="17:38" ht="15" thickBot="1" x14ac:dyDescent="0.35">
      <c r="Q125" s="208">
        <v>129</v>
      </c>
      <c r="R125" s="208" t="s">
        <v>406</v>
      </c>
      <c r="S125" s="262">
        <v>46263</v>
      </c>
      <c r="T125" s="6">
        <v>0.38800000000000001</v>
      </c>
      <c r="U125" s="6"/>
      <c r="V125" s="6"/>
      <c r="AD125" s="13">
        <v>131</v>
      </c>
      <c r="AE125" s="13">
        <v>3.2330000000000001</v>
      </c>
      <c r="AG125" s="370">
        <v>91</v>
      </c>
      <c r="AH125" s="29">
        <v>0.81</v>
      </c>
    </row>
    <row r="126" spans="17:38" x14ac:dyDescent="0.3">
      <c r="Q126" s="208">
        <v>130</v>
      </c>
      <c r="R126" s="6" t="s">
        <v>391</v>
      </c>
      <c r="S126" s="262">
        <v>46264</v>
      </c>
      <c r="T126" s="6">
        <v>0.91700000000000004</v>
      </c>
      <c r="U126" s="6"/>
      <c r="V126" s="6"/>
      <c r="AD126" s="13">
        <v>132</v>
      </c>
      <c r="AE126" s="13">
        <v>3.8769999999999998</v>
      </c>
      <c r="AG126" s="368">
        <v>92</v>
      </c>
      <c r="AH126" s="29">
        <v>0.81</v>
      </c>
    </row>
    <row r="127" spans="17:38" x14ac:dyDescent="0.3">
      <c r="Q127" s="208">
        <v>131</v>
      </c>
      <c r="R127" s="6" t="s">
        <v>433</v>
      </c>
      <c r="S127" s="262">
        <v>46264</v>
      </c>
      <c r="T127" s="6">
        <v>0.98599999999999999</v>
      </c>
      <c r="U127" s="6"/>
      <c r="V127" s="6"/>
      <c r="AD127" s="13">
        <v>133</v>
      </c>
      <c r="AE127" s="13">
        <v>4.383</v>
      </c>
      <c r="AG127" s="368">
        <v>93</v>
      </c>
      <c r="AH127" s="29">
        <v>0.81</v>
      </c>
    </row>
    <row r="128" spans="17:38" x14ac:dyDescent="0.3">
      <c r="Q128" s="208">
        <v>132</v>
      </c>
      <c r="R128" s="6" t="s">
        <v>434</v>
      </c>
      <c r="S128" s="262">
        <v>46264</v>
      </c>
      <c r="T128" s="6">
        <v>1.2170000000000001</v>
      </c>
      <c r="U128" s="6"/>
      <c r="V128" s="6"/>
      <c r="AG128" s="368">
        <v>94</v>
      </c>
      <c r="AH128" s="29">
        <v>0.81</v>
      </c>
    </row>
    <row r="129" spans="2:34" ht="15" thickBot="1" x14ac:dyDescent="0.35">
      <c r="Q129" s="208">
        <v>133</v>
      </c>
      <c r="R129" s="6" t="s">
        <v>435</v>
      </c>
      <c r="S129" s="262">
        <v>46264</v>
      </c>
      <c r="T129" s="6">
        <v>0.83599999999999997</v>
      </c>
      <c r="U129" s="6"/>
      <c r="V129" s="6"/>
      <c r="AG129" s="370">
        <v>95</v>
      </c>
      <c r="AH129" s="29">
        <v>0.81</v>
      </c>
    </row>
    <row r="130" spans="2:34" x14ac:dyDescent="0.3">
      <c r="Q130" s="208">
        <v>134</v>
      </c>
      <c r="R130" s="208" t="s">
        <v>389</v>
      </c>
      <c r="S130" s="262">
        <v>46274</v>
      </c>
      <c r="T130" s="6">
        <v>0.217</v>
      </c>
      <c r="U130" s="6"/>
      <c r="V130" s="6"/>
      <c r="AG130" s="368">
        <v>96</v>
      </c>
      <c r="AH130" s="29">
        <v>0.81</v>
      </c>
    </row>
    <row r="131" spans="2:34" x14ac:dyDescent="0.3">
      <c r="Q131" s="208">
        <v>135</v>
      </c>
      <c r="R131" s="208" t="s">
        <v>391</v>
      </c>
      <c r="S131" s="262">
        <v>46274</v>
      </c>
      <c r="T131" s="6">
        <v>7.5999999999999998E-2</v>
      </c>
      <c r="U131" s="6"/>
      <c r="V131" s="6"/>
      <c r="AG131" s="368">
        <v>97</v>
      </c>
      <c r="AH131" s="29">
        <v>0.81</v>
      </c>
    </row>
    <row r="132" spans="2:34" x14ac:dyDescent="0.3">
      <c r="Q132" s="208">
        <v>136</v>
      </c>
      <c r="R132" s="208" t="s">
        <v>393</v>
      </c>
      <c r="S132" s="262">
        <v>46274</v>
      </c>
      <c r="T132" s="6">
        <v>0.35099999999999998</v>
      </c>
      <c r="U132" s="6"/>
      <c r="V132" s="6"/>
      <c r="AG132" s="368">
        <v>98</v>
      </c>
      <c r="AH132" s="29">
        <v>0.81</v>
      </c>
    </row>
    <row r="133" spans="2:34" ht="15" thickBot="1" x14ac:dyDescent="0.35">
      <c r="Q133" s="208">
        <v>137</v>
      </c>
      <c r="R133" s="208" t="s">
        <v>395</v>
      </c>
      <c r="S133" s="262">
        <v>46274</v>
      </c>
      <c r="T133" s="6">
        <v>0.184</v>
      </c>
      <c r="U133" s="6"/>
      <c r="V133" s="6"/>
      <c r="AG133" s="370">
        <v>99</v>
      </c>
      <c r="AH133" s="29">
        <v>0.81</v>
      </c>
    </row>
    <row r="134" spans="2:34" x14ac:dyDescent="0.3">
      <c r="Q134" s="208">
        <v>138</v>
      </c>
      <c r="R134" s="208" t="s">
        <v>397</v>
      </c>
      <c r="S134" s="262">
        <v>46274</v>
      </c>
      <c r="T134" s="6">
        <v>0.373</v>
      </c>
      <c r="U134" s="6"/>
      <c r="V134" s="6"/>
      <c r="AG134" s="368">
        <v>100</v>
      </c>
      <c r="AH134" s="29">
        <v>0.81</v>
      </c>
    </row>
    <row r="135" spans="2:34" x14ac:dyDescent="0.3">
      <c r="Q135" s="208">
        <v>139</v>
      </c>
      <c r="R135" s="208" t="s">
        <v>399</v>
      </c>
      <c r="S135" s="262">
        <v>46274</v>
      </c>
      <c r="T135" s="6">
        <v>0.50600000000000001</v>
      </c>
      <c r="U135" s="6"/>
      <c r="V135" s="6"/>
      <c r="AG135" s="368">
        <v>101</v>
      </c>
      <c r="AH135" s="29">
        <v>0.81</v>
      </c>
    </row>
    <row r="136" spans="2:34" x14ac:dyDescent="0.3">
      <c r="Q136" s="208">
        <v>140</v>
      </c>
      <c r="R136" s="208" t="s">
        <v>631</v>
      </c>
      <c r="S136" s="262">
        <v>46277</v>
      </c>
      <c r="T136" s="6">
        <v>0.39500000000000002</v>
      </c>
      <c r="U136" s="6"/>
      <c r="V136" s="6"/>
      <c r="AG136" s="368">
        <v>102</v>
      </c>
      <c r="AH136" s="29">
        <v>0.81</v>
      </c>
    </row>
    <row r="137" spans="2:34" ht="15" thickBot="1" x14ac:dyDescent="0.35">
      <c r="Q137" s="208">
        <v>141</v>
      </c>
      <c r="R137" s="208" t="s">
        <v>389</v>
      </c>
      <c r="S137" s="262">
        <v>46277</v>
      </c>
      <c r="T137" s="6">
        <v>0.29399999999999998</v>
      </c>
      <c r="U137" s="6"/>
      <c r="V137" s="6"/>
      <c r="AG137" s="370">
        <v>103</v>
      </c>
      <c r="AH137" s="29">
        <v>0.81</v>
      </c>
    </row>
    <row r="138" spans="2:34" x14ac:dyDescent="0.3">
      <c r="Q138" s="208">
        <v>142</v>
      </c>
      <c r="R138" s="208" t="s">
        <v>391</v>
      </c>
      <c r="S138" s="262">
        <v>46277</v>
      </c>
      <c r="T138" s="6">
        <v>0.78800000000000003</v>
      </c>
      <c r="U138" s="6"/>
      <c r="V138" s="6"/>
      <c r="AG138" s="368">
        <v>104</v>
      </c>
      <c r="AH138" s="29">
        <v>0.81</v>
      </c>
    </row>
    <row r="139" spans="2:34" x14ac:dyDescent="0.3">
      <c r="Q139" s="208">
        <v>143</v>
      </c>
      <c r="R139" s="208" t="s">
        <v>393</v>
      </c>
      <c r="S139" s="262">
        <v>46277</v>
      </c>
      <c r="T139" s="6">
        <v>0.371</v>
      </c>
      <c r="U139" s="6"/>
      <c r="V139" s="6"/>
      <c r="AG139" s="368">
        <v>105</v>
      </c>
      <c r="AH139" s="29">
        <v>0.81</v>
      </c>
    </row>
    <row r="140" spans="2:34" x14ac:dyDescent="0.3">
      <c r="Q140" s="208">
        <v>144</v>
      </c>
      <c r="R140" s="208" t="s">
        <v>395</v>
      </c>
      <c r="S140" s="262">
        <v>46277</v>
      </c>
      <c r="T140" s="6">
        <v>0.39400000000000002</v>
      </c>
      <c r="U140" s="6"/>
      <c r="V140" s="6"/>
      <c r="AG140" s="368">
        <v>106</v>
      </c>
      <c r="AH140" s="29">
        <v>0.81</v>
      </c>
    </row>
    <row r="141" spans="2:34" ht="15" thickBot="1" x14ac:dyDescent="0.35">
      <c r="B141" s="14" t="s">
        <v>70</v>
      </c>
      <c r="C141" s="14" t="s">
        <v>0</v>
      </c>
      <c r="D141" s="14" t="s">
        <v>423</v>
      </c>
      <c r="E141" s="14" t="s">
        <v>424</v>
      </c>
      <c r="F141" s="14" t="s">
        <v>426</v>
      </c>
      <c r="G141" s="14" t="s">
        <v>425</v>
      </c>
      <c r="Q141" s="208">
        <v>145</v>
      </c>
      <c r="R141" s="208" t="s">
        <v>632</v>
      </c>
      <c r="S141" s="262">
        <v>46277</v>
      </c>
      <c r="T141" s="6">
        <v>0.504</v>
      </c>
      <c r="U141" s="6"/>
      <c r="V141" s="6"/>
      <c r="AG141" s="370">
        <v>107</v>
      </c>
      <c r="AH141" s="29">
        <v>0.81</v>
      </c>
    </row>
    <row r="142" spans="2:34" x14ac:dyDescent="0.3">
      <c r="B142" s="13">
        <v>1</v>
      </c>
      <c r="C142" s="73">
        <v>46261</v>
      </c>
      <c r="D142" s="13" t="s">
        <v>429</v>
      </c>
      <c r="E142" s="13">
        <v>1238</v>
      </c>
      <c r="F142" s="13">
        <v>1.39</v>
      </c>
      <c r="G142" s="39">
        <f>E142*F142</f>
        <v>1720.82</v>
      </c>
      <c r="Q142" s="208">
        <v>146</v>
      </c>
      <c r="R142" s="208" t="s">
        <v>397</v>
      </c>
      <c r="S142" s="262">
        <v>46277</v>
      </c>
      <c r="T142" s="6">
        <v>0.39300000000000002</v>
      </c>
      <c r="U142" s="6"/>
      <c r="V142" s="6"/>
      <c r="AG142" s="368">
        <v>108</v>
      </c>
      <c r="AH142" s="29">
        <v>0.81</v>
      </c>
    </row>
    <row r="143" spans="2:34" x14ac:dyDescent="0.3">
      <c r="B143" s="13"/>
      <c r="C143" s="73"/>
      <c r="D143" s="13"/>
      <c r="E143" s="13"/>
      <c r="F143" s="13"/>
      <c r="G143" s="13"/>
      <c r="Q143" s="208">
        <v>147</v>
      </c>
      <c r="R143" s="208" t="s">
        <v>399</v>
      </c>
      <c r="S143" s="262">
        <v>46277</v>
      </c>
      <c r="T143" s="6">
        <v>0.46200000000000002</v>
      </c>
      <c r="U143" s="6"/>
      <c r="V143" s="6"/>
      <c r="AG143" s="368">
        <v>109</v>
      </c>
      <c r="AH143" s="29">
        <v>0.81</v>
      </c>
    </row>
    <row r="144" spans="2:34" x14ac:dyDescent="0.3">
      <c r="Q144" s="208">
        <v>148</v>
      </c>
      <c r="R144" s="208" t="s">
        <v>401</v>
      </c>
      <c r="S144" s="262">
        <v>46277</v>
      </c>
      <c r="T144" s="6">
        <v>0.70299999999999996</v>
      </c>
      <c r="U144" s="6"/>
      <c r="V144" s="6"/>
      <c r="AG144" s="368">
        <v>110</v>
      </c>
      <c r="AH144" s="29">
        <v>0.81</v>
      </c>
    </row>
    <row r="145" spans="4:34" ht="15" thickBot="1" x14ac:dyDescent="0.35">
      <c r="D145" s="1">
        <v>20</v>
      </c>
      <c r="E145" s="1">
        <v>0.92100000000000004</v>
      </c>
      <c r="F145" s="1">
        <f>D145*1.3</f>
        <v>26</v>
      </c>
      <c r="G145" s="1">
        <f>F145*E145</f>
        <v>23.946000000000002</v>
      </c>
      <c r="Q145" s="208">
        <v>149</v>
      </c>
      <c r="R145" s="208" t="s">
        <v>403</v>
      </c>
      <c r="S145" s="262">
        <v>46277</v>
      </c>
      <c r="T145" s="6">
        <v>0.753</v>
      </c>
      <c r="U145" s="6"/>
      <c r="V145" s="6"/>
      <c r="AG145" s="370">
        <v>111</v>
      </c>
      <c r="AH145" s="29">
        <v>0.81</v>
      </c>
    </row>
    <row r="146" spans="4:34" x14ac:dyDescent="0.3">
      <c r="D146" s="1">
        <v>132</v>
      </c>
      <c r="E146" s="1">
        <v>0.92100000000000004</v>
      </c>
      <c r="F146" s="1">
        <f t="shared" ref="F146:F149" si="6">D146*1.3</f>
        <v>171.6</v>
      </c>
      <c r="G146" s="1">
        <f t="shared" ref="G146:G149" si="7">F146*E146</f>
        <v>158.0436</v>
      </c>
      <c r="J146" s="357">
        <v>69</v>
      </c>
      <c r="K146" s="357">
        <v>0.56999999999999995</v>
      </c>
      <c r="L146" s="357">
        <f>J146*1.3</f>
        <v>89.7</v>
      </c>
      <c r="M146" s="362">
        <f>L146*K146</f>
        <v>51.128999999999998</v>
      </c>
      <c r="Q146" s="208">
        <v>150</v>
      </c>
      <c r="R146" s="208" t="s">
        <v>384</v>
      </c>
      <c r="S146" s="262">
        <v>46277</v>
      </c>
      <c r="T146" s="6">
        <v>0.92600000000000005</v>
      </c>
      <c r="U146" s="6"/>
      <c r="V146" s="6"/>
      <c r="AG146" s="368">
        <v>112</v>
      </c>
      <c r="AH146" s="29">
        <v>0.81</v>
      </c>
    </row>
    <row r="147" spans="4:34" x14ac:dyDescent="0.3">
      <c r="D147" s="1">
        <v>24</v>
      </c>
      <c r="E147" s="1">
        <v>0.88700000000000001</v>
      </c>
      <c r="F147" s="1">
        <f t="shared" si="6"/>
        <v>31.200000000000003</v>
      </c>
      <c r="G147" s="1">
        <f t="shared" si="7"/>
        <v>27.674400000000002</v>
      </c>
      <c r="J147" s="357">
        <v>9</v>
      </c>
      <c r="K147" s="357">
        <v>0.36899999999999999</v>
      </c>
      <c r="L147" s="357">
        <f t="shared" ref="L147:L154" si="8">J147*1.3</f>
        <v>11.700000000000001</v>
      </c>
      <c r="M147" s="362">
        <f t="shared" ref="M147:M154" si="9">L147*K147</f>
        <v>4.3173000000000004</v>
      </c>
      <c r="Q147" s="208">
        <v>151</v>
      </c>
      <c r="R147" s="208" t="s">
        <v>404</v>
      </c>
      <c r="S147" s="262">
        <v>46277</v>
      </c>
      <c r="T147" s="6">
        <v>0.33</v>
      </c>
      <c r="U147" s="6"/>
      <c r="V147" s="6"/>
      <c r="AG147" s="368">
        <v>113</v>
      </c>
      <c r="AH147" s="29">
        <v>0.81</v>
      </c>
    </row>
    <row r="148" spans="4:34" x14ac:dyDescent="0.3">
      <c r="D148" s="1">
        <v>54</v>
      </c>
      <c r="E148" s="1">
        <v>0.88700000000000001</v>
      </c>
      <c r="F148" s="1">
        <f t="shared" si="6"/>
        <v>70.2</v>
      </c>
      <c r="G148" s="1">
        <f t="shared" si="7"/>
        <v>62.267400000000002</v>
      </c>
      <c r="J148" s="357">
        <v>331</v>
      </c>
      <c r="K148" s="357">
        <v>0.36899999999999999</v>
      </c>
      <c r="L148" s="357">
        <f t="shared" si="8"/>
        <v>430.3</v>
      </c>
      <c r="M148" s="362">
        <f t="shared" si="9"/>
        <v>158.7807</v>
      </c>
      <c r="Q148" s="208">
        <v>152</v>
      </c>
      <c r="R148" s="6" t="s">
        <v>631</v>
      </c>
      <c r="S148" s="262">
        <v>46278</v>
      </c>
      <c r="T148" s="936">
        <v>1.4</v>
      </c>
      <c r="U148" s="6"/>
      <c r="V148" s="6"/>
      <c r="AG148" s="368">
        <v>114</v>
      </c>
      <c r="AH148" s="29">
        <v>0.81</v>
      </c>
    </row>
    <row r="149" spans="4:34" ht="15" thickBot="1" x14ac:dyDescent="0.35">
      <c r="D149" s="1">
        <v>476</v>
      </c>
      <c r="E149" s="1">
        <v>0.67800000000000005</v>
      </c>
      <c r="F149" s="1">
        <f t="shared" si="6"/>
        <v>618.80000000000007</v>
      </c>
      <c r="G149" s="1">
        <f t="shared" si="7"/>
        <v>419.54640000000006</v>
      </c>
      <c r="J149" s="357">
        <v>431</v>
      </c>
      <c r="K149" s="357">
        <v>0.36099999999999999</v>
      </c>
      <c r="L149" s="357">
        <f t="shared" si="8"/>
        <v>560.30000000000007</v>
      </c>
      <c r="M149" s="362">
        <f t="shared" si="9"/>
        <v>202.26830000000001</v>
      </c>
      <c r="Q149" s="208">
        <v>153</v>
      </c>
      <c r="R149" s="6" t="s">
        <v>384</v>
      </c>
      <c r="S149" s="262">
        <v>46278</v>
      </c>
      <c r="T149" s="6">
        <v>1.139</v>
      </c>
      <c r="U149" s="6"/>
      <c r="V149" s="6"/>
      <c r="AG149" s="370">
        <v>115</v>
      </c>
      <c r="AH149" s="29">
        <v>0.81</v>
      </c>
    </row>
    <row r="150" spans="4:34" x14ac:dyDescent="0.3">
      <c r="D150" s="1">
        <v>31</v>
      </c>
      <c r="E150" s="1">
        <v>0.65700000000000003</v>
      </c>
      <c r="F150" s="1">
        <f>D150*1.3</f>
        <v>40.300000000000004</v>
      </c>
      <c r="G150" s="1">
        <f>F150*E150</f>
        <v>26.477100000000004</v>
      </c>
      <c r="J150" s="357">
        <v>73</v>
      </c>
      <c r="K150" s="357">
        <v>0.38100000000000001</v>
      </c>
      <c r="L150" s="357">
        <f t="shared" si="8"/>
        <v>94.9</v>
      </c>
      <c r="M150" s="362">
        <f t="shared" si="9"/>
        <v>36.1569</v>
      </c>
      <c r="Q150" s="208">
        <v>154</v>
      </c>
      <c r="R150" s="208" t="s">
        <v>391</v>
      </c>
      <c r="S150" s="262">
        <v>46284</v>
      </c>
      <c r="T150" s="6">
        <v>0.36399999999999999</v>
      </c>
      <c r="U150" s="6"/>
      <c r="V150" s="6"/>
      <c r="AG150" s="368">
        <v>116</v>
      </c>
      <c r="AH150" s="29">
        <v>0.81</v>
      </c>
    </row>
    <row r="151" spans="4:34" x14ac:dyDescent="0.3">
      <c r="G151" s="10">
        <f>SUM(G145:G150)</f>
        <v>717.95490000000007</v>
      </c>
      <c r="J151" s="357">
        <v>78</v>
      </c>
      <c r="K151" s="357">
        <v>0.32</v>
      </c>
      <c r="L151" s="357">
        <f t="shared" si="8"/>
        <v>101.4</v>
      </c>
      <c r="M151" s="362">
        <f t="shared" si="9"/>
        <v>32.448</v>
      </c>
      <c r="Q151" s="208">
        <v>155</v>
      </c>
      <c r="R151" s="208" t="s">
        <v>393</v>
      </c>
      <c r="S151" s="262">
        <v>46284</v>
      </c>
      <c r="T151" s="6">
        <v>0.34200000000000003</v>
      </c>
      <c r="U151" s="6"/>
      <c r="V151" s="6"/>
      <c r="AG151" s="368">
        <v>117</v>
      </c>
      <c r="AH151" s="29">
        <v>0.81</v>
      </c>
    </row>
    <row r="152" spans="4:34" x14ac:dyDescent="0.3">
      <c r="G152" s="10">
        <f>G150+M155</f>
        <v>680.33940000000007</v>
      </c>
      <c r="J152" s="357">
        <v>46</v>
      </c>
      <c r="K152" s="357">
        <v>0.432</v>
      </c>
      <c r="L152" s="357">
        <f t="shared" si="8"/>
        <v>59.800000000000004</v>
      </c>
      <c r="M152" s="362">
        <f t="shared" si="9"/>
        <v>25.833600000000001</v>
      </c>
      <c r="Q152" s="208">
        <v>156</v>
      </c>
      <c r="R152" s="208" t="s">
        <v>395</v>
      </c>
      <c r="S152" s="262">
        <v>46284</v>
      </c>
      <c r="T152" s="6">
        <v>0.36699999999999999</v>
      </c>
      <c r="U152" s="6"/>
      <c r="V152" s="6"/>
      <c r="AG152" s="368">
        <v>118</v>
      </c>
      <c r="AH152" s="29">
        <v>0.81</v>
      </c>
    </row>
    <row r="153" spans="4:34" ht="15" thickBot="1" x14ac:dyDescent="0.35">
      <c r="F153" s="10">
        <f>SUM(F145:F150)</f>
        <v>958.1</v>
      </c>
      <c r="G153" s="117">
        <f>SUM(G145:G150)/SUM(F145:F150)</f>
        <v>0.7493527815468114</v>
      </c>
      <c r="J153" s="357">
        <v>193</v>
      </c>
      <c r="K153" s="357">
        <v>0.505</v>
      </c>
      <c r="L153" s="357">
        <f t="shared" si="8"/>
        <v>250.9</v>
      </c>
      <c r="M153" s="362">
        <f t="shared" si="9"/>
        <v>126.70450000000001</v>
      </c>
      <c r="Q153" s="208">
        <v>157</v>
      </c>
      <c r="R153" s="208" t="s">
        <v>632</v>
      </c>
      <c r="S153" s="262">
        <v>46284</v>
      </c>
      <c r="T153" s="6">
        <v>0.68400000000000005</v>
      </c>
      <c r="U153" s="6"/>
      <c r="V153" s="6"/>
      <c r="AG153" s="370">
        <v>119</v>
      </c>
      <c r="AH153" s="29">
        <v>0.81</v>
      </c>
    </row>
    <row r="154" spans="4:34" x14ac:dyDescent="0.3">
      <c r="F154" s="10">
        <f>F153+L156</f>
        <v>2598.7000000000003</v>
      </c>
      <c r="J154" s="357">
        <v>32</v>
      </c>
      <c r="K154" s="357">
        <v>0.39</v>
      </c>
      <c r="L154" s="357">
        <f t="shared" si="8"/>
        <v>41.6</v>
      </c>
      <c r="M154" s="362">
        <f t="shared" si="9"/>
        <v>16.224</v>
      </c>
      <c r="Q154" s="208">
        <v>158</v>
      </c>
      <c r="R154" s="208" t="s">
        <v>397</v>
      </c>
      <c r="S154" s="262">
        <v>46284</v>
      </c>
      <c r="T154" s="6">
        <v>0.35599999999999998</v>
      </c>
      <c r="U154" s="6"/>
      <c r="V154" s="6"/>
      <c r="AG154" s="368">
        <v>120</v>
      </c>
      <c r="AH154" s="29">
        <v>0.81</v>
      </c>
    </row>
    <row r="155" spans="4:34" x14ac:dyDescent="0.3">
      <c r="F155" s="117">
        <f>G152/F154</f>
        <v>0.26179989994997499</v>
      </c>
      <c r="M155" s="362">
        <f>SUM(M146:M154)</f>
        <v>653.86230000000012</v>
      </c>
      <c r="Q155" s="208">
        <v>159</v>
      </c>
      <c r="R155" s="208" t="s">
        <v>399</v>
      </c>
      <c r="S155" s="262">
        <v>46284</v>
      </c>
      <c r="T155" s="6">
        <v>0.52500000000000002</v>
      </c>
      <c r="U155" s="6"/>
      <c r="V155" s="6"/>
      <c r="AG155" s="368">
        <v>121</v>
      </c>
      <c r="AH155" s="29">
        <v>0.81</v>
      </c>
    </row>
    <row r="156" spans="4:34" x14ac:dyDescent="0.3">
      <c r="G156" s="1">
        <f>F153/250</f>
        <v>3.8324000000000003</v>
      </c>
      <c r="L156" s="357">
        <f>SUM(L146:L154)</f>
        <v>1640.6000000000001</v>
      </c>
      <c r="M156" s="1123">
        <f>SUM(M146:M154)/SUM(L146:L154)</f>
        <v>0.39855071315372431</v>
      </c>
      <c r="Q156" s="208">
        <v>160</v>
      </c>
      <c r="R156" s="208" t="s">
        <v>401</v>
      </c>
      <c r="S156" s="262">
        <v>46284</v>
      </c>
      <c r="T156" s="936">
        <v>0.82299999999999995</v>
      </c>
      <c r="U156" s="6"/>
      <c r="V156" s="6"/>
      <c r="AG156" s="368">
        <v>122</v>
      </c>
      <c r="AH156" s="29">
        <v>0.81</v>
      </c>
    </row>
    <row r="157" spans="4:34" ht="15" thickBot="1" x14ac:dyDescent="0.35">
      <c r="Q157" s="208">
        <v>161</v>
      </c>
      <c r="R157" s="208" t="s">
        <v>669</v>
      </c>
      <c r="S157" s="262">
        <v>46284</v>
      </c>
      <c r="T157" s="6">
        <v>0.72699999999999998</v>
      </c>
      <c r="U157" s="6"/>
      <c r="V157" s="6"/>
      <c r="AG157" s="370">
        <v>123</v>
      </c>
      <c r="AH157" s="29">
        <v>0.81</v>
      </c>
    </row>
    <row r="158" spans="4:34" x14ac:dyDescent="0.3">
      <c r="Q158" s="208">
        <v>162</v>
      </c>
      <c r="R158" s="6" t="s">
        <v>670</v>
      </c>
      <c r="S158" s="262">
        <v>46284</v>
      </c>
      <c r="T158" s="6">
        <v>1.0780000000000001</v>
      </c>
      <c r="U158" s="6"/>
      <c r="V158" s="6"/>
      <c r="AG158" s="368">
        <v>124</v>
      </c>
      <c r="AH158" s="29">
        <v>0.81</v>
      </c>
    </row>
    <row r="159" spans="4:34" x14ac:dyDescent="0.3">
      <c r="Q159" s="208">
        <v>163</v>
      </c>
      <c r="R159" s="6" t="s">
        <v>671</v>
      </c>
      <c r="S159" s="262">
        <v>46284</v>
      </c>
      <c r="T159" s="6">
        <v>0.872</v>
      </c>
      <c r="U159" s="6"/>
      <c r="V159" s="6"/>
      <c r="AG159" s="368">
        <v>125</v>
      </c>
      <c r="AH159" s="29">
        <v>0.81</v>
      </c>
    </row>
    <row r="160" spans="4:34" x14ac:dyDescent="0.3">
      <c r="Q160" s="208">
        <v>164</v>
      </c>
      <c r="R160" s="6" t="s">
        <v>672</v>
      </c>
      <c r="S160" s="262">
        <v>46284</v>
      </c>
      <c r="T160" s="6">
        <v>0.24399999999999999</v>
      </c>
      <c r="U160" s="6"/>
      <c r="V160" s="6"/>
      <c r="AG160" s="368">
        <v>126</v>
      </c>
      <c r="AH160" s="29">
        <v>0.81</v>
      </c>
    </row>
    <row r="161" spans="17:34" ht="15" thickBot="1" x14ac:dyDescent="0.35">
      <c r="Q161" s="208">
        <v>165</v>
      </c>
      <c r="R161" s="6" t="s">
        <v>673</v>
      </c>
      <c r="S161" s="262">
        <v>46285</v>
      </c>
      <c r="T161" s="6">
        <v>0.42799999999999999</v>
      </c>
      <c r="U161" s="6"/>
      <c r="V161" s="6"/>
      <c r="AG161" s="370">
        <v>127</v>
      </c>
      <c r="AH161" s="29">
        <v>0.81</v>
      </c>
    </row>
    <row r="162" spans="17:34" x14ac:dyDescent="0.3">
      <c r="Q162" s="208">
        <v>166</v>
      </c>
      <c r="R162" s="6" t="s">
        <v>674</v>
      </c>
      <c r="S162" s="262">
        <v>46285</v>
      </c>
      <c r="T162" s="6">
        <v>0.88100000000000001</v>
      </c>
      <c r="U162" s="6"/>
      <c r="V162" s="6"/>
      <c r="AG162" s="368">
        <v>128</v>
      </c>
      <c r="AH162" s="29">
        <v>0.81</v>
      </c>
    </row>
    <row r="163" spans="17:34" x14ac:dyDescent="0.3">
      <c r="Q163" s="208">
        <v>167</v>
      </c>
      <c r="R163" s="6" t="s">
        <v>675</v>
      </c>
      <c r="S163" s="262">
        <v>46285</v>
      </c>
      <c r="T163" s="6">
        <v>0.4</v>
      </c>
      <c r="U163" s="6"/>
      <c r="V163" s="6"/>
      <c r="AG163" s="368">
        <v>129</v>
      </c>
      <c r="AH163" s="29">
        <v>0.81</v>
      </c>
    </row>
    <row r="164" spans="17:34" x14ac:dyDescent="0.3">
      <c r="Q164" s="208">
        <v>168</v>
      </c>
      <c r="R164" s="6" t="s">
        <v>676</v>
      </c>
      <c r="S164" s="262">
        <v>46285</v>
      </c>
      <c r="T164" s="6">
        <v>0.58399999999999996</v>
      </c>
      <c r="U164" s="6"/>
      <c r="V164" s="6"/>
      <c r="AG164" s="368">
        <v>130</v>
      </c>
      <c r="AH164" s="29">
        <v>0.81</v>
      </c>
    </row>
    <row r="165" spans="17:34" ht="15" thickBot="1" x14ac:dyDescent="0.35">
      <c r="Q165" s="208">
        <v>169</v>
      </c>
      <c r="R165" s="6" t="s">
        <v>677</v>
      </c>
      <c r="S165" s="262">
        <v>46285</v>
      </c>
      <c r="T165" s="6">
        <v>0.501</v>
      </c>
      <c r="U165" s="6"/>
      <c r="V165" s="6"/>
      <c r="AG165" s="370">
        <v>131</v>
      </c>
      <c r="AH165" s="29">
        <v>0.81</v>
      </c>
    </row>
    <row r="166" spans="17:34" x14ac:dyDescent="0.3">
      <c r="Q166" s="208">
        <v>170</v>
      </c>
      <c r="R166" s="6" t="s">
        <v>678</v>
      </c>
      <c r="S166" s="262">
        <v>46285</v>
      </c>
      <c r="T166" s="6">
        <v>0.78500000000000003</v>
      </c>
      <c r="U166" s="6"/>
      <c r="V166" s="6"/>
      <c r="AG166" s="368">
        <v>132</v>
      </c>
      <c r="AH166" s="29">
        <v>0.81</v>
      </c>
    </row>
    <row r="167" spans="17:34" x14ac:dyDescent="0.3">
      <c r="Q167" s="208">
        <v>171</v>
      </c>
      <c r="R167" s="6" t="s">
        <v>631</v>
      </c>
      <c r="S167" s="262">
        <v>46285</v>
      </c>
      <c r="T167" s="6">
        <v>0.81599999999999995</v>
      </c>
      <c r="U167" s="6"/>
      <c r="V167" s="6"/>
      <c r="AG167" s="368">
        <v>133</v>
      </c>
      <c r="AH167" s="29">
        <v>0.81</v>
      </c>
    </row>
    <row r="168" spans="17:34" x14ac:dyDescent="0.3">
      <c r="Q168" s="208">
        <v>172</v>
      </c>
      <c r="R168" s="6" t="s">
        <v>389</v>
      </c>
      <c r="S168" s="262">
        <v>46285</v>
      </c>
      <c r="T168" s="6">
        <v>0.82599999999999996</v>
      </c>
      <c r="U168" s="6"/>
      <c r="V168" s="6"/>
    </row>
    <row r="169" spans="17:34" x14ac:dyDescent="0.3">
      <c r="Q169" s="208">
        <v>173</v>
      </c>
      <c r="R169" s="208" t="s">
        <v>391</v>
      </c>
      <c r="S169" s="262">
        <v>46285</v>
      </c>
      <c r="T169" s="6">
        <v>0.63700000000000001</v>
      </c>
      <c r="U169" s="6"/>
      <c r="V169" s="6"/>
    </row>
    <row r="170" spans="17:34" x14ac:dyDescent="0.3">
      <c r="Q170" s="208">
        <v>174</v>
      </c>
      <c r="R170" s="208" t="s">
        <v>393</v>
      </c>
      <c r="S170" s="262">
        <v>46285</v>
      </c>
      <c r="T170" s="6">
        <v>0.59099999999999997</v>
      </c>
      <c r="U170" s="6"/>
      <c r="V170" s="6"/>
    </row>
    <row r="171" spans="17:34" x14ac:dyDescent="0.3">
      <c r="Q171" s="208">
        <v>175</v>
      </c>
      <c r="R171" s="208" t="s">
        <v>395</v>
      </c>
      <c r="S171" s="262">
        <v>46285</v>
      </c>
      <c r="T171" s="6">
        <v>0.54200000000000004</v>
      </c>
      <c r="U171" s="6"/>
      <c r="V171" s="6"/>
    </row>
    <row r="172" spans="17:34" x14ac:dyDescent="0.3">
      <c r="Q172" s="208">
        <v>176</v>
      </c>
      <c r="R172" s="208" t="s">
        <v>632</v>
      </c>
      <c r="S172" s="262">
        <v>46285</v>
      </c>
      <c r="T172" s="6">
        <v>0.755</v>
      </c>
      <c r="U172" s="6"/>
      <c r="V172" s="6"/>
    </row>
    <row r="173" spans="17:34" x14ac:dyDescent="0.3">
      <c r="Q173" s="208">
        <v>177</v>
      </c>
      <c r="R173" s="6" t="s">
        <v>672</v>
      </c>
      <c r="S173" s="262">
        <v>46285</v>
      </c>
      <c r="T173" s="6">
        <v>1.1060000000000001</v>
      </c>
      <c r="U173" s="6"/>
      <c r="V173" s="6"/>
    </row>
    <row r="174" spans="17:34" x14ac:dyDescent="0.3">
      <c r="Q174" s="208">
        <v>178</v>
      </c>
      <c r="R174" s="6" t="s">
        <v>744</v>
      </c>
      <c r="S174" s="262">
        <v>46285</v>
      </c>
      <c r="T174" s="6">
        <v>1.097</v>
      </c>
      <c r="U174" s="6"/>
      <c r="V174" s="6"/>
    </row>
    <row r="175" spans="17:34" x14ac:dyDescent="0.3">
      <c r="Q175" s="208">
        <v>179</v>
      </c>
      <c r="R175" s="208" t="s">
        <v>745</v>
      </c>
      <c r="S175" s="262">
        <v>46286</v>
      </c>
      <c r="T175" s="6">
        <v>0.77700000000000002</v>
      </c>
      <c r="U175" s="6"/>
      <c r="V175" s="6"/>
    </row>
    <row r="176" spans="17:34" x14ac:dyDescent="0.3">
      <c r="Q176" s="208">
        <v>180</v>
      </c>
      <c r="R176" s="208" t="s">
        <v>674</v>
      </c>
      <c r="S176" s="262">
        <v>46286</v>
      </c>
      <c r="T176" s="6">
        <v>1.2330000000000001</v>
      </c>
      <c r="U176" s="6"/>
      <c r="V176" s="6"/>
    </row>
    <row r="177" spans="17:22" x14ac:dyDescent="0.3">
      <c r="Q177" s="208">
        <v>181</v>
      </c>
      <c r="R177" s="208" t="s">
        <v>675</v>
      </c>
      <c r="S177" s="262">
        <v>46286</v>
      </c>
      <c r="T177" s="6">
        <v>1.0569999999999999</v>
      </c>
      <c r="U177" s="6"/>
      <c r="V177" s="6"/>
    </row>
    <row r="178" spans="17:22" x14ac:dyDescent="0.3">
      <c r="Q178" s="208">
        <v>182</v>
      </c>
      <c r="R178" s="208" t="s">
        <v>676</v>
      </c>
      <c r="S178" s="262">
        <v>46286</v>
      </c>
      <c r="T178" s="6">
        <v>0.59299999999999997</v>
      </c>
      <c r="U178" s="6"/>
      <c r="V178" s="6"/>
    </row>
    <row r="179" spans="17:22" x14ac:dyDescent="0.3">
      <c r="Q179" s="208">
        <v>183</v>
      </c>
      <c r="R179" s="208" t="s">
        <v>677</v>
      </c>
      <c r="S179" s="262">
        <v>46286</v>
      </c>
      <c r="T179" s="6">
        <v>1.234</v>
      </c>
      <c r="U179" s="6"/>
      <c r="V179" s="6"/>
    </row>
    <row r="180" spans="17:22" x14ac:dyDescent="0.3">
      <c r="Q180" s="208">
        <v>184</v>
      </c>
      <c r="R180" s="208" t="s">
        <v>391</v>
      </c>
      <c r="S180" s="262">
        <v>46286</v>
      </c>
      <c r="T180" s="6">
        <v>0.46899999999999997</v>
      </c>
      <c r="U180" s="6"/>
      <c r="V180" s="6"/>
    </row>
    <row r="181" spans="17:22" x14ac:dyDescent="0.3">
      <c r="Q181" s="208">
        <v>185</v>
      </c>
      <c r="R181" s="208" t="s">
        <v>393</v>
      </c>
      <c r="S181" s="262">
        <v>46286</v>
      </c>
      <c r="T181" s="6">
        <v>0.52300000000000002</v>
      </c>
      <c r="U181" s="6"/>
      <c r="V181" s="6"/>
    </row>
    <row r="182" spans="17:22" x14ac:dyDescent="0.3">
      <c r="Q182" s="208">
        <v>186</v>
      </c>
      <c r="R182" s="208" t="s">
        <v>395</v>
      </c>
      <c r="S182" s="262">
        <v>46286</v>
      </c>
      <c r="T182" s="6">
        <v>1.629</v>
      </c>
      <c r="U182" s="6"/>
      <c r="V182" s="6"/>
    </row>
    <row r="183" spans="17:22" x14ac:dyDescent="0.3">
      <c r="Q183" s="208">
        <v>187</v>
      </c>
      <c r="R183" s="208" t="s">
        <v>397</v>
      </c>
      <c r="S183" s="262">
        <v>46286</v>
      </c>
      <c r="T183" s="6">
        <v>0.50800000000000001</v>
      </c>
      <c r="U183" s="6"/>
      <c r="V183" s="6"/>
    </row>
    <row r="184" spans="17:22" x14ac:dyDescent="0.3">
      <c r="Q184" s="208">
        <v>188</v>
      </c>
      <c r="R184" s="208" t="s">
        <v>399</v>
      </c>
      <c r="S184" s="262">
        <v>46286</v>
      </c>
      <c r="T184" s="6">
        <v>0.51300000000000001</v>
      </c>
      <c r="U184" s="6"/>
      <c r="V184" s="6"/>
    </row>
    <row r="185" spans="17:22" x14ac:dyDescent="0.3">
      <c r="Q185" s="208">
        <v>189</v>
      </c>
      <c r="R185" s="208" t="s">
        <v>401</v>
      </c>
      <c r="S185" s="262">
        <v>46286</v>
      </c>
      <c r="T185" s="6">
        <v>0.996</v>
      </c>
      <c r="U185" s="6"/>
      <c r="V185" s="6"/>
    </row>
    <row r="186" spans="17:22" x14ac:dyDescent="0.3">
      <c r="Q186" s="208">
        <v>190</v>
      </c>
      <c r="R186" s="208" t="s">
        <v>403</v>
      </c>
      <c r="S186" s="262">
        <v>46286</v>
      </c>
      <c r="T186" s="6">
        <v>0.57499999999999996</v>
      </c>
      <c r="U186" s="6"/>
      <c r="V186" s="6"/>
    </row>
    <row r="187" spans="17:22" x14ac:dyDescent="0.3">
      <c r="Q187" s="208">
        <v>191</v>
      </c>
      <c r="R187" s="208" t="s">
        <v>384</v>
      </c>
      <c r="S187" s="262">
        <v>46286</v>
      </c>
      <c r="T187" s="6">
        <v>0.51</v>
      </c>
      <c r="U187" s="6"/>
      <c r="V187" s="6"/>
    </row>
    <row r="188" spans="17:22" x14ac:dyDescent="0.3">
      <c r="Q188" s="208">
        <v>192</v>
      </c>
      <c r="R188" s="208" t="s">
        <v>404</v>
      </c>
      <c r="S188" s="262">
        <v>46286</v>
      </c>
      <c r="T188" s="6">
        <v>1.131</v>
      </c>
      <c r="U188" s="6"/>
      <c r="V188" s="6"/>
    </row>
    <row r="189" spans="17:22" x14ac:dyDescent="0.3">
      <c r="Q189" s="208">
        <v>193</v>
      </c>
      <c r="R189" s="208" t="s">
        <v>406</v>
      </c>
      <c r="S189" s="262">
        <v>46286</v>
      </c>
      <c r="T189" s="6">
        <v>0.63500000000000001</v>
      </c>
      <c r="U189" s="6"/>
      <c r="V189" s="6"/>
    </row>
    <row r="190" spans="17:22" x14ac:dyDescent="0.3">
      <c r="Q190" s="208">
        <v>194</v>
      </c>
      <c r="R190" s="208" t="s">
        <v>395</v>
      </c>
      <c r="S190" s="262">
        <v>46287</v>
      </c>
      <c r="T190" s="6">
        <v>1.0980000000000001</v>
      </c>
      <c r="U190" s="6"/>
      <c r="V190" s="6"/>
    </row>
    <row r="191" spans="17:22" x14ac:dyDescent="0.3">
      <c r="Q191" s="208">
        <v>195</v>
      </c>
      <c r="R191" s="208" t="s">
        <v>397</v>
      </c>
      <c r="S191" s="262">
        <v>46287</v>
      </c>
      <c r="T191" s="6">
        <v>1.464</v>
      </c>
      <c r="U191" s="6"/>
      <c r="V191" s="6"/>
    </row>
    <row r="192" spans="17:22" x14ac:dyDescent="0.3">
      <c r="Q192" s="208">
        <v>196</v>
      </c>
      <c r="R192" s="208" t="s">
        <v>399</v>
      </c>
      <c r="S192" s="262">
        <v>46287</v>
      </c>
      <c r="T192" s="6">
        <v>0.90800000000000003</v>
      </c>
      <c r="U192" s="6"/>
      <c r="V192" s="6"/>
    </row>
    <row r="193" spans="17:22" x14ac:dyDescent="0.3">
      <c r="Q193" s="208">
        <v>197</v>
      </c>
      <c r="R193" s="208" t="s">
        <v>401</v>
      </c>
      <c r="S193" s="262">
        <v>46287</v>
      </c>
      <c r="T193" s="6">
        <v>1.379</v>
      </c>
      <c r="U193" s="6"/>
      <c r="V193" s="6"/>
    </row>
    <row r="194" spans="17:22" x14ac:dyDescent="0.3">
      <c r="Q194" s="208">
        <v>198</v>
      </c>
      <c r="R194" s="208" t="s">
        <v>399</v>
      </c>
      <c r="S194" s="262">
        <v>46288</v>
      </c>
      <c r="T194" s="6">
        <v>0.88</v>
      </c>
      <c r="U194" s="6"/>
      <c r="V194" s="6"/>
    </row>
    <row r="195" spans="17:22" x14ac:dyDescent="0.3">
      <c r="Q195" s="208">
        <v>199</v>
      </c>
      <c r="R195" s="208" t="s">
        <v>401</v>
      </c>
      <c r="S195" s="262">
        <v>46288</v>
      </c>
      <c r="T195" s="6">
        <v>0.50900000000000001</v>
      </c>
      <c r="U195" s="6"/>
      <c r="V195" s="6"/>
    </row>
    <row r="196" spans="17:22" x14ac:dyDescent="0.3">
      <c r="Q196" s="208">
        <v>200</v>
      </c>
      <c r="R196" s="208" t="s">
        <v>403</v>
      </c>
      <c r="S196" s="262">
        <v>46288</v>
      </c>
      <c r="T196" s="6">
        <v>0.38800000000000001</v>
      </c>
      <c r="U196" s="6"/>
      <c r="V196" s="6"/>
    </row>
    <row r="197" spans="17:22" x14ac:dyDescent="0.3">
      <c r="Q197" s="208">
        <v>201</v>
      </c>
      <c r="R197" s="208" t="s">
        <v>384</v>
      </c>
      <c r="S197" s="262">
        <v>46288</v>
      </c>
      <c r="T197" s="6">
        <v>0.32700000000000001</v>
      </c>
      <c r="U197" s="6"/>
      <c r="V197" s="6"/>
    </row>
    <row r="198" spans="17:22" x14ac:dyDescent="0.3">
      <c r="Q198" s="208">
        <v>202</v>
      </c>
      <c r="R198" s="208" t="s">
        <v>669</v>
      </c>
      <c r="S198" s="262">
        <v>46288</v>
      </c>
      <c r="T198" s="6">
        <v>0.47699999999999998</v>
      </c>
      <c r="U198" s="6"/>
      <c r="V198" s="6"/>
    </row>
    <row r="199" spans="17:22" x14ac:dyDescent="0.3">
      <c r="Q199" s="208">
        <v>203</v>
      </c>
      <c r="R199" s="6" t="s">
        <v>670</v>
      </c>
      <c r="S199" s="262">
        <v>46288</v>
      </c>
      <c r="T199" s="6">
        <v>0.34200000000000003</v>
      </c>
      <c r="U199" s="6"/>
      <c r="V199" s="6"/>
    </row>
    <row r="200" spans="17:22" x14ac:dyDescent="0.3">
      <c r="Q200" s="208">
        <v>204</v>
      </c>
      <c r="R200" s="6" t="s">
        <v>671</v>
      </c>
      <c r="S200" s="262">
        <v>46288</v>
      </c>
      <c r="T200" s="6">
        <v>0.67500000000000004</v>
      </c>
      <c r="U200" s="6"/>
      <c r="V200" s="6"/>
    </row>
    <row r="201" spans="17:22" x14ac:dyDescent="0.3">
      <c r="Q201" s="208">
        <v>205</v>
      </c>
      <c r="R201" s="6" t="s">
        <v>672</v>
      </c>
      <c r="S201" s="262">
        <v>46288</v>
      </c>
      <c r="T201" s="6">
        <v>0.30199999999999999</v>
      </c>
      <c r="U201" s="6"/>
      <c r="V201" s="6"/>
    </row>
    <row r="202" spans="17:22" x14ac:dyDescent="0.3">
      <c r="Q202" s="208">
        <v>206</v>
      </c>
      <c r="R202" s="6" t="s">
        <v>673</v>
      </c>
      <c r="S202" s="262">
        <v>46289</v>
      </c>
      <c r="T202" s="6">
        <v>0.97899999999999998</v>
      </c>
      <c r="U202" s="6"/>
      <c r="V202" s="6"/>
    </row>
    <row r="203" spans="17:22" x14ac:dyDescent="0.3">
      <c r="Q203" s="208">
        <v>207</v>
      </c>
      <c r="R203" s="6" t="s">
        <v>674</v>
      </c>
      <c r="S203" s="262">
        <v>46289</v>
      </c>
      <c r="T203" s="6">
        <v>2.2559999999999998</v>
      </c>
      <c r="U203" s="6"/>
      <c r="V203" s="6"/>
    </row>
    <row r="204" spans="17:22" x14ac:dyDescent="0.3">
      <c r="Q204" s="208">
        <v>208</v>
      </c>
      <c r="R204" s="6" t="s">
        <v>675</v>
      </c>
      <c r="S204" s="262">
        <v>46289</v>
      </c>
      <c r="T204" s="6">
        <v>0.83099999999999996</v>
      </c>
      <c r="U204" s="6"/>
      <c r="V204" s="6"/>
    </row>
    <row r="205" spans="17:22" x14ac:dyDescent="0.3">
      <c r="Q205" s="208">
        <v>209</v>
      </c>
      <c r="R205" s="6" t="s">
        <v>676</v>
      </c>
      <c r="S205" s="262">
        <v>46289</v>
      </c>
      <c r="T205" s="6">
        <v>0.84599999999999997</v>
      </c>
      <c r="U205" s="6"/>
      <c r="V205" s="6"/>
    </row>
    <row r="206" spans="17:22" x14ac:dyDescent="0.3">
      <c r="Q206" s="208">
        <v>210</v>
      </c>
      <c r="R206" s="208" t="s">
        <v>401</v>
      </c>
      <c r="S206" s="262">
        <v>46289</v>
      </c>
      <c r="T206" s="6">
        <v>0.27900000000000003</v>
      </c>
      <c r="U206" s="6"/>
      <c r="V206" s="6"/>
    </row>
    <row r="207" spans="17:22" x14ac:dyDescent="0.3">
      <c r="Q207" s="208">
        <v>211</v>
      </c>
      <c r="R207" s="208" t="s">
        <v>403</v>
      </c>
      <c r="S207" s="262">
        <v>46289</v>
      </c>
      <c r="T207" s="6">
        <v>0.20799999999999999</v>
      </c>
      <c r="U207" s="6"/>
      <c r="V207" s="6"/>
    </row>
    <row r="208" spans="17:22" x14ac:dyDescent="0.3">
      <c r="Q208" s="208">
        <v>212</v>
      </c>
      <c r="R208" s="208" t="s">
        <v>384</v>
      </c>
      <c r="S208" s="262">
        <v>46289</v>
      </c>
      <c r="T208" s="6">
        <v>0.61</v>
      </c>
      <c r="U208" s="6"/>
      <c r="V208" s="6"/>
    </row>
    <row r="209" spans="17:22" x14ac:dyDescent="0.3">
      <c r="Q209" s="208">
        <v>213</v>
      </c>
      <c r="R209" s="6" t="s">
        <v>404</v>
      </c>
      <c r="S209" s="262">
        <v>46289</v>
      </c>
      <c r="T209" s="6">
        <v>1.2190000000000001</v>
      </c>
      <c r="U209" s="6"/>
      <c r="V209" s="6"/>
    </row>
    <row r="210" spans="17:22" x14ac:dyDescent="0.3">
      <c r="Q210" s="208">
        <v>214</v>
      </c>
      <c r="R210" s="6" t="s">
        <v>406</v>
      </c>
      <c r="S210" s="262">
        <v>46289</v>
      </c>
      <c r="T210" s="6">
        <v>0.57199999999999995</v>
      </c>
      <c r="U210" s="6"/>
      <c r="V210" s="6"/>
    </row>
    <row r="211" spans="17:22" x14ac:dyDescent="0.3">
      <c r="Q211" s="208">
        <v>215</v>
      </c>
      <c r="R211" s="6"/>
      <c r="S211" s="6"/>
      <c r="T211" s="6"/>
      <c r="U211" s="6"/>
      <c r="V211" s="6"/>
    </row>
    <row r="212" spans="17:22" x14ac:dyDescent="0.3">
      <c r="Q212" s="208">
        <v>216</v>
      </c>
      <c r="R212" s="6"/>
      <c r="S212" s="6"/>
      <c r="T212" s="6"/>
      <c r="U212" s="6"/>
      <c r="V212" s="6"/>
    </row>
    <row r="213" spans="17:22" x14ac:dyDescent="0.3">
      <c r="Q213" s="208">
        <v>217</v>
      </c>
      <c r="R213" s="6"/>
      <c r="S213" s="6"/>
      <c r="T213" s="6"/>
      <c r="U213" s="6"/>
      <c r="V213" s="6"/>
    </row>
    <row r="214" spans="17:22" x14ac:dyDescent="0.3">
      <c r="Q214" s="208">
        <v>218</v>
      </c>
      <c r="R214" s="6"/>
      <c r="S214" s="6"/>
      <c r="T214" s="6"/>
      <c r="U214" s="6"/>
      <c r="V214" s="6"/>
    </row>
    <row r="215" spans="17:22" x14ac:dyDescent="0.3">
      <c r="Q215" s="208">
        <v>219</v>
      </c>
      <c r="R215" s="6"/>
      <c r="S215" s="6"/>
      <c r="T215" s="6"/>
      <c r="U215" s="6"/>
      <c r="V215" s="6"/>
    </row>
    <row r="216" spans="17:22" x14ac:dyDescent="0.3">
      <c r="Q216" s="208">
        <v>220</v>
      </c>
      <c r="R216" s="6"/>
      <c r="S216" s="6"/>
      <c r="T216" s="6"/>
      <c r="U216" s="6"/>
      <c r="V216" s="6"/>
    </row>
    <row r="217" spans="17:22" x14ac:dyDescent="0.3">
      <c r="Q217" s="208">
        <v>221</v>
      </c>
      <c r="R217" s="6"/>
      <c r="S217" s="6"/>
      <c r="T217" s="6"/>
      <c r="U217" s="6"/>
      <c r="V217" s="6"/>
    </row>
    <row r="218" spans="17:22" x14ac:dyDescent="0.3">
      <c r="Q218" s="208">
        <v>222</v>
      </c>
      <c r="R218" s="6"/>
      <c r="S218" s="6"/>
      <c r="T218" s="6"/>
      <c r="U218" s="6"/>
      <c r="V218" s="6"/>
    </row>
    <row r="219" spans="17:22" x14ac:dyDescent="0.3">
      <c r="Q219" s="208">
        <v>223</v>
      </c>
      <c r="R219" s="6"/>
      <c r="S219" s="6"/>
      <c r="T219" s="6"/>
      <c r="U219" s="6"/>
      <c r="V219" s="6"/>
    </row>
    <row r="220" spans="17:22" x14ac:dyDescent="0.3">
      <c r="Q220" s="208">
        <v>224</v>
      </c>
      <c r="R220" s="6"/>
      <c r="S220" s="6"/>
      <c r="T220" s="6"/>
      <c r="U220" s="6"/>
      <c r="V220" s="6"/>
    </row>
    <row r="221" spans="17:22" x14ac:dyDescent="0.3">
      <c r="Q221" s="208">
        <v>225</v>
      </c>
      <c r="R221" s="6"/>
      <c r="S221" s="6"/>
      <c r="T221" s="6"/>
      <c r="U221" s="6"/>
      <c r="V221" s="6"/>
    </row>
    <row r="222" spans="17:22" x14ac:dyDescent="0.3">
      <c r="Q222" s="208">
        <v>226</v>
      </c>
      <c r="R222" s="6"/>
      <c r="S222" s="6"/>
      <c r="T222" s="6"/>
      <c r="U222" s="6"/>
      <c r="V222" s="6"/>
    </row>
    <row r="223" spans="17:22" x14ac:dyDescent="0.3">
      <c r="Q223" s="208">
        <v>227</v>
      </c>
      <c r="R223" s="6"/>
      <c r="S223" s="6"/>
      <c r="T223" s="6"/>
      <c r="U223" s="6"/>
      <c r="V223" s="6"/>
    </row>
    <row r="224" spans="17:22" x14ac:dyDescent="0.3">
      <c r="Q224" s="208">
        <v>228</v>
      </c>
      <c r="R224" s="6"/>
      <c r="S224" s="6"/>
      <c r="T224" s="6"/>
      <c r="U224" s="6"/>
      <c r="V224" s="6"/>
    </row>
    <row r="225" spans="17:22" x14ac:dyDescent="0.3">
      <c r="Q225" s="208">
        <v>229</v>
      </c>
      <c r="R225" s="6"/>
      <c r="S225" s="6"/>
      <c r="T225" s="6"/>
      <c r="U225" s="6"/>
      <c r="V225" s="6"/>
    </row>
    <row r="226" spans="17:22" x14ac:dyDescent="0.3">
      <c r="Q226" s="208">
        <v>230</v>
      </c>
      <c r="R226" s="6"/>
      <c r="S226" s="6"/>
      <c r="T226" s="6"/>
      <c r="U226" s="6"/>
      <c r="V226" s="6"/>
    </row>
    <row r="227" spans="17:22" x14ac:dyDescent="0.3">
      <c r="Q227" s="208">
        <v>231</v>
      </c>
      <c r="R227" s="6"/>
      <c r="S227" s="6"/>
      <c r="T227" s="6"/>
      <c r="U227" s="6"/>
      <c r="V227" s="6"/>
    </row>
    <row r="228" spans="17:22" x14ac:dyDescent="0.3">
      <c r="Q228" s="208">
        <v>232</v>
      </c>
      <c r="R228" s="6"/>
      <c r="S228" s="6"/>
      <c r="T228" s="6"/>
      <c r="U228" s="6"/>
      <c r="V228" s="6"/>
    </row>
    <row r="229" spans="17:22" x14ac:dyDescent="0.3">
      <c r="Q229" s="208">
        <v>233</v>
      </c>
      <c r="R229" s="6"/>
      <c r="S229" s="6"/>
      <c r="T229" s="6"/>
      <c r="U229" s="6"/>
      <c r="V229" s="6"/>
    </row>
    <row r="230" spans="17:22" x14ac:dyDescent="0.3">
      <c r="Q230" s="208">
        <v>234</v>
      </c>
      <c r="R230" s="6"/>
      <c r="S230" s="6"/>
      <c r="T230" s="6"/>
      <c r="U230" s="6"/>
      <c r="V230" s="6"/>
    </row>
    <row r="231" spans="17:22" x14ac:dyDescent="0.3">
      <c r="Q231" s="208">
        <v>235</v>
      </c>
      <c r="R231" s="6"/>
      <c r="S231" s="6"/>
      <c r="T231" s="6"/>
      <c r="U231" s="6"/>
      <c r="V231" s="6"/>
    </row>
    <row r="232" spans="17:22" x14ac:dyDescent="0.3">
      <c r="Q232" s="208">
        <v>236</v>
      </c>
      <c r="R232" s="6"/>
      <c r="S232" s="6"/>
      <c r="T232" s="6"/>
      <c r="U232" s="6"/>
      <c r="V232" s="6"/>
    </row>
    <row r="233" spans="17:22" x14ac:dyDescent="0.3">
      <c r="Q233" s="208">
        <v>237</v>
      </c>
      <c r="R233" s="6"/>
      <c r="S233" s="6"/>
      <c r="T233" s="6"/>
      <c r="U233" s="6"/>
      <c r="V233" s="6"/>
    </row>
    <row r="234" spans="17:22" x14ac:dyDescent="0.3">
      <c r="Q234" s="208">
        <v>238</v>
      </c>
      <c r="R234" s="6"/>
      <c r="S234" s="6"/>
      <c r="T234" s="6"/>
      <c r="U234" s="6"/>
      <c r="V234" s="6"/>
    </row>
    <row r="235" spans="17:22" x14ac:dyDescent="0.3">
      <c r="Q235" s="208">
        <v>239</v>
      </c>
      <c r="R235" s="6"/>
      <c r="S235" s="6"/>
      <c r="T235" s="6"/>
      <c r="U235" s="6"/>
      <c r="V235" s="6"/>
    </row>
    <row r="236" spans="17:22" x14ac:dyDescent="0.3">
      <c r="Q236" s="208">
        <v>240</v>
      </c>
      <c r="R236" s="6"/>
      <c r="S236" s="6"/>
      <c r="T236" s="6"/>
      <c r="U236" s="6"/>
      <c r="V236" s="6"/>
    </row>
    <row r="237" spans="17:22" x14ac:dyDescent="0.3">
      <c r="Q237" s="208">
        <v>241</v>
      </c>
      <c r="R237" s="6"/>
      <c r="S237" s="6"/>
      <c r="T237" s="6"/>
      <c r="U237" s="6"/>
      <c r="V237" s="6"/>
    </row>
    <row r="238" spans="17:22" x14ac:dyDescent="0.3">
      <c r="Q238" s="208">
        <v>242</v>
      </c>
      <c r="R238" s="6"/>
      <c r="S238" s="6"/>
      <c r="T238" s="6"/>
      <c r="U238" s="6"/>
      <c r="V238" s="6"/>
    </row>
    <row r="239" spans="17:22" x14ac:dyDescent="0.3">
      <c r="Q239" s="208">
        <v>243</v>
      </c>
      <c r="R239" s="6"/>
      <c r="S239" s="6"/>
      <c r="T239" s="6"/>
      <c r="U239" s="6"/>
      <c r="V239" s="6"/>
    </row>
    <row r="240" spans="17:22" x14ac:dyDescent="0.3">
      <c r="Q240" s="208">
        <v>244</v>
      </c>
      <c r="R240" s="6"/>
      <c r="S240" s="6"/>
      <c r="T240" s="6"/>
      <c r="U240" s="6"/>
      <c r="V240" s="6"/>
    </row>
    <row r="241" spans="17:22" x14ac:dyDescent="0.3">
      <c r="Q241" s="208">
        <v>245</v>
      </c>
      <c r="R241" s="6"/>
      <c r="S241" s="6"/>
      <c r="T241" s="6"/>
      <c r="U241" s="6"/>
      <c r="V241" s="6"/>
    </row>
    <row r="242" spans="17:22" x14ac:dyDescent="0.3">
      <c r="Q242" s="208">
        <v>246</v>
      </c>
      <c r="R242" s="6"/>
      <c r="S242" s="6"/>
      <c r="T242" s="6"/>
      <c r="U242" s="6"/>
      <c r="V242" s="6"/>
    </row>
    <row r="243" spans="17:22" x14ac:dyDescent="0.3">
      <c r="Q243" s="208">
        <v>247</v>
      </c>
      <c r="R243" s="6"/>
      <c r="S243" s="6"/>
      <c r="T243" s="6"/>
      <c r="U243" s="6"/>
      <c r="V243" s="6"/>
    </row>
    <row r="244" spans="17:22" x14ac:dyDescent="0.3">
      <c r="Q244" s="208">
        <v>248</v>
      </c>
      <c r="R244" s="6"/>
      <c r="S244" s="6"/>
      <c r="T244" s="6"/>
      <c r="U244" s="6"/>
      <c r="V244" s="6"/>
    </row>
    <row r="245" spans="17:22" x14ac:dyDescent="0.3">
      <c r="Q245" s="208">
        <v>249</v>
      </c>
      <c r="R245" s="6"/>
      <c r="S245" s="6"/>
      <c r="T245" s="6"/>
      <c r="U245" s="6"/>
      <c r="V245" s="6"/>
    </row>
    <row r="246" spans="17:22" x14ac:dyDescent="0.3">
      <c r="Q246" s="208">
        <v>250</v>
      </c>
      <c r="R246" s="6"/>
      <c r="S246" s="6"/>
      <c r="T246" s="6"/>
      <c r="U246" s="6"/>
      <c r="V246" s="6"/>
    </row>
    <row r="247" spans="17:22" x14ac:dyDescent="0.3">
      <c r="Q247" s="208">
        <v>251</v>
      </c>
      <c r="R247" s="6"/>
      <c r="S247" s="6"/>
      <c r="T247" s="6"/>
      <c r="U247" s="6"/>
      <c r="V247" s="6"/>
    </row>
  </sheetData>
  <sortState xmlns:xlrd2="http://schemas.microsoft.com/office/spreadsheetml/2017/richdata2" ref="AE1:AE207">
    <sortCondition ref="AE1:AE207"/>
  </sortState>
  <mergeCells count="5">
    <mergeCell ref="B2:M2"/>
    <mergeCell ref="B3:M3"/>
    <mergeCell ref="Q7:V7"/>
    <mergeCell ref="AG34:AL34"/>
    <mergeCell ref="B106:J107"/>
  </mergeCells>
  <phoneticPr fontId="91" type="noConversion"/>
  <conditionalFormatting sqref="AE1:AE103 AE128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08FF-5C22-42DD-89E8-41852B64295C}">
  <dimension ref="A4:L30"/>
  <sheetViews>
    <sheetView workbookViewId="0">
      <selection activeCell="J9" sqref="J9"/>
    </sheetView>
  </sheetViews>
  <sheetFormatPr defaultRowHeight="14.4" x14ac:dyDescent="0.3"/>
  <cols>
    <col min="1" max="3" width="8.88671875" style="1"/>
    <col min="4" max="4" width="13.77734375" style="1" bestFit="1" customWidth="1"/>
    <col min="5" max="8" width="8.88671875" style="1"/>
    <col min="9" max="9" width="14.77734375" style="1" bestFit="1" customWidth="1"/>
    <col min="10" max="10" width="8.88671875" style="1"/>
    <col min="11" max="11" width="15.109375" style="1" bestFit="1" customWidth="1"/>
    <col min="12" max="16384" width="8.88671875" style="1"/>
  </cols>
  <sheetData>
    <row r="4" spans="1:12" x14ac:dyDescent="0.3">
      <c r="B4" s="103" t="s">
        <v>710</v>
      </c>
      <c r="C4" s="103" t="s">
        <v>740</v>
      </c>
      <c r="D4" s="103" t="s">
        <v>454</v>
      </c>
      <c r="E4" s="103" t="s">
        <v>424</v>
      </c>
      <c r="F4" s="103" t="s">
        <v>726</v>
      </c>
      <c r="G4" s="103" t="s">
        <v>727</v>
      </c>
      <c r="H4" s="103" t="s">
        <v>728</v>
      </c>
      <c r="I4" s="106" t="s">
        <v>738</v>
      </c>
    </row>
    <row r="5" spans="1:12" x14ac:dyDescent="0.3">
      <c r="B5" s="13" t="s">
        <v>711</v>
      </c>
      <c r="C5" s="13">
        <v>1</v>
      </c>
      <c r="D5" s="13"/>
      <c r="E5" s="13">
        <v>69</v>
      </c>
      <c r="F5" s="13">
        <v>1.3</v>
      </c>
      <c r="G5" s="39">
        <f>E5*F5</f>
        <v>89.7</v>
      </c>
      <c r="H5" s="13">
        <v>0.56999999999999995</v>
      </c>
      <c r="I5" s="39">
        <f>G5*H5</f>
        <v>51.128999999999998</v>
      </c>
      <c r="K5" s="117"/>
    </row>
    <row r="6" spans="1:12" x14ac:dyDescent="0.3">
      <c r="B6" s="13" t="s">
        <v>712</v>
      </c>
      <c r="C6" s="13">
        <v>1</v>
      </c>
      <c r="D6" s="13"/>
      <c r="E6" s="13">
        <v>9</v>
      </c>
      <c r="F6" s="13">
        <v>1.3</v>
      </c>
      <c r="G6" s="39">
        <f t="shared" ref="G6:G20" si="0">E6*F6</f>
        <v>11.700000000000001</v>
      </c>
      <c r="H6" s="13">
        <v>0.36899999999999999</v>
      </c>
      <c r="I6" s="39">
        <f t="shared" ref="I6:I20" si="1">G6*H6</f>
        <v>4.3173000000000004</v>
      </c>
    </row>
    <row r="7" spans="1:12" x14ac:dyDescent="0.3">
      <c r="B7" s="13" t="s">
        <v>713</v>
      </c>
      <c r="C7" s="13">
        <v>1</v>
      </c>
      <c r="D7" s="13"/>
      <c r="E7" s="13">
        <v>331</v>
      </c>
      <c r="F7" s="13">
        <v>1.3</v>
      </c>
      <c r="G7" s="39">
        <f t="shared" si="0"/>
        <v>430.3</v>
      </c>
      <c r="H7" s="13">
        <v>0.36899999999999999</v>
      </c>
      <c r="I7" s="39">
        <f t="shared" si="1"/>
        <v>158.7807</v>
      </c>
      <c r="K7" s="10"/>
      <c r="L7" s="10"/>
    </row>
    <row r="8" spans="1:12" x14ac:dyDescent="0.3">
      <c r="A8" s="1">
        <v>1</v>
      </c>
      <c r="B8" s="1130" t="s">
        <v>714</v>
      </c>
      <c r="C8" s="1130">
        <v>1</v>
      </c>
      <c r="D8" s="1130"/>
      <c r="E8" s="1130">
        <v>20</v>
      </c>
      <c r="F8" s="1130">
        <v>1.3</v>
      </c>
      <c r="G8" s="1131">
        <f t="shared" si="0"/>
        <v>26</v>
      </c>
      <c r="H8" s="1130">
        <v>0.92100000000000004</v>
      </c>
      <c r="I8" s="1131">
        <f t="shared" si="1"/>
        <v>23.946000000000002</v>
      </c>
    </row>
    <row r="9" spans="1:12" x14ac:dyDescent="0.3">
      <c r="A9" s="1">
        <v>2</v>
      </c>
      <c r="B9" s="1130" t="s">
        <v>714</v>
      </c>
      <c r="C9" s="1130">
        <v>1</v>
      </c>
      <c r="D9" s="1130"/>
      <c r="E9" s="1130">
        <v>132</v>
      </c>
      <c r="F9" s="1130">
        <v>1.3</v>
      </c>
      <c r="G9" s="1131">
        <f t="shared" si="0"/>
        <v>171.6</v>
      </c>
      <c r="H9" s="1130">
        <v>0.92100000000000004</v>
      </c>
      <c r="I9" s="1131">
        <f t="shared" si="1"/>
        <v>158.0436</v>
      </c>
      <c r="K9" s="10"/>
    </row>
    <row r="10" spans="1:12" x14ac:dyDescent="0.3">
      <c r="A10" s="1">
        <v>3</v>
      </c>
      <c r="B10" s="1127" t="s">
        <v>715</v>
      </c>
      <c r="C10" s="1127">
        <v>1</v>
      </c>
      <c r="D10" s="1127"/>
      <c r="E10" s="1127">
        <v>31</v>
      </c>
      <c r="F10" s="1127">
        <v>1.3</v>
      </c>
      <c r="G10" s="459">
        <f t="shared" si="0"/>
        <v>40.300000000000004</v>
      </c>
      <c r="H10" s="1127">
        <v>0.65700000000000003</v>
      </c>
      <c r="I10" s="39">
        <f t="shared" si="1"/>
        <v>26.477100000000004</v>
      </c>
      <c r="K10" s="10"/>
    </row>
    <row r="11" spans="1:12" x14ac:dyDescent="0.3">
      <c r="A11" s="1">
        <v>4</v>
      </c>
      <c r="B11" s="134" t="s">
        <v>716</v>
      </c>
      <c r="C11" s="134">
        <v>1</v>
      </c>
      <c r="D11" s="134"/>
      <c r="E11" s="134">
        <v>46</v>
      </c>
      <c r="F11" s="134">
        <v>1.3</v>
      </c>
      <c r="G11" s="135">
        <f t="shared" si="0"/>
        <v>59.800000000000004</v>
      </c>
      <c r="H11" s="134">
        <v>0.46899999999999997</v>
      </c>
      <c r="I11" s="39">
        <f t="shared" si="1"/>
        <v>28.046199999999999</v>
      </c>
    </row>
    <row r="12" spans="1:12" x14ac:dyDescent="0.3">
      <c r="A12" s="1">
        <v>5</v>
      </c>
      <c r="B12" s="1130" t="s">
        <v>717</v>
      </c>
      <c r="C12" s="1130">
        <v>1</v>
      </c>
      <c r="D12" s="1130"/>
      <c r="E12" s="1130">
        <v>24</v>
      </c>
      <c r="F12" s="1130">
        <v>1.3</v>
      </c>
      <c r="G12" s="1131">
        <f t="shared" si="0"/>
        <v>31.200000000000003</v>
      </c>
      <c r="H12" s="1130">
        <v>0.88700000000000001</v>
      </c>
      <c r="I12" s="1131">
        <f t="shared" si="1"/>
        <v>27.674400000000002</v>
      </c>
    </row>
    <row r="13" spans="1:12" x14ac:dyDescent="0.3">
      <c r="A13" s="1">
        <v>6</v>
      </c>
      <c r="B13" s="1130" t="s">
        <v>717</v>
      </c>
      <c r="C13" s="1130">
        <v>1</v>
      </c>
      <c r="D13" s="1130"/>
      <c r="E13" s="1130">
        <v>54</v>
      </c>
      <c r="F13" s="1130">
        <v>1.3</v>
      </c>
      <c r="G13" s="1131">
        <f t="shared" si="0"/>
        <v>70.2</v>
      </c>
      <c r="H13" s="1130">
        <v>0.88700000000000001</v>
      </c>
      <c r="I13" s="1131">
        <f t="shared" si="1"/>
        <v>62.267400000000002</v>
      </c>
    </row>
    <row r="14" spans="1:12" x14ac:dyDescent="0.3">
      <c r="B14" s="13" t="s">
        <v>718</v>
      </c>
      <c r="C14" s="13">
        <v>1</v>
      </c>
      <c r="D14" s="13"/>
      <c r="E14" s="13">
        <v>431</v>
      </c>
      <c r="F14" s="13">
        <v>1.3</v>
      </c>
      <c r="G14" s="39">
        <f t="shared" si="0"/>
        <v>560.30000000000007</v>
      </c>
      <c r="H14" s="13">
        <v>0.36099999999999999</v>
      </c>
      <c r="I14" s="39">
        <f t="shared" si="1"/>
        <v>202.26830000000001</v>
      </c>
    </row>
    <row r="15" spans="1:12" x14ac:dyDescent="0.3">
      <c r="B15" s="13" t="s">
        <v>719</v>
      </c>
      <c r="C15" s="13">
        <v>1</v>
      </c>
      <c r="D15" s="13"/>
      <c r="E15" s="13">
        <v>73</v>
      </c>
      <c r="F15" s="13">
        <v>1.3</v>
      </c>
      <c r="G15" s="39">
        <f t="shared" si="0"/>
        <v>94.9</v>
      </c>
      <c r="H15" s="13">
        <v>0.38100000000000001</v>
      </c>
      <c r="I15" s="39">
        <f t="shared" si="1"/>
        <v>36.1569</v>
      </c>
    </row>
    <row r="16" spans="1:12" x14ac:dyDescent="0.3">
      <c r="B16" s="13" t="s">
        <v>720</v>
      </c>
      <c r="C16" s="13">
        <v>1</v>
      </c>
      <c r="D16" s="13"/>
      <c r="E16" s="13">
        <v>78</v>
      </c>
      <c r="F16" s="13">
        <v>1.3</v>
      </c>
      <c r="G16" s="39">
        <f t="shared" si="0"/>
        <v>101.4</v>
      </c>
      <c r="H16" s="13">
        <v>0.32</v>
      </c>
      <c r="I16" s="39">
        <f t="shared" si="1"/>
        <v>32.448</v>
      </c>
    </row>
    <row r="17" spans="1:9" x14ac:dyDescent="0.3">
      <c r="A17" s="1">
        <v>7</v>
      </c>
      <c r="B17" s="1127" t="s">
        <v>724</v>
      </c>
      <c r="C17" s="1127">
        <v>1</v>
      </c>
      <c r="D17" s="1127"/>
      <c r="E17" s="1127">
        <v>476</v>
      </c>
      <c r="F17" s="1127">
        <v>1.3</v>
      </c>
      <c r="G17" s="459">
        <f t="shared" si="0"/>
        <v>618.80000000000007</v>
      </c>
      <c r="H17" s="1127">
        <v>0.67800000000000005</v>
      </c>
      <c r="I17" s="459">
        <f t="shared" si="1"/>
        <v>419.54640000000006</v>
      </c>
    </row>
    <row r="18" spans="1:9" x14ac:dyDescent="0.3">
      <c r="B18" s="13" t="s">
        <v>723</v>
      </c>
      <c r="C18" s="13">
        <v>1</v>
      </c>
      <c r="D18" s="13"/>
      <c r="E18" s="13">
        <v>46</v>
      </c>
      <c r="F18" s="13">
        <v>1.3</v>
      </c>
      <c r="G18" s="39">
        <f t="shared" si="0"/>
        <v>59.800000000000004</v>
      </c>
      <c r="H18" s="13">
        <v>0.432</v>
      </c>
      <c r="I18" s="39">
        <f t="shared" si="1"/>
        <v>25.833600000000001</v>
      </c>
    </row>
    <row r="19" spans="1:9" x14ac:dyDescent="0.3">
      <c r="B19" s="13" t="s">
        <v>722</v>
      </c>
      <c r="C19" s="13">
        <v>1</v>
      </c>
      <c r="D19" s="13"/>
      <c r="E19" s="13">
        <v>193</v>
      </c>
      <c r="F19" s="13">
        <v>1.3</v>
      </c>
      <c r="G19" s="39">
        <f t="shared" si="0"/>
        <v>250.9</v>
      </c>
      <c r="H19" s="13">
        <v>0.505</v>
      </c>
      <c r="I19" s="39">
        <f t="shared" si="1"/>
        <v>126.70450000000001</v>
      </c>
    </row>
    <row r="20" spans="1:9" x14ac:dyDescent="0.3">
      <c r="B20" s="13" t="s">
        <v>721</v>
      </c>
      <c r="C20" s="13">
        <v>1</v>
      </c>
      <c r="D20" s="13"/>
      <c r="E20" s="13">
        <v>32</v>
      </c>
      <c r="F20" s="13">
        <v>1.3</v>
      </c>
      <c r="G20" s="39">
        <f t="shared" si="0"/>
        <v>41.6</v>
      </c>
      <c r="H20" s="13">
        <v>0.39</v>
      </c>
      <c r="I20" s="39">
        <f t="shared" si="1"/>
        <v>16.224</v>
      </c>
    </row>
    <row r="21" spans="1:9" x14ac:dyDescent="0.3">
      <c r="B21" s="13" t="s">
        <v>725</v>
      </c>
      <c r="C21" s="13">
        <v>1</v>
      </c>
      <c r="D21" s="13"/>
      <c r="E21" s="13"/>
      <c r="F21" s="13"/>
      <c r="G21" s="13"/>
      <c r="H21" s="13"/>
      <c r="I21" s="6"/>
    </row>
    <row r="22" spans="1:9" x14ac:dyDescent="0.3">
      <c r="I22" s="43"/>
    </row>
    <row r="27" spans="1:9" x14ac:dyDescent="0.3">
      <c r="B27" s="6" t="s">
        <v>729</v>
      </c>
      <c r="C27" s="6"/>
      <c r="D27" s="6" t="s">
        <v>730</v>
      </c>
      <c r="E27" s="6" t="s">
        <v>733</v>
      </c>
      <c r="F27" s="1128"/>
    </row>
    <row r="28" spans="1:9" x14ac:dyDescent="0.3">
      <c r="B28" s="6"/>
      <c r="C28" s="6"/>
      <c r="D28" s="6" t="s">
        <v>731</v>
      </c>
      <c r="E28" s="6" t="s">
        <v>735</v>
      </c>
      <c r="F28" s="1129"/>
    </row>
    <row r="29" spans="1:9" x14ac:dyDescent="0.3">
      <c r="B29" s="6"/>
      <c r="C29" s="6"/>
      <c r="D29" s="6" t="s">
        <v>732</v>
      </c>
      <c r="E29" s="6" t="s">
        <v>734</v>
      </c>
      <c r="F29" s="206"/>
    </row>
    <row r="30" spans="1:9" x14ac:dyDescent="0.3">
      <c r="B30" s="6"/>
      <c r="C30" s="6"/>
      <c r="D30" s="6" t="s">
        <v>736</v>
      </c>
      <c r="E30" s="6" t="s">
        <v>737</v>
      </c>
      <c r="F30" s="1109"/>
    </row>
  </sheetData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topLeftCell="A3" workbookViewId="0">
      <selection activeCell="H20" sqref="H20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1336" t="s">
        <v>270</v>
      </c>
      <c r="B3" s="1337"/>
      <c r="C3" s="1337"/>
      <c r="D3" s="1337"/>
      <c r="E3" s="1337"/>
      <c r="F3" s="1337"/>
      <c r="G3" s="1338"/>
      <c r="I3" s="1">
        <f>I2/2</f>
        <v>720</v>
      </c>
    </row>
    <row r="4" spans="1:14" ht="15" thickBot="1" x14ac:dyDescent="0.35">
      <c r="A4" s="1339" t="s">
        <v>0</v>
      </c>
      <c r="B4" s="1340"/>
      <c r="C4" s="138" t="s">
        <v>1</v>
      </c>
      <c r="D4" s="139" t="s">
        <v>60</v>
      </c>
      <c r="E4" s="139" t="s">
        <v>61</v>
      </c>
      <c r="F4" s="139" t="s">
        <v>62</v>
      </c>
      <c r="G4" s="140" t="s">
        <v>64</v>
      </c>
      <c r="J4" s="15" t="s">
        <v>0</v>
      </c>
      <c r="K4" s="15" t="s">
        <v>65</v>
      </c>
      <c r="L4" s="15" t="s">
        <v>66</v>
      </c>
      <c r="M4" s="15" t="s">
        <v>67</v>
      </c>
      <c r="N4" s="1" t="s">
        <v>271</v>
      </c>
    </row>
    <row r="5" spans="1:14" x14ac:dyDescent="0.3">
      <c r="A5" s="1483">
        <v>46268</v>
      </c>
      <c r="B5" s="1332"/>
      <c r="C5" s="155" t="s">
        <v>169</v>
      </c>
      <c r="D5" s="156">
        <v>6.9444444444444447E-4</v>
      </c>
      <c r="E5" s="60">
        <v>0.44444444444444442</v>
      </c>
      <c r="F5" s="61">
        <f>(E5-D5)*720</f>
        <v>319.5</v>
      </c>
      <c r="G5" s="440" t="s">
        <v>504</v>
      </c>
      <c r="J5" s="62">
        <v>46142</v>
      </c>
      <c r="K5" s="66">
        <f>F5</f>
        <v>319.5</v>
      </c>
      <c r="L5" s="66">
        <f>(720-K5)/60</f>
        <v>6.6749999999999998</v>
      </c>
      <c r="M5" s="63">
        <f>L5/12</f>
        <v>0.55625000000000002</v>
      </c>
      <c r="N5" s="1" t="s">
        <v>272</v>
      </c>
    </row>
    <row r="6" spans="1:14" x14ac:dyDescent="0.3">
      <c r="A6" s="1483">
        <v>46269</v>
      </c>
      <c r="B6" s="1332"/>
      <c r="C6" s="160"/>
      <c r="D6" s="60">
        <v>6.9444444444444447E-4</v>
      </c>
      <c r="E6" s="60">
        <v>2.9166666666666667E-2</v>
      </c>
      <c r="F6" s="61">
        <f>(E6-D6)*720</f>
        <v>20.5</v>
      </c>
      <c r="G6" s="441" t="s">
        <v>505</v>
      </c>
      <c r="J6" s="62">
        <v>46143</v>
      </c>
      <c r="K6" s="66">
        <f t="shared" ref="K6:K32" si="0">F6</f>
        <v>20.5</v>
      </c>
      <c r="L6" s="66">
        <f>(720-K6)/60</f>
        <v>11.658333333333333</v>
      </c>
      <c r="M6" s="63">
        <f>L6/12</f>
        <v>0.97152777777777777</v>
      </c>
    </row>
    <row r="7" spans="1:14" x14ac:dyDescent="0.3">
      <c r="A7" s="1483">
        <v>46270</v>
      </c>
      <c r="B7" s="1332"/>
      <c r="C7" s="160"/>
      <c r="D7" s="60"/>
      <c r="E7" s="60"/>
      <c r="F7" s="61"/>
      <c r="G7" s="161"/>
      <c r="J7" s="62">
        <v>46144</v>
      </c>
      <c r="K7" s="6">
        <f t="shared" si="0"/>
        <v>0</v>
      </c>
      <c r="L7" s="66">
        <f t="shared" ref="L7:L37" si="1">(1440-K7)/60</f>
        <v>24</v>
      </c>
      <c r="M7" s="63">
        <f t="shared" ref="M7:M32" si="2">L7/24</f>
        <v>1</v>
      </c>
    </row>
    <row r="8" spans="1:14" x14ac:dyDescent="0.3">
      <c r="A8" s="1483">
        <v>46271</v>
      </c>
      <c r="B8" s="1332"/>
      <c r="C8" s="162"/>
      <c r="D8" s="60"/>
      <c r="E8" s="60"/>
      <c r="F8" s="61"/>
      <c r="G8" s="163"/>
      <c r="J8" s="62">
        <v>46145</v>
      </c>
      <c r="K8" s="6">
        <f t="shared" si="0"/>
        <v>0</v>
      </c>
      <c r="L8" s="66">
        <f t="shared" si="1"/>
        <v>24</v>
      </c>
      <c r="M8" s="63">
        <f t="shared" si="2"/>
        <v>1</v>
      </c>
    </row>
    <row r="9" spans="1:14" x14ac:dyDescent="0.3">
      <c r="A9" s="1483">
        <v>46272</v>
      </c>
      <c r="B9" s="1332"/>
      <c r="C9" s="171"/>
      <c r="D9" s="169"/>
      <c r="E9" s="60"/>
      <c r="F9" s="61"/>
      <c r="G9" s="170"/>
      <c r="J9" s="62">
        <v>46146</v>
      </c>
      <c r="K9" s="6">
        <f t="shared" si="0"/>
        <v>0</v>
      </c>
      <c r="L9" s="66">
        <f t="shared" si="1"/>
        <v>24</v>
      </c>
      <c r="M9" s="63">
        <f t="shared" si="2"/>
        <v>1</v>
      </c>
    </row>
    <row r="10" spans="1:14" x14ac:dyDescent="0.3">
      <c r="A10" s="1483">
        <v>46273</v>
      </c>
      <c r="B10" s="1332"/>
      <c r="C10" s="176"/>
      <c r="D10" s="60"/>
      <c r="E10" s="60"/>
      <c r="F10" s="61"/>
      <c r="G10" s="201"/>
      <c r="J10" s="62">
        <v>46147</v>
      </c>
      <c r="K10" s="6">
        <f t="shared" si="0"/>
        <v>0</v>
      </c>
      <c r="L10" s="66">
        <f t="shared" si="1"/>
        <v>24</v>
      </c>
      <c r="M10" s="63">
        <f t="shared" si="2"/>
        <v>1</v>
      </c>
    </row>
    <row r="11" spans="1:14" x14ac:dyDescent="0.3">
      <c r="A11" s="1483">
        <v>46274</v>
      </c>
      <c r="B11" s="1332"/>
      <c r="C11" s="200"/>
      <c r="D11" s="60"/>
      <c r="E11" s="60"/>
      <c r="F11" s="61"/>
      <c r="G11" s="201"/>
      <c r="J11" s="62">
        <v>46148</v>
      </c>
      <c r="K11" s="6">
        <f t="shared" si="0"/>
        <v>0</v>
      </c>
      <c r="L11" s="66">
        <f t="shared" si="1"/>
        <v>24</v>
      </c>
      <c r="M11" s="63">
        <f t="shared" si="2"/>
        <v>1</v>
      </c>
    </row>
    <row r="12" spans="1:14" x14ac:dyDescent="0.3">
      <c r="A12" s="1483">
        <v>46275</v>
      </c>
      <c r="B12" s="1332"/>
      <c r="C12" s="64"/>
      <c r="D12" s="60"/>
      <c r="E12" s="60"/>
      <c r="F12" s="61">
        <f t="shared" ref="F12:F44" si="3">(E12-D12)*1440</f>
        <v>0</v>
      </c>
      <c r="G12" s="65"/>
      <c r="J12" s="62">
        <v>46149</v>
      </c>
      <c r="K12" s="6">
        <f t="shared" si="0"/>
        <v>0</v>
      </c>
      <c r="L12" s="6">
        <f t="shared" si="1"/>
        <v>24</v>
      </c>
      <c r="M12" s="63">
        <f t="shared" si="2"/>
        <v>1</v>
      </c>
    </row>
    <row r="13" spans="1:14" x14ac:dyDescent="0.3">
      <c r="A13" s="1483">
        <v>46276</v>
      </c>
      <c r="B13" s="1332"/>
      <c r="C13" s="64"/>
      <c r="D13" s="60"/>
      <c r="E13" s="60"/>
      <c r="F13" s="61">
        <f t="shared" si="3"/>
        <v>0</v>
      </c>
      <c r="G13" s="65"/>
      <c r="J13" s="62">
        <v>46150</v>
      </c>
      <c r="K13" s="6">
        <f t="shared" si="0"/>
        <v>0</v>
      </c>
      <c r="L13" s="6">
        <f t="shared" si="1"/>
        <v>24</v>
      </c>
      <c r="M13" s="63">
        <f t="shared" si="2"/>
        <v>1</v>
      </c>
    </row>
    <row r="14" spans="1:14" x14ac:dyDescent="0.3">
      <c r="A14" s="1483">
        <v>46277</v>
      </c>
      <c r="B14" s="1332"/>
      <c r="C14" s="64"/>
      <c r="D14" s="60"/>
      <c r="E14" s="60"/>
      <c r="F14" s="61">
        <f t="shared" si="3"/>
        <v>0</v>
      </c>
      <c r="G14" s="65"/>
      <c r="J14" s="62">
        <v>46151</v>
      </c>
      <c r="K14" s="6">
        <f t="shared" si="0"/>
        <v>0</v>
      </c>
      <c r="L14" s="6">
        <f t="shared" si="1"/>
        <v>24</v>
      </c>
      <c r="M14" s="63">
        <f t="shared" si="2"/>
        <v>1</v>
      </c>
    </row>
    <row r="15" spans="1:14" x14ac:dyDescent="0.3">
      <c r="A15" s="1483">
        <v>46278</v>
      </c>
      <c r="B15" s="1332"/>
      <c r="C15" s="64"/>
      <c r="D15" s="60"/>
      <c r="E15" s="60"/>
      <c r="F15" s="61">
        <f>(E15-D15)*1440</f>
        <v>0</v>
      </c>
      <c r="G15" s="65"/>
      <c r="J15" s="62">
        <v>46152</v>
      </c>
      <c r="K15" s="6">
        <f t="shared" si="0"/>
        <v>0</v>
      </c>
      <c r="L15" s="6">
        <f t="shared" si="1"/>
        <v>24</v>
      </c>
      <c r="M15" s="63">
        <f t="shared" si="2"/>
        <v>1</v>
      </c>
    </row>
    <row r="16" spans="1:14" x14ac:dyDescent="0.3">
      <c r="A16" s="1483">
        <v>46279</v>
      </c>
      <c r="B16" s="1332"/>
      <c r="C16" s="64"/>
      <c r="D16" s="60"/>
      <c r="E16" s="60"/>
      <c r="F16" s="61">
        <f t="shared" si="3"/>
        <v>0</v>
      </c>
      <c r="G16" s="65"/>
      <c r="J16" s="62">
        <v>46153</v>
      </c>
      <c r="K16" s="6">
        <f t="shared" si="0"/>
        <v>0</v>
      </c>
      <c r="L16" s="6">
        <f t="shared" si="1"/>
        <v>24</v>
      </c>
      <c r="M16" s="63">
        <f t="shared" si="2"/>
        <v>1</v>
      </c>
    </row>
    <row r="17" spans="1:18" x14ac:dyDescent="0.3">
      <c r="A17" s="1483">
        <v>46280</v>
      </c>
      <c r="B17" s="1332"/>
      <c r="C17" s="64"/>
      <c r="D17" s="60"/>
      <c r="E17" s="60"/>
      <c r="F17" s="61">
        <f t="shared" si="3"/>
        <v>0</v>
      </c>
      <c r="G17" s="65"/>
      <c r="J17" s="62">
        <v>46154</v>
      </c>
      <c r="K17" s="6">
        <f t="shared" si="0"/>
        <v>0</v>
      </c>
      <c r="L17" s="6">
        <f t="shared" si="1"/>
        <v>24</v>
      </c>
      <c r="M17" s="63">
        <f t="shared" si="2"/>
        <v>1</v>
      </c>
    </row>
    <row r="18" spans="1:18" x14ac:dyDescent="0.3">
      <c r="A18" s="1483">
        <v>46281</v>
      </c>
      <c r="B18" s="1332"/>
      <c r="C18" s="64"/>
      <c r="D18" s="60"/>
      <c r="E18" s="60"/>
      <c r="F18" s="61">
        <f t="shared" si="3"/>
        <v>0</v>
      </c>
      <c r="G18" s="65"/>
      <c r="J18" s="62">
        <v>46155</v>
      </c>
      <c r="K18" s="6">
        <f t="shared" si="0"/>
        <v>0</v>
      </c>
      <c r="L18" s="6">
        <f t="shared" si="1"/>
        <v>24</v>
      </c>
      <c r="M18" s="63">
        <f t="shared" si="2"/>
        <v>1</v>
      </c>
    </row>
    <row r="19" spans="1:18" x14ac:dyDescent="0.3">
      <c r="A19" s="1483">
        <v>46282</v>
      </c>
      <c r="B19" s="1332"/>
      <c r="C19" s="64"/>
      <c r="D19" s="60"/>
      <c r="E19" s="60"/>
      <c r="F19" s="61">
        <f t="shared" si="3"/>
        <v>0</v>
      </c>
      <c r="G19" s="65"/>
      <c r="J19" s="62">
        <v>46156</v>
      </c>
      <c r="K19" s="6">
        <f t="shared" si="0"/>
        <v>0</v>
      </c>
      <c r="L19" s="6">
        <f t="shared" si="1"/>
        <v>24</v>
      </c>
      <c r="M19" s="63">
        <f t="shared" si="2"/>
        <v>1</v>
      </c>
    </row>
    <row r="20" spans="1:18" x14ac:dyDescent="0.3">
      <c r="A20" s="1483">
        <v>46283</v>
      </c>
      <c r="B20" s="1332"/>
      <c r="C20" s="64"/>
      <c r="D20" s="60"/>
      <c r="E20" s="60"/>
      <c r="F20" s="61">
        <f t="shared" si="3"/>
        <v>0</v>
      </c>
      <c r="G20" s="65"/>
      <c r="J20" s="62">
        <v>46157</v>
      </c>
      <c r="K20" s="6">
        <f t="shared" si="0"/>
        <v>0</v>
      </c>
      <c r="L20" s="6">
        <f t="shared" si="1"/>
        <v>24</v>
      </c>
      <c r="M20" s="63">
        <f t="shared" si="2"/>
        <v>1</v>
      </c>
    </row>
    <row r="21" spans="1:18" x14ac:dyDescent="0.3">
      <c r="A21" s="1483">
        <v>46284</v>
      </c>
      <c r="B21" s="1332"/>
      <c r="C21" s="64"/>
      <c r="D21" s="60"/>
      <c r="E21" s="60"/>
      <c r="F21" s="61">
        <f t="shared" si="3"/>
        <v>0</v>
      </c>
      <c r="G21" s="65"/>
      <c r="J21" s="62">
        <v>46158</v>
      </c>
      <c r="K21" s="6">
        <f t="shared" si="0"/>
        <v>0</v>
      </c>
      <c r="L21" s="6">
        <f t="shared" si="1"/>
        <v>24</v>
      </c>
      <c r="M21" s="63">
        <f t="shared" si="2"/>
        <v>1</v>
      </c>
    </row>
    <row r="22" spans="1:18" x14ac:dyDescent="0.3">
      <c r="A22" s="1483">
        <v>46285</v>
      </c>
      <c r="B22" s="1332"/>
      <c r="C22" s="64"/>
      <c r="D22" s="60"/>
      <c r="E22" s="60"/>
      <c r="F22" s="61">
        <f t="shared" si="3"/>
        <v>0</v>
      </c>
      <c r="G22" s="65"/>
      <c r="J22" s="62">
        <v>46159</v>
      </c>
      <c r="K22" s="6">
        <f t="shared" si="0"/>
        <v>0</v>
      </c>
      <c r="L22" s="6">
        <f t="shared" si="1"/>
        <v>24</v>
      </c>
      <c r="M22" s="63">
        <f t="shared" si="2"/>
        <v>1</v>
      </c>
    </row>
    <row r="23" spans="1:18" x14ac:dyDescent="0.3">
      <c r="A23" s="1483">
        <v>46286</v>
      </c>
      <c r="B23" s="1332"/>
      <c r="C23" s="64"/>
      <c r="D23" s="60"/>
      <c r="E23" s="60"/>
      <c r="F23" s="61">
        <f t="shared" si="3"/>
        <v>0</v>
      </c>
      <c r="G23" s="65"/>
      <c r="J23" s="62">
        <v>46160</v>
      </c>
      <c r="K23" s="6">
        <f t="shared" si="0"/>
        <v>0</v>
      </c>
      <c r="L23" s="6">
        <f t="shared" si="1"/>
        <v>24</v>
      </c>
      <c r="M23" s="63">
        <f t="shared" si="2"/>
        <v>1</v>
      </c>
    </row>
    <row r="24" spans="1:18" x14ac:dyDescent="0.3">
      <c r="A24" s="1483">
        <v>46287</v>
      </c>
      <c r="B24" s="1332"/>
      <c r="C24" s="64"/>
      <c r="D24" s="60"/>
      <c r="E24" s="60"/>
      <c r="F24" s="61">
        <f t="shared" si="3"/>
        <v>0</v>
      </c>
      <c r="G24" s="65"/>
      <c r="J24" s="62">
        <v>46161</v>
      </c>
      <c r="K24" s="6">
        <f t="shared" si="0"/>
        <v>0</v>
      </c>
      <c r="L24" s="6">
        <f t="shared" si="1"/>
        <v>24</v>
      </c>
      <c r="M24" s="63">
        <f t="shared" si="2"/>
        <v>1</v>
      </c>
    </row>
    <row r="25" spans="1:18" x14ac:dyDescent="0.3">
      <c r="A25" s="1483">
        <v>46288</v>
      </c>
      <c r="B25" s="1332"/>
      <c r="C25" s="64"/>
      <c r="D25" s="60"/>
      <c r="E25" s="60"/>
      <c r="F25" s="61">
        <f t="shared" si="3"/>
        <v>0</v>
      </c>
      <c r="G25" s="65"/>
      <c r="J25" s="62">
        <v>46162</v>
      </c>
      <c r="K25" s="6">
        <f t="shared" si="0"/>
        <v>0</v>
      </c>
      <c r="L25" s="6">
        <f t="shared" si="1"/>
        <v>24</v>
      </c>
      <c r="M25" s="63">
        <f t="shared" si="2"/>
        <v>1</v>
      </c>
    </row>
    <row r="26" spans="1:18" x14ac:dyDescent="0.3">
      <c r="A26" s="1483">
        <v>46289</v>
      </c>
      <c r="B26" s="1332"/>
      <c r="C26" s="64"/>
      <c r="D26" s="60"/>
      <c r="E26" s="60"/>
      <c r="F26" s="61">
        <f t="shared" si="3"/>
        <v>0</v>
      </c>
      <c r="G26" s="65"/>
      <c r="J26" s="62">
        <v>45952</v>
      </c>
      <c r="K26" s="6">
        <f t="shared" si="0"/>
        <v>0</v>
      </c>
      <c r="L26" s="6">
        <f t="shared" si="1"/>
        <v>24</v>
      </c>
      <c r="M26" s="63">
        <f t="shared" si="2"/>
        <v>1</v>
      </c>
    </row>
    <row r="27" spans="1:18" x14ac:dyDescent="0.3">
      <c r="A27" s="1483">
        <v>46290</v>
      </c>
      <c r="B27" s="1332"/>
      <c r="C27" s="64"/>
      <c r="D27" s="60"/>
      <c r="E27" s="60"/>
      <c r="F27" s="61">
        <f t="shared" si="3"/>
        <v>0</v>
      </c>
      <c r="G27" s="65"/>
      <c r="J27" s="62">
        <v>45953</v>
      </c>
      <c r="K27" s="6">
        <f t="shared" si="0"/>
        <v>0</v>
      </c>
      <c r="L27" s="6">
        <f t="shared" si="1"/>
        <v>24</v>
      </c>
      <c r="M27" s="63">
        <f t="shared" si="2"/>
        <v>1</v>
      </c>
    </row>
    <row r="28" spans="1:18" x14ac:dyDescent="0.3">
      <c r="A28" s="1483">
        <v>46291</v>
      </c>
      <c r="B28" s="1332"/>
      <c r="C28" s="64"/>
      <c r="D28" s="60"/>
      <c r="E28" s="60"/>
      <c r="F28" s="61">
        <f t="shared" si="3"/>
        <v>0</v>
      </c>
      <c r="G28" s="65"/>
      <c r="J28" s="62">
        <v>45954</v>
      </c>
      <c r="K28" s="6">
        <f t="shared" si="0"/>
        <v>0</v>
      </c>
      <c r="L28" s="6">
        <f t="shared" si="1"/>
        <v>24</v>
      </c>
      <c r="M28" s="63">
        <f t="shared" si="2"/>
        <v>1</v>
      </c>
    </row>
    <row r="29" spans="1:18" x14ac:dyDescent="0.3">
      <c r="A29" s="1483">
        <v>46292</v>
      </c>
      <c r="B29" s="1332"/>
      <c r="C29" s="64"/>
      <c r="D29" s="60"/>
      <c r="E29" s="60"/>
      <c r="F29" s="61">
        <f t="shared" si="3"/>
        <v>0</v>
      </c>
      <c r="G29" s="65"/>
      <c r="J29" s="62">
        <v>45955</v>
      </c>
      <c r="K29" s="6">
        <f t="shared" si="0"/>
        <v>0</v>
      </c>
      <c r="L29" s="6">
        <f t="shared" si="1"/>
        <v>24</v>
      </c>
      <c r="M29" s="63">
        <f t="shared" si="2"/>
        <v>1</v>
      </c>
    </row>
    <row r="30" spans="1:18" x14ac:dyDescent="0.3">
      <c r="A30" s="1483">
        <v>46293</v>
      </c>
      <c r="B30" s="1332"/>
      <c r="C30" s="64"/>
      <c r="D30" s="67"/>
      <c r="E30" s="67"/>
      <c r="F30" s="61">
        <f t="shared" si="3"/>
        <v>0</v>
      </c>
      <c r="G30" s="65"/>
      <c r="J30" s="62">
        <v>45956</v>
      </c>
      <c r="K30" s="66">
        <f t="shared" si="0"/>
        <v>0</v>
      </c>
      <c r="L30" s="6">
        <f>(1440-K30)/60</f>
        <v>24</v>
      </c>
      <c r="M30" s="63">
        <f t="shared" si="2"/>
        <v>1</v>
      </c>
    </row>
    <row r="31" spans="1:18" x14ac:dyDescent="0.3">
      <c r="A31" s="1483">
        <v>46294</v>
      </c>
      <c r="B31" s="1332"/>
      <c r="C31" s="64"/>
      <c r="D31" s="67"/>
      <c r="E31" s="67"/>
      <c r="F31" s="61">
        <f t="shared" si="3"/>
        <v>0</v>
      </c>
      <c r="G31" s="65"/>
      <c r="J31" s="62">
        <v>45957</v>
      </c>
      <c r="K31" s="66">
        <f t="shared" si="0"/>
        <v>0</v>
      </c>
      <c r="L31" s="6">
        <f>(1440-K31)/60</f>
        <v>24</v>
      </c>
      <c r="M31" s="63">
        <f t="shared" si="2"/>
        <v>1</v>
      </c>
      <c r="R31" s="29"/>
    </row>
    <row r="32" spans="1:18" x14ac:dyDescent="0.3">
      <c r="A32" s="1483">
        <v>46295</v>
      </c>
      <c r="B32" s="1332"/>
      <c r="C32" s="64"/>
      <c r="D32" s="67"/>
      <c r="E32" s="67"/>
      <c r="F32" s="61">
        <f t="shared" si="3"/>
        <v>0</v>
      </c>
      <c r="G32" s="65"/>
      <c r="J32" s="62">
        <v>45958</v>
      </c>
      <c r="K32" s="6">
        <f t="shared" si="0"/>
        <v>0</v>
      </c>
      <c r="L32" s="6">
        <f t="shared" si="1"/>
        <v>24</v>
      </c>
      <c r="M32" s="63">
        <f t="shared" si="2"/>
        <v>1</v>
      </c>
    </row>
    <row r="33" spans="1:13" x14ac:dyDescent="0.3">
      <c r="A33" s="1483">
        <v>46296</v>
      </c>
      <c r="B33" s="1332"/>
      <c r="C33" s="64"/>
      <c r="D33" s="67"/>
      <c r="E33" s="67"/>
      <c r="F33" s="61">
        <f t="shared" si="3"/>
        <v>0</v>
      </c>
      <c r="G33" s="65"/>
      <c r="J33" s="62">
        <v>45959</v>
      </c>
      <c r="K33" s="66">
        <f>SUM(F33:F35)</f>
        <v>0</v>
      </c>
      <c r="L33" s="66">
        <f t="shared" si="1"/>
        <v>24</v>
      </c>
      <c r="M33" s="63">
        <f>L33/12</f>
        <v>2</v>
      </c>
    </row>
    <row r="34" spans="1:13" x14ac:dyDescent="0.3">
      <c r="A34" s="1483">
        <v>46297</v>
      </c>
      <c r="B34" s="1332"/>
      <c r="C34" s="64"/>
      <c r="D34" s="67"/>
      <c r="E34" s="67"/>
      <c r="F34" s="61">
        <f t="shared" si="3"/>
        <v>0</v>
      </c>
      <c r="G34" s="65"/>
      <c r="J34" s="62">
        <v>45960</v>
      </c>
      <c r="K34" s="66">
        <f>SUM(F36:F38)</f>
        <v>0</v>
      </c>
      <c r="L34" s="66">
        <f>(1440-K34)/60</f>
        <v>24</v>
      </c>
      <c r="M34" s="63">
        <f>L34/12</f>
        <v>2</v>
      </c>
    </row>
    <row r="35" spans="1:13" x14ac:dyDescent="0.3">
      <c r="A35" s="1483">
        <v>46298</v>
      </c>
      <c r="B35" s="1332"/>
      <c r="C35" s="64"/>
      <c r="D35" s="67"/>
      <c r="E35" s="67"/>
      <c r="F35" s="61">
        <f t="shared" si="3"/>
        <v>0</v>
      </c>
      <c r="G35" s="65"/>
      <c r="J35" s="62">
        <v>45961</v>
      </c>
      <c r="K35" s="6"/>
      <c r="L35" s="6"/>
      <c r="M35" s="63"/>
    </row>
    <row r="36" spans="1:13" x14ac:dyDescent="0.3">
      <c r="A36" s="1483">
        <v>46299</v>
      </c>
      <c r="B36" s="1332"/>
      <c r="C36" s="64"/>
      <c r="D36" s="67"/>
      <c r="E36" s="67"/>
      <c r="F36" s="61">
        <f t="shared" si="3"/>
        <v>0</v>
      </c>
      <c r="G36" s="65"/>
      <c r="J36" s="62">
        <v>45962</v>
      </c>
      <c r="K36" s="66">
        <f>SUM(F40:F41)</f>
        <v>0</v>
      </c>
      <c r="L36" s="6">
        <f t="shared" si="1"/>
        <v>24</v>
      </c>
      <c r="M36" s="63">
        <f t="shared" ref="M36:M41" si="4">L36/12</f>
        <v>2</v>
      </c>
    </row>
    <row r="37" spans="1:13" x14ac:dyDescent="0.3">
      <c r="A37" s="1483">
        <v>46300</v>
      </c>
      <c r="B37" s="1332"/>
      <c r="C37" s="64"/>
      <c r="D37" s="67"/>
      <c r="E37" s="67"/>
      <c r="F37" s="61">
        <f t="shared" si="3"/>
        <v>0</v>
      </c>
      <c r="G37" s="65"/>
      <c r="J37" s="62">
        <v>45963</v>
      </c>
      <c r="K37" s="66">
        <f>SUM(F42:F44)</f>
        <v>0</v>
      </c>
      <c r="L37" s="66">
        <f t="shared" si="1"/>
        <v>24</v>
      </c>
      <c r="M37" s="63">
        <f t="shared" si="4"/>
        <v>2</v>
      </c>
    </row>
    <row r="38" spans="1:13" x14ac:dyDescent="0.3">
      <c r="A38" s="1483">
        <v>46301</v>
      </c>
      <c r="B38" s="1332"/>
      <c r="C38" s="64"/>
      <c r="D38" s="67"/>
      <c r="E38" s="67"/>
      <c r="F38" s="61">
        <f t="shared" si="3"/>
        <v>0</v>
      </c>
      <c r="G38" s="65"/>
      <c r="J38" s="62">
        <v>45964</v>
      </c>
      <c r="K38" s="66">
        <f>SUM(F45:F47)</f>
        <v>0</v>
      </c>
      <c r="L38" s="66">
        <f>(1440-K38)/60</f>
        <v>24</v>
      </c>
      <c r="M38" s="63">
        <f t="shared" si="4"/>
        <v>2</v>
      </c>
    </row>
    <row r="39" spans="1:13" x14ac:dyDescent="0.3">
      <c r="A39" s="1483">
        <v>46302</v>
      </c>
      <c r="B39" s="1332"/>
      <c r="C39" s="64"/>
      <c r="D39" s="67"/>
      <c r="E39" s="67"/>
      <c r="F39" s="61">
        <f t="shared" si="3"/>
        <v>0</v>
      </c>
      <c r="G39" s="65"/>
      <c r="J39" s="62">
        <v>45965</v>
      </c>
      <c r="K39" s="66">
        <f>SUM(F48:F49)</f>
        <v>0</v>
      </c>
      <c r="L39" s="66">
        <f>(1440-K39)/60</f>
        <v>24</v>
      </c>
      <c r="M39" s="63">
        <f t="shared" si="4"/>
        <v>2</v>
      </c>
    </row>
    <row r="40" spans="1:13" x14ac:dyDescent="0.3">
      <c r="A40" s="1483">
        <v>46303</v>
      </c>
      <c r="B40" s="1332"/>
      <c r="C40" s="64"/>
      <c r="D40" s="67"/>
      <c r="E40" s="67"/>
      <c r="F40" s="61">
        <f t="shared" si="3"/>
        <v>0</v>
      </c>
      <c r="G40" s="65"/>
      <c r="J40" s="62">
        <v>45966</v>
      </c>
      <c r="K40" s="66">
        <f>SUM(F50:F53)</f>
        <v>0</v>
      </c>
      <c r="L40" s="66">
        <f>(1440-K40)/60</f>
        <v>24</v>
      </c>
      <c r="M40" s="63">
        <f t="shared" si="4"/>
        <v>2</v>
      </c>
    </row>
    <row r="41" spans="1:13" x14ac:dyDescent="0.3">
      <c r="A41" s="1483">
        <v>46304</v>
      </c>
      <c r="B41" s="1332"/>
      <c r="C41" s="64"/>
      <c r="D41" s="67"/>
      <c r="E41" s="67"/>
      <c r="F41" s="61">
        <f t="shared" si="3"/>
        <v>0</v>
      </c>
      <c r="G41" s="65"/>
      <c r="J41" s="62">
        <v>45967</v>
      </c>
      <c r="K41" s="66">
        <f>SUM(F54:F56)</f>
        <v>0</v>
      </c>
      <c r="L41" s="66">
        <f>(1440-K41)/60</f>
        <v>24</v>
      </c>
      <c r="M41" s="63">
        <f t="shared" si="4"/>
        <v>2</v>
      </c>
    </row>
    <row r="42" spans="1:13" ht="13.5" customHeight="1" x14ac:dyDescent="0.3">
      <c r="A42" s="1483">
        <v>46305</v>
      </c>
      <c r="B42" s="1332"/>
      <c r="C42" s="64"/>
      <c r="D42" s="67"/>
      <c r="E42" s="67"/>
      <c r="F42" s="61">
        <f t="shared" si="3"/>
        <v>0</v>
      </c>
      <c r="G42" s="65"/>
      <c r="J42" s="62">
        <v>45968</v>
      </c>
      <c r="K42" s="66"/>
      <c r="L42" s="66"/>
      <c r="M42" s="63"/>
    </row>
    <row r="43" spans="1:13" ht="13.5" customHeight="1" x14ac:dyDescent="0.3">
      <c r="A43" s="1483">
        <v>46306</v>
      </c>
      <c r="B43" s="1332"/>
      <c r="C43" s="64"/>
      <c r="D43" s="67"/>
      <c r="E43" s="67"/>
      <c r="F43" s="61">
        <f t="shared" si="3"/>
        <v>0</v>
      </c>
      <c r="G43" s="65"/>
      <c r="J43" s="62">
        <v>45969</v>
      </c>
      <c r="K43" s="66"/>
      <c r="L43" s="66"/>
      <c r="M43" s="63"/>
    </row>
    <row r="44" spans="1:13" x14ac:dyDescent="0.3">
      <c r="A44" s="1483">
        <v>46307</v>
      </c>
      <c r="B44" s="1332"/>
      <c r="C44" s="64"/>
      <c r="D44" s="67"/>
      <c r="E44" s="67"/>
      <c r="F44" s="61">
        <f t="shared" si="3"/>
        <v>0</v>
      </c>
      <c r="G44" s="65"/>
      <c r="J44" s="62">
        <v>45970</v>
      </c>
      <c r="K44" s="66"/>
      <c r="L44" s="66"/>
      <c r="M44" s="63"/>
    </row>
    <row r="45" spans="1:13" x14ac:dyDescent="0.3">
      <c r="A45" s="1483">
        <v>46308</v>
      </c>
      <c r="B45" s="1332"/>
      <c r="C45" s="64"/>
      <c r="D45" s="67"/>
      <c r="E45" s="67"/>
      <c r="F45" s="61">
        <f>(E45-D45)*1440</f>
        <v>0</v>
      </c>
      <c r="G45" s="65"/>
      <c r="J45" s="62">
        <v>45971</v>
      </c>
      <c r="K45" s="66"/>
      <c r="L45" s="66"/>
      <c r="M45" s="63"/>
    </row>
    <row r="46" spans="1:13" x14ac:dyDescent="0.3">
      <c r="A46" s="1483">
        <v>46309</v>
      </c>
      <c r="B46" s="1332"/>
      <c r="C46" s="64"/>
      <c r="D46" s="67"/>
      <c r="E46" s="67"/>
      <c r="F46" s="61">
        <f t="shared" ref="F46:F62" si="5">(E46-D46)*1440</f>
        <v>0</v>
      </c>
      <c r="G46" s="65"/>
      <c r="J46" s="62">
        <v>45972</v>
      </c>
      <c r="K46" s="66"/>
      <c r="L46" s="66"/>
      <c r="M46" s="63"/>
    </row>
    <row r="47" spans="1:13" x14ac:dyDescent="0.3">
      <c r="A47" s="1483">
        <v>46310</v>
      </c>
      <c r="B47" s="1332"/>
      <c r="C47" s="64"/>
      <c r="D47" s="67"/>
      <c r="E47" s="67"/>
      <c r="F47" s="61">
        <f t="shared" si="5"/>
        <v>0</v>
      </c>
      <c r="G47" s="65"/>
      <c r="J47" s="62">
        <v>45973</v>
      </c>
      <c r="K47" s="66"/>
      <c r="L47" s="66"/>
      <c r="M47" s="63"/>
    </row>
    <row r="48" spans="1:13" x14ac:dyDescent="0.3">
      <c r="A48" s="1483">
        <v>46311</v>
      </c>
      <c r="B48" s="1332"/>
      <c r="C48" s="64"/>
      <c r="D48" s="67"/>
      <c r="E48" s="67"/>
      <c r="F48" s="61">
        <f t="shared" si="5"/>
        <v>0</v>
      </c>
      <c r="G48" s="65"/>
      <c r="J48" s="62">
        <v>45974</v>
      </c>
      <c r="K48" s="66"/>
      <c r="L48" s="66"/>
      <c r="M48" s="63"/>
    </row>
    <row r="49" spans="1:18" x14ac:dyDescent="0.3">
      <c r="A49" s="1483">
        <v>46312</v>
      </c>
      <c r="B49" s="1332"/>
      <c r="C49" s="64"/>
      <c r="D49" s="67"/>
      <c r="E49" s="67"/>
      <c r="F49" s="61">
        <f t="shared" si="5"/>
        <v>0</v>
      </c>
      <c r="G49" s="65"/>
      <c r="J49" s="62">
        <v>45975</v>
      </c>
      <c r="K49" s="66"/>
      <c r="L49" s="66"/>
      <c r="M49" s="63"/>
      <c r="R49" s="1">
        <f>8*24</f>
        <v>192</v>
      </c>
    </row>
    <row r="50" spans="1:18" x14ac:dyDescent="0.3">
      <c r="A50" s="1483">
        <v>46313</v>
      </c>
      <c r="B50" s="1332"/>
      <c r="C50" s="64"/>
      <c r="D50" s="67"/>
      <c r="E50" s="67"/>
      <c r="F50" s="61">
        <f t="shared" si="5"/>
        <v>0</v>
      </c>
      <c r="G50" s="65"/>
      <c r="J50" s="62">
        <v>45976</v>
      </c>
      <c r="K50" s="66"/>
      <c r="L50" s="66"/>
      <c r="M50" s="63"/>
    </row>
    <row r="51" spans="1:18" x14ac:dyDescent="0.3">
      <c r="A51" s="1483">
        <v>46314</v>
      </c>
      <c r="B51" s="1332"/>
      <c r="C51" s="64"/>
      <c r="D51" s="67"/>
      <c r="E51" s="67"/>
      <c r="F51" s="61">
        <f t="shared" si="5"/>
        <v>0</v>
      </c>
      <c r="G51" s="65"/>
      <c r="J51" s="62">
        <v>45977</v>
      </c>
      <c r="K51" s="66"/>
      <c r="L51" s="66"/>
      <c r="M51" s="63"/>
    </row>
    <row r="52" spans="1:18" x14ac:dyDescent="0.3">
      <c r="A52" s="1483">
        <v>46315</v>
      </c>
      <c r="B52" s="1332"/>
      <c r="C52" s="64"/>
      <c r="D52" s="67"/>
      <c r="E52" s="67"/>
      <c r="F52" s="61">
        <f t="shared" si="5"/>
        <v>0</v>
      </c>
      <c r="G52" s="65"/>
      <c r="J52" s="62">
        <v>45978</v>
      </c>
      <c r="K52" s="66"/>
      <c r="L52" s="66"/>
      <c r="M52" s="63"/>
    </row>
    <row r="53" spans="1:18" x14ac:dyDescent="0.3">
      <c r="A53" s="1483">
        <v>46316</v>
      </c>
      <c r="B53" s="1332"/>
      <c r="C53" s="64"/>
      <c r="D53" s="67"/>
      <c r="E53" s="67"/>
      <c r="F53" s="61">
        <f t="shared" si="5"/>
        <v>0</v>
      </c>
      <c r="G53" s="65"/>
      <c r="J53" s="62">
        <v>45979</v>
      </c>
      <c r="K53" s="66"/>
      <c r="L53" s="66"/>
      <c r="M53" s="63"/>
    </row>
    <row r="54" spans="1:18" x14ac:dyDescent="0.3">
      <c r="A54" s="1483">
        <v>46317</v>
      </c>
      <c r="B54" s="1332"/>
      <c r="C54" s="64"/>
      <c r="D54" s="67"/>
      <c r="E54" s="67"/>
      <c r="F54" s="61">
        <f t="shared" si="5"/>
        <v>0</v>
      </c>
      <c r="G54" s="65"/>
      <c r="J54" s="62">
        <v>45980</v>
      </c>
      <c r="K54" s="66"/>
      <c r="L54" s="66"/>
      <c r="M54" s="63"/>
    </row>
    <row r="55" spans="1:18" x14ac:dyDescent="0.3">
      <c r="A55" s="1483">
        <v>46318</v>
      </c>
      <c r="B55" s="1332"/>
      <c r="C55" s="64"/>
      <c r="D55" s="67"/>
      <c r="E55" s="67"/>
      <c r="F55" s="61">
        <f t="shared" si="5"/>
        <v>0</v>
      </c>
      <c r="G55" s="65"/>
      <c r="J55" s="62">
        <v>45981</v>
      </c>
      <c r="K55" s="66"/>
      <c r="L55" s="66"/>
      <c r="M55" s="63"/>
    </row>
    <row r="56" spans="1:18" x14ac:dyDescent="0.3">
      <c r="A56" s="1483">
        <v>46319</v>
      </c>
      <c r="B56" s="1332"/>
      <c r="C56" s="64"/>
      <c r="D56" s="67"/>
      <c r="E56" s="67"/>
      <c r="F56" s="61">
        <f t="shared" si="5"/>
        <v>0</v>
      </c>
      <c r="G56" s="65"/>
      <c r="J56" s="62">
        <v>45982</v>
      </c>
      <c r="K56" s="66"/>
      <c r="L56" s="66"/>
      <c r="M56" s="63"/>
    </row>
    <row r="57" spans="1:18" x14ac:dyDescent="0.3">
      <c r="A57" s="1483">
        <v>46320</v>
      </c>
      <c r="B57" s="1332"/>
      <c r="C57" s="64"/>
      <c r="D57" s="67"/>
      <c r="E57" s="67"/>
      <c r="F57" s="61">
        <f t="shared" si="5"/>
        <v>0</v>
      </c>
      <c r="G57" s="65"/>
      <c r="J57" s="15" t="s">
        <v>17</v>
      </c>
      <c r="K57" s="114">
        <f>SUM(K33:K40)</f>
        <v>0</v>
      </c>
      <c r="L57" s="124">
        <f>SUM(L33:L41)</f>
        <v>192</v>
      </c>
      <c r="M57" s="70">
        <f>L57/192</f>
        <v>1</v>
      </c>
    </row>
    <row r="58" spans="1:18" x14ac:dyDescent="0.3">
      <c r="A58" s="1483">
        <v>46321</v>
      </c>
      <c r="B58" s="1332"/>
      <c r="C58" s="64"/>
      <c r="D58" s="67"/>
      <c r="E58" s="67"/>
      <c r="F58" s="61">
        <f t="shared" si="5"/>
        <v>0</v>
      </c>
      <c r="G58" s="65"/>
      <c r="J58" s="37" t="s">
        <v>68</v>
      </c>
      <c r="K58" s="71">
        <f>K57/60</f>
        <v>0</v>
      </c>
      <c r="L58" s="12"/>
      <c r="M58" s="12"/>
    </row>
    <row r="59" spans="1:18" x14ac:dyDescent="0.3">
      <c r="A59" s="1483">
        <v>46322</v>
      </c>
      <c r="B59" s="1332"/>
      <c r="C59" s="64"/>
      <c r="D59" s="67"/>
      <c r="E59" s="67"/>
      <c r="F59" s="61">
        <f t="shared" si="5"/>
        <v>0</v>
      </c>
      <c r="G59" s="65"/>
    </row>
    <row r="60" spans="1:18" x14ac:dyDescent="0.3">
      <c r="A60" s="1483">
        <v>46323</v>
      </c>
      <c r="B60" s="1332"/>
      <c r="C60" s="64"/>
      <c r="D60" s="67"/>
      <c r="E60" s="67"/>
      <c r="F60" s="61">
        <f t="shared" si="5"/>
        <v>0</v>
      </c>
      <c r="G60" s="65"/>
    </row>
    <row r="61" spans="1:18" x14ac:dyDescent="0.3">
      <c r="A61" s="1483">
        <v>46324</v>
      </c>
      <c r="B61" s="1332"/>
      <c r="C61" s="64"/>
      <c r="D61" s="67"/>
      <c r="E61" s="67"/>
      <c r="F61" s="61">
        <f t="shared" si="5"/>
        <v>0</v>
      </c>
      <c r="G61" s="65"/>
    </row>
    <row r="62" spans="1:18" x14ac:dyDescent="0.3">
      <c r="A62" s="1483">
        <v>46325</v>
      </c>
      <c r="B62" s="1332"/>
      <c r="C62" s="64"/>
      <c r="D62" s="67"/>
      <c r="E62" s="67"/>
      <c r="F62" s="61">
        <f t="shared" si="5"/>
        <v>0</v>
      </c>
      <c r="G62" s="65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A1:BP102"/>
  <sheetViews>
    <sheetView zoomScale="81" zoomScaleNormal="100" workbookViewId="0">
      <pane ySplit="9" topLeftCell="A10" activePane="bottomLeft" state="frozen"/>
      <selection pane="bottomLeft" activeCell="C22" sqref="C22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" style="1" customWidth="1"/>
    <col min="5" max="5" width="12.109375" style="1" bestFit="1" customWidth="1"/>
    <col min="6" max="6" width="16.33203125" style="12" customWidth="1"/>
    <col min="7" max="7" width="10" style="1" bestFit="1" customWidth="1"/>
    <col min="8" max="8" width="11.21875" style="1" bestFit="1" customWidth="1"/>
    <col min="9" max="9" width="10.77734375" style="1" bestFit="1" customWidth="1"/>
    <col min="10" max="12" width="15" style="12" customWidth="1"/>
    <col min="13" max="13" width="15.21875" style="12" bestFit="1" customWidth="1"/>
    <col min="14" max="14" width="13.109375" style="1" customWidth="1"/>
    <col min="15" max="15" width="30.44140625" style="1" bestFit="1" customWidth="1"/>
    <col min="16" max="16" width="19.44140625" style="12" bestFit="1" customWidth="1"/>
    <col min="17" max="17" width="12.6640625" style="1" bestFit="1" customWidth="1"/>
    <col min="18" max="18" width="27.21875" style="12" bestFit="1" customWidth="1"/>
    <col min="19" max="19" width="20.44140625" style="12" customWidth="1"/>
    <col min="20" max="20" width="20.44140625" style="1" customWidth="1"/>
    <col min="21" max="21" width="35.88671875" style="1" bestFit="1" customWidth="1"/>
    <col min="22" max="22" width="17.109375" style="1" bestFit="1" customWidth="1"/>
    <col min="23" max="23" width="17.109375" style="1" customWidth="1"/>
    <col min="24" max="24" width="9.44140625" style="1" customWidth="1"/>
    <col min="25" max="25" width="13.33203125" style="1" customWidth="1"/>
    <col min="26" max="26" width="9.88671875" style="1" customWidth="1"/>
    <col min="27" max="27" width="15.21875" style="1" customWidth="1"/>
    <col min="28" max="28" width="12.88671875" style="1" customWidth="1"/>
    <col min="29" max="29" width="18.33203125" style="1" customWidth="1"/>
    <col min="30" max="30" width="18.5546875" style="1" customWidth="1"/>
    <col min="31" max="31" width="15.6640625" style="1" customWidth="1"/>
    <col min="32" max="32" width="8.88671875" style="1"/>
    <col min="33" max="33" width="8.88671875" style="1" customWidth="1"/>
    <col min="34" max="34" width="8.88671875" style="1"/>
    <col min="35" max="35" width="6.21875" style="1" bestFit="1" customWidth="1"/>
    <col min="36" max="36" width="5.77734375" style="1" customWidth="1"/>
    <col min="37" max="37" width="7" style="1" customWidth="1"/>
    <col min="38" max="38" width="16" style="1" customWidth="1"/>
    <col min="39" max="39" width="18.44140625" style="1" customWidth="1"/>
    <col min="40" max="40" width="15.33203125" style="1" customWidth="1"/>
    <col min="41" max="41" width="17.88671875" style="1" bestFit="1" customWidth="1"/>
    <col min="42" max="42" width="13.109375" style="1" customWidth="1"/>
    <col min="43" max="43" width="22.33203125" style="1" customWidth="1"/>
    <col min="44" max="45" width="15" style="1" customWidth="1"/>
    <col min="46" max="47" width="8.88671875" style="1"/>
    <col min="48" max="48" width="5.77734375" style="1" bestFit="1" customWidth="1"/>
    <col min="49" max="49" width="14.77734375" style="11" bestFit="1" customWidth="1"/>
    <col min="50" max="50" width="10.5546875" style="11" customWidth="1"/>
    <col min="51" max="51" width="11.109375" style="12" bestFit="1" customWidth="1"/>
    <col min="52" max="52" width="8.5546875" style="1" customWidth="1"/>
    <col min="53" max="53" width="9.77734375" style="1" customWidth="1"/>
    <col min="54" max="54" width="12.77734375" style="1" customWidth="1"/>
    <col min="55" max="55" width="7.6640625" style="1" customWidth="1"/>
    <col min="56" max="56" width="12.77734375" style="1" bestFit="1" customWidth="1"/>
    <col min="57" max="57" width="12.88671875" style="1" bestFit="1" customWidth="1"/>
    <col min="58" max="58" width="12.33203125" style="1" customWidth="1"/>
    <col min="59" max="59" width="7.77734375" style="1" customWidth="1"/>
    <col min="60" max="61" width="8.88671875" style="1"/>
    <col min="62" max="62" width="9.33203125" style="1" bestFit="1" customWidth="1"/>
    <col min="63" max="67" width="8.88671875" style="1"/>
    <col min="68" max="68" width="21.77734375" style="1" bestFit="1" customWidth="1"/>
    <col min="69" max="16384" width="8.88671875" style="1"/>
  </cols>
  <sheetData>
    <row r="1" spans="1:68" ht="15" thickBot="1" x14ac:dyDescent="0.35"/>
    <row r="2" spans="1:68" ht="24" thickBot="1" x14ac:dyDescent="0.5">
      <c r="E2" s="1505" t="s">
        <v>243</v>
      </c>
      <c r="F2" s="1506"/>
      <c r="G2" s="1506"/>
      <c r="H2" s="1506"/>
      <c r="I2" s="1506"/>
      <c r="J2" s="1506"/>
      <c r="K2" s="1506"/>
      <c r="L2" s="1506"/>
      <c r="M2" s="1506"/>
      <c r="N2" s="1506"/>
      <c r="O2" s="1506"/>
      <c r="P2" s="1506"/>
      <c r="Q2" s="1506"/>
      <c r="R2" s="1506"/>
      <c r="S2" s="1506"/>
      <c r="T2" s="1506"/>
      <c r="U2" s="1506"/>
      <c r="V2" s="1506"/>
      <c r="W2" s="1506"/>
      <c r="X2" s="1506"/>
      <c r="Y2" s="1506"/>
      <c r="Z2" s="1506"/>
      <c r="AA2" s="1506"/>
      <c r="AB2" s="1506"/>
      <c r="AC2" s="1506"/>
      <c r="AD2" s="1506"/>
      <c r="AE2" s="1506"/>
      <c r="AF2" s="1507"/>
    </row>
    <row r="3" spans="1:68" ht="24" thickBot="1" x14ac:dyDescent="0.5">
      <c r="E3" s="1505" t="s">
        <v>197</v>
      </c>
      <c r="F3" s="1506"/>
      <c r="G3" s="1506"/>
      <c r="H3" s="1506"/>
      <c r="I3" s="1506"/>
      <c r="J3" s="1506"/>
      <c r="K3" s="1506"/>
      <c r="L3" s="1506"/>
      <c r="M3" s="1506"/>
      <c r="N3" s="1506"/>
      <c r="O3" s="1506"/>
      <c r="P3" s="1506"/>
      <c r="Q3" s="1506"/>
      <c r="R3" s="1506"/>
      <c r="S3" s="1506"/>
      <c r="T3" s="1506"/>
      <c r="U3" s="1506"/>
      <c r="V3" s="1506"/>
      <c r="W3" s="1506"/>
      <c r="X3" s="1506"/>
      <c r="Y3" s="1506"/>
      <c r="Z3" s="1506"/>
      <c r="AA3" s="1506"/>
      <c r="AB3" s="1506"/>
      <c r="AC3" s="1506"/>
      <c r="AD3" s="1506"/>
      <c r="AE3" s="1506"/>
      <c r="AF3" s="1507"/>
      <c r="AJ3" s="136"/>
    </row>
    <row r="4" spans="1:68" ht="24" thickBot="1" x14ac:dyDescent="0.5">
      <c r="E4" s="1509" t="s">
        <v>537</v>
      </c>
      <c r="F4" s="1510"/>
      <c r="G4" s="1510"/>
      <c r="H4" s="1510"/>
      <c r="I4" s="1510"/>
      <c r="J4" s="1510"/>
      <c r="K4" s="1510"/>
      <c r="L4" s="1510"/>
      <c r="M4" s="1510"/>
      <c r="N4" s="1510"/>
      <c r="O4" s="1510"/>
      <c r="P4" s="1510"/>
      <c r="Q4" s="1510"/>
      <c r="R4" s="1510"/>
      <c r="S4" s="1510"/>
      <c r="T4" s="1510"/>
      <c r="U4" s="1510"/>
      <c r="V4" s="1510"/>
      <c r="W4" s="1510"/>
      <c r="X4" s="1510"/>
      <c r="Y4" s="1510"/>
      <c r="Z4" s="1510"/>
      <c r="AA4" s="1510"/>
      <c r="AB4" s="1510"/>
      <c r="AC4" s="1510"/>
      <c r="AD4" s="1510"/>
      <c r="AE4" s="1510"/>
      <c r="AF4" s="1511"/>
      <c r="AH4" s="422"/>
      <c r="AI4" s="2"/>
      <c r="AM4" s="2"/>
    </row>
    <row r="5" spans="1:68" x14ac:dyDescent="0.3">
      <c r="C5" s="10"/>
      <c r="G5" s="136"/>
      <c r="O5" s="10"/>
      <c r="AJ5" s="2"/>
      <c r="AS5" s="2"/>
    </row>
    <row r="6" spans="1:68" x14ac:dyDescent="0.3">
      <c r="O6" s="10"/>
      <c r="V6" s="2"/>
      <c r="W6" s="10"/>
      <c r="AD6" s="1110"/>
      <c r="AE6" s="1148"/>
      <c r="AG6" s="2"/>
      <c r="AI6" s="10"/>
      <c r="AL6" s="43"/>
    </row>
    <row r="7" spans="1:68" x14ac:dyDescent="0.3">
      <c r="B7" s="1374" t="s">
        <v>259</v>
      </c>
      <c r="C7" s="205" t="s">
        <v>325</v>
      </c>
      <c r="D7" s="205" t="s">
        <v>706</v>
      </c>
      <c r="E7" s="1374" t="s">
        <v>244</v>
      </c>
      <c r="F7" s="1374" t="s">
        <v>245</v>
      </c>
      <c r="G7" s="1374" t="s">
        <v>246</v>
      </c>
      <c r="H7" s="1374" t="s">
        <v>247</v>
      </c>
      <c r="I7" s="1374" t="s">
        <v>248</v>
      </c>
      <c r="J7" s="1508" t="s">
        <v>144</v>
      </c>
      <c r="K7" s="1500" t="s">
        <v>680</v>
      </c>
      <c r="L7" s="1500" t="s">
        <v>767</v>
      </c>
      <c r="M7" s="1374" t="s">
        <v>250</v>
      </c>
      <c r="N7" s="1378" t="s">
        <v>249</v>
      </c>
      <c r="O7" s="224" t="s">
        <v>249</v>
      </c>
      <c r="P7" s="1378" t="s">
        <v>295</v>
      </c>
      <c r="Q7" s="224" t="s">
        <v>292</v>
      </c>
      <c r="R7" s="224" t="s">
        <v>447</v>
      </c>
      <c r="S7" s="224" t="s">
        <v>449</v>
      </c>
      <c r="T7" s="224" t="s">
        <v>452</v>
      </c>
      <c r="U7" s="205" t="s">
        <v>282</v>
      </c>
      <c r="V7" s="1374" t="s">
        <v>251</v>
      </c>
      <c r="W7" s="205" t="s">
        <v>303</v>
      </c>
      <c r="X7" s="1374" t="s">
        <v>260</v>
      </c>
      <c r="Y7" s="1374"/>
      <c r="Z7" s="1374"/>
      <c r="AA7" s="1484" t="s">
        <v>262</v>
      </c>
      <c r="AB7" s="1484"/>
      <c r="AC7" s="1484"/>
      <c r="AD7" s="1374" t="s">
        <v>269</v>
      </c>
      <c r="AE7" s="1374" t="s">
        <v>290</v>
      </c>
      <c r="AF7" s="1484" t="s">
        <v>256</v>
      </c>
      <c r="AG7" s="1484"/>
      <c r="AH7" s="1484"/>
      <c r="AI7" s="1484"/>
      <c r="AJ7" s="1484"/>
      <c r="AK7" s="1484"/>
      <c r="AL7" s="1484" t="s">
        <v>266</v>
      </c>
      <c r="AM7" s="1484"/>
      <c r="AN7" s="1484"/>
      <c r="AO7" s="1484" t="s">
        <v>267</v>
      </c>
      <c r="AP7" s="1484"/>
      <c r="AQ7" s="1484"/>
      <c r="AR7" s="131"/>
      <c r="AS7" s="247" t="s">
        <v>331</v>
      </c>
      <c r="AT7" s="1491" t="s">
        <v>273</v>
      </c>
      <c r="AU7" s="1492"/>
      <c r="AV7" s="1493"/>
      <c r="AW7" s="1497" t="s">
        <v>300</v>
      </c>
      <c r="AX7" s="1151"/>
      <c r="AY7" s="1378" t="s">
        <v>301</v>
      </c>
      <c r="AZ7" s="1484" t="s">
        <v>661</v>
      </c>
      <c r="BA7" s="1484"/>
      <c r="BB7" s="1484"/>
      <c r="BC7" s="131" t="s">
        <v>293</v>
      </c>
      <c r="BD7" s="1484" t="s">
        <v>277</v>
      </c>
      <c r="BE7" s="1484"/>
      <c r="BF7" s="1484"/>
      <c r="BG7" s="1484" t="s">
        <v>761</v>
      </c>
      <c r="BH7" s="1484"/>
      <c r="BI7" s="1484"/>
      <c r="BJ7" s="1484" t="s">
        <v>763</v>
      </c>
      <c r="BK7" s="1484"/>
      <c r="BL7" s="1484"/>
    </row>
    <row r="8" spans="1:68" x14ac:dyDescent="0.3">
      <c r="B8" s="1374"/>
      <c r="C8" s="205" t="s">
        <v>296</v>
      </c>
      <c r="D8" s="205" t="s">
        <v>36</v>
      </c>
      <c r="E8" s="1374"/>
      <c r="F8" s="1374"/>
      <c r="G8" s="1374"/>
      <c r="H8" s="1374"/>
      <c r="I8" s="1374"/>
      <c r="J8" s="1508"/>
      <c r="K8" s="1501"/>
      <c r="L8" s="1501"/>
      <c r="M8" s="1374"/>
      <c r="N8" s="1379"/>
      <c r="O8" s="225" t="s">
        <v>316</v>
      </c>
      <c r="P8" s="1379"/>
      <c r="Q8" s="225" t="s">
        <v>54</v>
      </c>
      <c r="R8" s="225" t="s">
        <v>448</v>
      </c>
      <c r="S8" s="225" t="s">
        <v>450</v>
      </c>
      <c r="T8" s="225" t="s">
        <v>453</v>
      </c>
      <c r="U8" s="205" t="s">
        <v>283</v>
      </c>
      <c r="V8" s="1374"/>
      <c r="W8" s="205" t="s">
        <v>184</v>
      </c>
      <c r="X8" s="1374" t="s">
        <v>261</v>
      </c>
      <c r="Y8" s="1374"/>
      <c r="Z8" s="1374"/>
      <c r="AA8" s="1484" t="s">
        <v>466</v>
      </c>
      <c r="AB8" s="1484"/>
      <c r="AC8" s="1484"/>
      <c r="AD8" s="1374"/>
      <c r="AE8" s="1374"/>
      <c r="AF8" s="1484" t="s">
        <v>263</v>
      </c>
      <c r="AG8" s="1484"/>
      <c r="AH8" s="1484"/>
      <c r="AI8" s="1484" t="s">
        <v>264</v>
      </c>
      <c r="AJ8" s="1484"/>
      <c r="AK8" s="1484"/>
      <c r="AL8" s="1484" t="s">
        <v>265</v>
      </c>
      <c r="AM8" s="1484"/>
      <c r="AN8" s="1484"/>
      <c r="AO8" s="1484" t="s">
        <v>257</v>
      </c>
      <c r="AP8" s="1484"/>
      <c r="AQ8" s="1484"/>
      <c r="AR8" s="131" t="s">
        <v>258</v>
      </c>
      <c r="AS8" s="248" t="s">
        <v>294</v>
      </c>
      <c r="AT8" s="1494"/>
      <c r="AU8" s="1495"/>
      <c r="AV8" s="1496"/>
      <c r="AW8" s="1498"/>
      <c r="AX8" s="1152"/>
      <c r="AY8" s="1380"/>
      <c r="AZ8" s="1484" t="s">
        <v>261</v>
      </c>
      <c r="BA8" s="1484"/>
      <c r="BB8" s="1484"/>
      <c r="BC8" s="131" t="s">
        <v>294</v>
      </c>
      <c r="BD8" s="1484" t="s">
        <v>40</v>
      </c>
      <c r="BE8" s="1484"/>
      <c r="BF8" s="1484"/>
      <c r="BG8" s="1484" t="s">
        <v>762</v>
      </c>
      <c r="BH8" s="1484"/>
      <c r="BI8" s="1484"/>
      <c r="BJ8" s="1484" t="s">
        <v>40</v>
      </c>
      <c r="BK8" s="1484"/>
      <c r="BL8" s="1484"/>
    </row>
    <row r="9" spans="1:68" x14ac:dyDescent="0.3">
      <c r="B9" s="1374"/>
      <c r="C9" s="205" t="s">
        <v>297</v>
      </c>
      <c r="D9" s="205" t="s">
        <v>743</v>
      </c>
      <c r="E9" s="1374"/>
      <c r="F9" s="1374"/>
      <c r="G9" s="1374"/>
      <c r="H9" s="1374"/>
      <c r="I9" s="1374"/>
      <c r="J9" s="1508"/>
      <c r="K9" s="1502"/>
      <c r="L9" s="1502"/>
      <c r="M9" s="1374"/>
      <c r="N9" s="1380"/>
      <c r="O9" s="204" t="s">
        <v>315</v>
      </c>
      <c r="P9" s="1380"/>
      <c r="Q9" s="204" t="s">
        <v>70</v>
      </c>
      <c r="R9" s="204"/>
      <c r="S9" s="204" t="s">
        <v>451</v>
      </c>
      <c r="T9" s="204" t="s">
        <v>451</v>
      </c>
      <c r="U9" s="205" t="s">
        <v>284</v>
      </c>
      <c r="V9" s="1374"/>
      <c r="W9" s="205" t="s">
        <v>304</v>
      </c>
      <c r="X9" s="205" t="s">
        <v>253</v>
      </c>
      <c r="Y9" s="205" t="s">
        <v>254</v>
      </c>
      <c r="Z9" s="205" t="s">
        <v>255</v>
      </c>
      <c r="AA9" s="131" t="s">
        <v>253</v>
      </c>
      <c r="AB9" s="131" t="s">
        <v>254</v>
      </c>
      <c r="AC9" s="131" t="s">
        <v>255</v>
      </c>
      <c r="AD9" s="1374"/>
      <c r="AE9" s="1374"/>
      <c r="AF9" s="131" t="s">
        <v>253</v>
      </c>
      <c r="AG9" s="131" t="s">
        <v>254</v>
      </c>
      <c r="AH9" s="131" t="s">
        <v>255</v>
      </c>
      <c r="AI9" s="131" t="s">
        <v>253</v>
      </c>
      <c r="AJ9" s="131" t="s">
        <v>254</v>
      </c>
      <c r="AK9" s="131" t="s">
        <v>255</v>
      </c>
      <c r="AL9" s="131" t="s">
        <v>253</v>
      </c>
      <c r="AM9" s="131" t="s">
        <v>254</v>
      </c>
      <c r="AN9" s="131" t="s">
        <v>255</v>
      </c>
      <c r="AO9" s="131" t="s">
        <v>253</v>
      </c>
      <c r="AP9" s="131" t="s">
        <v>254</v>
      </c>
      <c r="AQ9" s="131" t="s">
        <v>255</v>
      </c>
      <c r="AR9" s="131" t="s">
        <v>253</v>
      </c>
      <c r="AS9" s="131" t="s">
        <v>70</v>
      </c>
      <c r="AT9" s="131" t="s">
        <v>253</v>
      </c>
      <c r="AU9" s="131" t="s">
        <v>254</v>
      </c>
      <c r="AV9" s="131" t="s">
        <v>255</v>
      </c>
      <c r="AW9" s="1499"/>
      <c r="AX9" s="226"/>
      <c r="AY9" s="131" t="s">
        <v>302</v>
      </c>
      <c r="AZ9" s="131" t="s">
        <v>253</v>
      </c>
      <c r="BA9" s="131" t="s">
        <v>254</v>
      </c>
      <c r="BB9" s="131" t="s">
        <v>255</v>
      </c>
      <c r="BC9" s="131" t="s">
        <v>70</v>
      </c>
      <c r="BD9" s="131" t="s">
        <v>253</v>
      </c>
      <c r="BE9" s="131" t="s">
        <v>254</v>
      </c>
      <c r="BF9" s="131" t="s">
        <v>255</v>
      </c>
      <c r="BG9" s="252" t="s">
        <v>253</v>
      </c>
      <c r="BH9" s="131" t="s">
        <v>254</v>
      </c>
      <c r="BI9" s="131" t="s">
        <v>255</v>
      </c>
      <c r="BJ9" s="131" t="s">
        <v>764</v>
      </c>
      <c r="BK9" s="131" t="s">
        <v>254</v>
      </c>
      <c r="BL9" s="252" t="s">
        <v>255</v>
      </c>
      <c r="BP9" s="12" t="s">
        <v>765</v>
      </c>
    </row>
    <row r="10" spans="1:68" s="620" customFormat="1" x14ac:dyDescent="0.3">
      <c r="A10" s="822">
        <f>J10/T10</f>
        <v>5.1645804357904499</v>
      </c>
      <c r="B10" s="487">
        <v>1</v>
      </c>
      <c r="C10" s="471">
        <f>SUM('Milling and Leach Feed_OLD'!P5:P8)</f>
        <v>45.333333333333329</v>
      </c>
      <c r="D10" s="471">
        <f>N10/C10</f>
        <v>6.4480941176470585</v>
      </c>
      <c r="E10" s="487">
        <v>2</v>
      </c>
      <c r="F10" s="638">
        <v>46266</v>
      </c>
      <c r="G10" s="817">
        <v>0.25</v>
      </c>
      <c r="H10" s="638">
        <v>46268</v>
      </c>
      <c r="I10" s="817">
        <v>0.79166666666666663</v>
      </c>
      <c r="J10" s="487">
        <v>557</v>
      </c>
      <c r="K10" s="1094">
        <f>(AY10*1000)/J10</f>
        <v>1.7953321364452424</v>
      </c>
      <c r="L10" s="1094"/>
      <c r="M10" s="486">
        <v>0.41</v>
      </c>
      <c r="N10" s="471">
        <f t="shared" ref="N10:N21" si="0">M10*J10*P10</f>
        <v>292.31359999999995</v>
      </c>
      <c r="O10" s="471"/>
      <c r="P10" s="487">
        <v>1.28</v>
      </c>
      <c r="Q10" s="487">
        <v>2</v>
      </c>
      <c r="R10" s="486">
        <v>0.39900000000000002</v>
      </c>
      <c r="S10" s="818">
        <v>1.2649999999999999</v>
      </c>
      <c r="T10" s="471">
        <v>107.85</v>
      </c>
      <c r="U10" s="471">
        <f t="shared" ref="U10:U15" si="1">T10*S10*R10</f>
        <v>54.435669749999995</v>
      </c>
      <c r="V10" s="471">
        <f t="shared" ref="V10:V15" si="2">N10*((1-M10)/M10)</f>
        <v>420.64640000000003</v>
      </c>
      <c r="W10" s="471">
        <f>N10</f>
        <v>292.31359999999995</v>
      </c>
      <c r="X10" s="818">
        <f>AVERAGE('Milling and Leach Feed_OLD'!T5:T8)</f>
        <v>0.70799999999999996</v>
      </c>
      <c r="Y10" s="818">
        <f>AVERAGE('Milling and Leach Feed_OLD'!U5:U8)</f>
        <v>0.53525</v>
      </c>
      <c r="Z10" s="818">
        <f>AVERAGE('Milling and Leach Feed_OLD'!V5:V8)</f>
        <v>7.2224166666666676</v>
      </c>
      <c r="AA10" s="818">
        <f>SUM('Milling and Leach Feed_OLD'!W5:W8)/'Au Cal Leaching Tank'!N10</f>
        <v>0.65897435796966009</v>
      </c>
      <c r="AB10" s="818">
        <f>SUM('Milling and Leach Feed_OLD'!X5:X8)/'Au Cal Leaching Tank'!N10</f>
        <v>0.56643603797540276</v>
      </c>
      <c r="AC10" s="818">
        <f>SUM('Milling and Leach Feed_OLD'!Y5:Y8)/'Au Cal Leaching Tank'!N10</f>
        <v>7.4363798214475381</v>
      </c>
      <c r="AD10" s="819">
        <f>X10-AA10</f>
        <v>4.9025642030339878E-2</v>
      </c>
      <c r="AE10" s="820">
        <f>((X10-AA10)/(X10+AA10)/2)</f>
        <v>1.7932173249817464E-2</v>
      </c>
      <c r="AF10" s="818">
        <f>'LT Floculation'!G6</f>
        <v>5.5750000000000001E-2</v>
      </c>
      <c r="AG10" s="818">
        <v>0.17</v>
      </c>
      <c r="AH10" s="818">
        <v>6.55</v>
      </c>
      <c r="AI10" s="818">
        <v>0.02</v>
      </c>
      <c r="AJ10" s="618"/>
      <c r="AK10" s="618"/>
      <c r="AL10" s="471">
        <f>X10*$N$10</f>
        <v>206.95802879999997</v>
      </c>
      <c r="AM10" s="471">
        <f t="shared" ref="AM10" si="3">AB10*$N$10</f>
        <v>165.57695743032667</v>
      </c>
      <c r="AN10" s="471">
        <f>AC10*$N$10</f>
        <v>2173.7549565746867</v>
      </c>
      <c r="AO10" s="471">
        <f>AF10*N10</f>
        <v>16.296483199999997</v>
      </c>
      <c r="AP10" s="471">
        <f>AG10*N10</f>
        <v>49.693311999999999</v>
      </c>
      <c r="AQ10" s="471">
        <f>AH10*N10</f>
        <v>1914.6540799999996</v>
      </c>
      <c r="AR10" s="471">
        <f>AI10*V10</f>
        <v>8.4129280000000008</v>
      </c>
      <c r="AS10" s="471">
        <v>1</v>
      </c>
      <c r="AT10" s="820">
        <f>((AL10-(AO10+AR10))/AL10)</f>
        <v>0.88060665564282758</v>
      </c>
      <c r="AU10" s="820">
        <f t="shared" ref="AU10" si="4">((AM10-AP10)/AM10)*0.95</f>
        <v>0.66488396010740214</v>
      </c>
      <c r="AV10" s="820">
        <f>((AN10-AQ10)/AN10)*0.95</f>
        <v>0.11323531753267131</v>
      </c>
      <c r="AW10" s="821">
        <v>2</v>
      </c>
      <c r="AX10" s="821"/>
      <c r="AY10" s="821">
        <v>1</v>
      </c>
      <c r="AZ10" s="471">
        <f>BD10/$AY10</f>
        <v>182.24861759999996</v>
      </c>
      <c r="BA10" s="471">
        <f t="shared" ref="BA10:BB11" si="5">BE10/$AY10</f>
        <v>115.88364543032668</v>
      </c>
      <c r="BB10" s="471">
        <f t="shared" si="5"/>
        <v>259.10087657468716</v>
      </c>
      <c r="BC10" s="471">
        <v>1</v>
      </c>
      <c r="BD10" s="471">
        <f>(AL10-AO10-AR10)</f>
        <v>182.24861759999996</v>
      </c>
      <c r="BE10" s="471">
        <f>(AM10-AP10)</f>
        <v>115.88364543032668</v>
      </c>
      <c r="BF10" s="471">
        <f>(AN10-AQ10)</f>
        <v>259.10087657468716</v>
      </c>
      <c r="BG10" s="617">
        <v>229</v>
      </c>
      <c r="BH10" s="485">
        <v>231</v>
      </c>
      <c r="BI10" s="1175">
        <v>133</v>
      </c>
      <c r="BJ10" s="1175">
        <f>BG10*$AY$10</f>
        <v>229</v>
      </c>
      <c r="BK10" s="1175">
        <f t="shared" ref="BK10:BL10" si="6">BH10*$AY$10</f>
        <v>231</v>
      </c>
      <c r="BL10" s="1175">
        <f t="shared" si="6"/>
        <v>133</v>
      </c>
      <c r="BM10" s="1176">
        <f>(BJ10+AR10+AO10)/N10</f>
        <v>0.86793570740465043</v>
      </c>
      <c r="BN10" s="824">
        <f>BM10*N10</f>
        <v>253.70941119999998</v>
      </c>
      <c r="BO10" s="1179">
        <f>BJ10/BN10</f>
        <v>0.9026074315370135</v>
      </c>
      <c r="BP10" s="1180">
        <f>BM10-X10</f>
        <v>0.15993570740465046</v>
      </c>
    </row>
    <row r="11" spans="1:68" x14ac:dyDescent="0.3">
      <c r="A11" s="43">
        <f>J11/T11</f>
        <v>4.9976819656930926</v>
      </c>
      <c r="B11" s="13">
        <v>2</v>
      </c>
      <c r="C11" s="39">
        <f>SUM('Milling and Leach Feed_OLD'!P9:P12)</f>
        <v>45</v>
      </c>
      <c r="D11" s="39">
        <f>N11/C11</f>
        <v>6.6698255555555557</v>
      </c>
      <c r="E11" s="13">
        <v>3</v>
      </c>
      <c r="F11" s="73">
        <v>46268</v>
      </c>
      <c r="G11" s="102">
        <v>0.75</v>
      </c>
      <c r="H11" s="73">
        <v>46269</v>
      </c>
      <c r="I11" s="102">
        <v>0.5</v>
      </c>
      <c r="J11" s="13">
        <v>539</v>
      </c>
      <c r="K11" s="1095">
        <f t="shared" ref="K11:K20" si="7">(AY11*1000)/J11</f>
        <v>1.8552875695732838</v>
      </c>
      <c r="L11" s="1095"/>
      <c r="M11" s="40">
        <v>0.43</v>
      </c>
      <c r="N11" s="39">
        <f t="shared" si="0"/>
        <v>300.14215000000002</v>
      </c>
      <c r="O11" s="39"/>
      <c r="P11" s="13">
        <v>1.2949999999999999</v>
      </c>
      <c r="Q11" s="13">
        <v>3</v>
      </c>
      <c r="R11" s="40">
        <v>0.4</v>
      </c>
      <c r="S11" s="133">
        <v>1.2649999999999999</v>
      </c>
      <c r="T11" s="39">
        <v>107.85</v>
      </c>
      <c r="U11" s="39">
        <f t="shared" si="1"/>
        <v>54.572099999999992</v>
      </c>
      <c r="V11" s="39">
        <f t="shared" si="2"/>
        <v>397.86285000000004</v>
      </c>
      <c r="W11" s="39">
        <f>N11+N10</f>
        <v>592.45574999999997</v>
      </c>
      <c r="X11" s="133">
        <f>AVERAGE('Milling and Leach Feed_OLD'!T9:T11)</f>
        <v>0.68400000000000005</v>
      </c>
      <c r="Y11" s="133">
        <f>AVERAGE('Milling and Leach Feed_OLD'!U9:U11)</f>
        <v>0.79333333333333333</v>
      </c>
      <c r="Z11" s="133">
        <f>AVERAGE('Milling and Leach Feed_OLD'!V9:V11)</f>
        <v>9.051111111111112</v>
      </c>
      <c r="AA11" s="133">
        <f>SUM('Milling and Leach Feed_OLD'!W9:W11)/'Au Cal Leaching Tank'!$N$11</f>
        <v>0.68534607973810646</v>
      </c>
      <c r="AB11" s="133">
        <f>SUM('Milling and Leach Feed_OLD'!X9:X11)/'Au Cal Leaching Tank'!$N$11</f>
        <v>0.79554044142084002</v>
      </c>
      <c r="AC11" s="133">
        <f>SUM('Milling and Leach Feed_OLD'!Y9:Y11)/'Au Cal Leaching Tank'!$N$11</f>
        <v>9.1008204118170912</v>
      </c>
      <c r="AD11" s="240">
        <f>AA11-X11</f>
        <v>1.3460797381064094E-3</v>
      </c>
      <c r="AE11" s="38">
        <f>((AA11-X11)/(AA11+X11)/2)</f>
        <v>4.9150457945731766E-4</v>
      </c>
      <c r="AF11" s="133">
        <f>'LT Floculation'!G7</f>
        <v>5.5749999999999994E-2</v>
      </c>
      <c r="AG11" s="133">
        <f>'LT Floculation'!H7</f>
        <v>0.25</v>
      </c>
      <c r="AH11" s="133">
        <f>'LT Floculation'!I7</f>
        <v>8.3524999999999991</v>
      </c>
      <c r="AI11" s="133">
        <v>2.9000000000000001E-2</v>
      </c>
      <c r="AJ11" s="6"/>
      <c r="AK11" s="6"/>
      <c r="AL11" s="39">
        <f>X11*$N11</f>
        <v>205.29723060000003</v>
      </c>
      <c r="AM11" s="39">
        <f>Y11*$N11</f>
        <v>238.11277233333334</v>
      </c>
      <c r="AN11" s="39">
        <f t="shared" ref="AN11" si="8">Z11*$N11</f>
        <v>2716.6199487777781</v>
      </c>
      <c r="AO11" s="39">
        <f t="shared" ref="AO11:AQ11" si="9">AF11*$N11</f>
        <v>16.732924862499999</v>
      </c>
      <c r="AP11" s="39">
        <f t="shared" si="9"/>
        <v>75.035537500000004</v>
      </c>
      <c r="AQ11" s="39">
        <f t="shared" si="9"/>
        <v>2506.937307875</v>
      </c>
      <c r="AR11" s="39">
        <f>AI11*V11</f>
        <v>11.538022650000002</v>
      </c>
      <c r="AS11" s="39">
        <v>2</v>
      </c>
      <c r="AT11" s="38">
        <f>((AL11-(AO11+AR11))/AL11)</f>
        <v>0.86229260165918664</v>
      </c>
      <c r="AU11" s="38">
        <f>(AM11-AP11)/AM11</f>
        <v>0.68487394957983194</v>
      </c>
      <c r="AV11" s="38">
        <f>(AN11-AQ11)/AN11</f>
        <v>7.7185121532040366E-2</v>
      </c>
      <c r="AW11" s="231">
        <v>3</v>
      </c>
      <c r="AX11" s="231"/>
      <c r="AY11" s="231">
        <v>1</v>
      </c>
      <c r="AZ11" s="39">
        <f>BD11/$AY11</f>
        <v>177.02628308750002</v>
      </c>
      <c r="BA11" s="39">
        <f t="shared" si="5"/>
        <v>163.07723483333334</v>
      </c>
      <c r="BB11" s="39">
        <f t="shared" si="5"/>
        <v>209.68264090277808</v>
      </c>
      <c r="BC11" s="39">
        <v>2</v>
      </c>
      <c r="BD11" s="39">
        <f t="shared" ref="BD11:BD15" si="10">(AL11-AO11-AR11)</f>
        <v>177.02628308750002</v>
      </c>
      <c r="BE11" s="39">
        <f t="shared" ref="BE11" si="11">(AM11-AP11)</f>
        <v>163.07723483333334</v>
      </c>
      <c r="BF11" s="39">
        <f>(AN11-AQ11)</f>
        <v>209.68264090277808</v>
      </c>
      <c r="BG11" s="233">
        <v>311</v>
      </c>
      <c r="BH11" s="233">
        <v>316</v>
      </c>
      <c r="BI11" s="233">
        <v>177</v>
      </c>
      <c r="BJ11" s="229">
        <f>BG11*$AY$11</f>
        <v>311</v>
      </c>
      <c r="BK11" s="229">
        <f t="shared" ref="BK11:BL11" si="12">BH11*$AY$11</f>
        <v>316</v>
      </c>
      <c r="BL11" s="229">
        <f t="shared" si="12"/>
        <v>177</v>
      </c>
      <c r="BM11" s="117">
        <f>(BJ11+AR11+AO11)/N11</f>
        <v>1.1303675525496835</v>
      </c>
      <c r="BN11" s="10">
        <f>BM11*N11</f>
        <v>339.27094751250002</v>
      </c>
      <c r="BO11" s="2">
        <f t="shared" ref="BO11:BO15" si="13">BJ11/BN11</f>
        <v>0.91667147535095561</v>
      </c>
      <c r="BP11" s="244">
        <f t="shared" ref="BP11:BP15" si="14">BM11-X11</f>
        <v>0.44636755254968341</v>
      </c>
    </row>
    <row r="12" spans="1:68" s="620" customFormat="1" x14ac:dyDescent="0.3">
      <c r="A12" s="822">
        <f>J12/T12</f>
        <v>5.9990727862772371</v>
      </c>
      <c r="B12" s="487">
        <v>3</v>
      </c>
      <c r="C12" s="471">
        <f>SUM('Milling and Leach Feed_OLD'!P16:P19)</f>
        <v>47.333333333333329</v>
      </c>
      <c r="D12" s="471">
        <f>O12/C12</f>
        <v>6.9078344419014108</v>
      </c>
      <c r="E12" s="487">
        <v>2</v>
      </c>
      <c r="F12" s="638">
        <v>46272</v>
      </c>
      <c r="G12" s="817">
        <v>0.91666666666666663</v>
      </c>
      <c r="H12" s="638">
        <v>46274</v>
      </c>
      <c r="I12" s="817">
        <v>0.41666666666666669</v>
      </c>
      <c r="J12" s="487">
        <v>647</v>
      </c>
      <c r="K12" s="1094">
        <f t="shared" si="7"/>
        <v>1.545595054095827</v>
      </c>
      <c r="L12" s="1094"/>
      <c r="M12" s="486">
        <v>0.45</v>
      </c>
      <c r="N12" s="471">
        <f t="shared" si="0"/>
        <v>381.40650000000005</v>
      </c>
      <c r="O12" s="471">
        <f t="shared" ref="O12:O17" si="15">N12-U10</f>
        <v>326.97083025000006</v>
      </c>
      <c r="P12" s="487">
        <v>1.31</v>
      </c>
      <c r="Q12" s="487">
        <v>2</v>
      </c>
      <c r="R12" s="486">
        <v>0.44</v>
      </c>
      <c r="S12" s="818">
        <v>1.3</v>
      </c>
      <c r="T12" s="471">
        <v>107.85</v>
      </c>
      <c r="U12" s="471">
        <f t="shared" si="1"/>
        <v>61.69019999999999</v>
      </c>
      <c r="V12" s="471">
        <f t="shared" si="2"/>
        <v>466.16350000000011</v>
      </c>
      <c r="W12" s="471">
        <f>O12+W11</f>
        <v>919.42658025000003</v>
      </c>
      <c r="X12" s="818">
        <f>AVERAGE('Milling and Leach Feed_OLD'!T16:T18)</f>
        <v>0.93455555555555547</v>
      </c>
      <c r="Y12" s="818">
        <f>AVERAGE('Milling and Leach Feed_OLD'!U16:U18)</f>
        <v>0.65888888888888886</v>
      </c>
      <c r="Z12" s="818">
        <f>AVERAGE('Milling and Leach Feed_OLD'!V16:V18)</f>
        <v>9.0688888888888908</v>
      </c>
      <c r="AA12" s="818">
        <f>SUM('Milling and Leach Feed_OLD'!W16:W19)/'Au Cal Leaching Tank'!$O$12</f>
        <v>0.88874983310558886</v>
      </c>
      <c r="AB12" s="818">
        <f>SUM('Milling and Leach Feed_OLD'!X16:X18)/'Au Cal Leaching Tank'!$O$12</f>
        <v>0.38757072090021194</v>
      </c>
      <c r="AC12" s="818">
        <f>SUM('Milling and Leach Feed_OLD'!Y16:Y18)/'Au Cal Leaching Tank'!$O$12</f>
        <v>5.6910690955920016</v>
      </c>
      <c r="AD12" s="819">
        <f>X12-AA12</f>
        <v>4.5805722449966613E-2</v>
      </c>
      <c r="AE12" s="820">
        <f>((X12-AA12)/(X12+AA12)/2)</f>
        <v>1.2561176732879022E-2</v>
      </c>
      <c r="AF12" s="818">
        <f>'LT Floculation'!G8</f>
        <v>9.816666666666668E-2</v>
      </c>
      <c r="AG12" s="818">
        <f>'LT Floculation'!H8</f>
        <v>0.23333333333333331</v>
      </c>
      <c r="AH12" s="818">
        <f>'LT Floculation'!I8</f>
        <v>8.9633333333333329</v>
      </c>
      <c r="AI12" s="487">
        <v>2.3E-2</v>
      </c>
      <c r="AJ12" s="618"/>
      <c r="AK12" s="618"/>
      <c r="AL12" s="471">
        <f>$O12*X12</f>
        <v>305.57240591475005</v>
      </c>
      <c r="AM12" s="471">
        <f t="shared" ref="AM12:AN12" si="16">$O12*Y12</f>
        <v>215.43744704250003</v>
      </c>
      <c r="AN12" s="471">
        <f t="shared" si="16"/>
        <v>2965.2621294450014</v>
      </c>
      <c r="AO12" s="471">
        <f>AF12*$O12</f>
        <v>32.097636502875012</v>
      </c>
      <c r="AP12" s="471">
        <f>AG12*$O12</f>
        <v>76.293193725000009</v>
      </c>
      <c r="AQ12" s="471">
        <f>AH12*$O12</f>
        <v>2930.7485418075003</v>
      </c>
      <c r="AR12" s="471">
        <f t="shared" ref="AR12:AR16" si="17">AI12*V12</f>
        <v>10.721760500000002</v>
      </c>
      <c r="AS12" s="471">
        <v>3</v>
      </c>
      <c r="AT12" s="820">
        <f>IFERROR(((AL12-(AO12+AR12))/AL12),"")</f>
        <v>0.85987151924044825</v>
      </c>
      <c r="AU12" s="820">
        <f>IFERROR((AM12-AP12)/AM12,"")</f>
        <v>0.64586846543001686</v>
      </c>
      <c r="AV12" s="820">
        <f>IFERROR((AN12-AQ12)/AN12,"")</f>
        <v>1.1639304092134657E-2</v>
      </c>
      <c r="AW12" s="821">
        <v>2</v>
      </c>
      <c r="AX12" s="821"/>
      <c r="AY12" s="1156">
        <v>1</v>
      </c>
      <c r="AZ12" s="471">
        <f>(BD10+BD12)/AY12</f>
        <v>445.00162651187497</v>
      </c>
      <c r="BA12" s="471">
        <f>(BE10+BE12)/AY12</f>
        <v>255.0278987478267</v>
      </c>
      <c r="BB12" s="823">
        <f>(BB10+BF12)/AY12</f>
        <v>293.6144642121883</v>
      </c>
      <c r="BC12" s="823">
        <v>3</v>
      </c>
      <c r="BD12" s="471">
        <f>(AL12-AO12-AR12)</f>
        <v>262.75300891187504</v>
      </c>
      <c r="BE12" s="471">
        <f t="shared" ref="BE12:BE13" si="18">(AM12-AP12)</f>
        <v>139.14425331750002</v>
      </c>
      <c r="BF12" s="471">
        <f t="shared" ref="BF12" si="19">(AN12-AQ12)</f>
        <v>34.513587637501132</v>
      </c>
      <c r="BG12" s="617">
        <v>489</v>
      </c>
      <c r="BH12" s="485">
        <v>482</v>
      </c>
      <c r="BI12" s="485">
        <v>280</v>
      </c>
      <c r="BJ12" s="485">
        <f>BG12*$AY$12</f>
        <v>489</v>
      </c>
      <c r="BK12" s="485">
        <f t="shared" ref="BK12:BL12" si="20">BH12*$AY$12</f>
        <v>482</v>
      </c>
      <c r="BL12" s="485">
        <f t="shared" si="20"/>
        <v>280</v>
      </c>
      <c r="BM12" s="1177">
        <f>(BJ12+AR12+AO12)/O12</f>
        <v>1.6265041031221315</v>
      </c>
      <c r="BN12" s="824">
        <f>BM12*O12</f>
        <v>531.81939700287501</v>
      </c>
      <c r="BO12" s="1179">
        <f t="shared" si="13"/>
        <v>0.91948507849809857</v>
      </c>
      <c r="BP12" s="1180">
        <f t="shared" si="14"/>
        <v>0.69194854756657598</v>
      </c>
    </row>
    <row r="13" spans="1:68" x14ac:dyDescent="0.3">
      <c r="A13" s="43">
        <f t="shared" ref="A13:A19" si="21">J13/T13</f>
        <v>5.9990727862772371</v>
      </c>
      <c r="B13" s="13">
        <v>4</v>
      </c>
      <c r="C13" s="39">
        <f>SUM('Milling and Leach Feed_OLD'!P20:P23)</f>
        <v>32.049999999999997</v>
      </c>
      <c r="D13" s="39">
        <f>O13/C13</f>
        <v>9.8887769110764445</v>
      </c>
      <c r="E13" s="13">
        <v>3</v>
      </c>
      <c r="F13" s="73">
        <v>46274</v>
      </c>
      <c r="G13" s="102">
        <v>0.41666666666666669</v>
      </c>
      <c r="H13" s="73">
        <v>46275</v>
      </c>
      <c r="I13" s="102">
        <v>0.54166666666666663</v>
      </c>
      <c r="J13" s="13">
        <v>647</v>
      </c>
      <c r="K13" s="1095">
        <f t="shared" si="7"/>
        <v>1.545595054095827</v>
      </c>
      <c r="L13" s="1095"/>
      <c r="M13" s="40">
        <v>0.44</v>
      </c>
      <c r="N13" s="39">
        <f t="shared" si="0"/>
        <v>371.50740000000002</v>
      </c>
      <c r="O13" s="39">
        <f t="shared" si="15"/>
        <v>316.93530000000004</v>
      </c>
      <c r="P13" s="13">
        <v>1.3049999999999999</v>
      </c>
      <c r="Q13" s="13">
        <v>3</v>
      </c>
      <c r="R13" s="40">
        <v>0.41</v>
      </c>
      <c r="S13" s="133">
        <v>1.2749999999999999</v>
      </c>
      <c r="T13" s="39">
        <f>$T$10</f>
        <v>107.85</v>
      </c>
      <c r="U13" s="39">
        <f t="shared" si="1"/>
        <v>56.378587499999995</v>
      </c>
      <c r="V13" s="39">
        <f t="shared" si="2"/>
        <v>472.82760000000007</v>
      </c>
      <c r="W13" s="39">
        <f>O13+W12</f>
        <v>1236.36188025</v>
      </c>
      <c r="X13" s="133">
        <f>AVERAGE('Milling and Leach Feed_OLD'!T16:T19)</f>
        <v>0.92891666666666661</v>
      </c>
      <c r="Y13" s="133">
        <f>AVERAGE('Milling and Leach Feed_OLD'!U16:U19)</f>
        <v>0.73249999999999993</v>
      </c>
      <c r="Z13" s="133">
        <f>AVERAGE('Milling and Leach Feed_OLD'!V16:V19)</f>
        <v>9.1508333333333347</v>
      </c>
      <c r="AA13" s="133">
        <f>SUM('Milling and Leach Feed_OLD'!W16:W19)/'Au Cal Leaching Tank'!$O$12</f>
        <v>0.88874983310558886</v>
      </c>
      <c r="AB13" s="133">
        <f>SUM('Milling and Leach Feed_OLD'!X16:X19)/'Au Cal Leaching Tank'!$O$12</f>
        <v>0.7588265907500884</v>
      </c>
      <c r="AC13" s="133">
        <f>SUM('Milling and Leach Feed_OLD'!Y16:Y19)/'Au Cal Leaching Tank'!$O$12</f>
        <v>9.3504057987626368</v>
      </c>
      <c r="AD13" s="240">
        <f>X13-AA13</f>
        <v>4.0166833561077753E-2</v>
      </c>
      <c r="AE13" s="38">
        <f>((X13-AA13)/(X13+AA13)/2)</f>
        <v>1.1049010796565392E-2</v>
      </c>
      <c r="AF13" s="133">
        <f>'LT Floculation'!G9</f>
        <v>0.10916666666666668</v>
      </c>
      <c r="AG13" s="133">
        <f>'LT Floculation'!H9</f>
        <v>0.24</v>
      </c>
      <c r="AH13" s="133">
        <f>'LT Floculation'!I9</f>
        <v>5.1633333333333331</v>
      </c>
      <c r="AI13" s="13">
        <v>3.3000000000000002E-2</v>
      </c>
      <c r="AJ13" s="6"/>
      <c r="AK13" s="6"/>
      <c r="AL13" s="39">
        <f t="shared" ref="AL13:AL14" si="22">$O13*X13</f>
        <v>294.40648242500004</v>
      </c>
      <c r="AM13" s="39">
        <f t="shared" ref="AM13:AM14" si="23">$O13*Y13</f>
        <v>232.15510725000001</v>
      </c>
      <c r="AN13" s="39">
        <f t="shared" ref="AN13:AN14" si="24">$O13*Z13</f>
        <v>2900.2221077500008</v>
      </c>
      <c r="AO13" s="39">
        <f>AF13*$O13</f>
        <v>34.598770250000008</v>
      </c>
      <c r="AP13" s="39">
        <f t="shared" ref="AP13:AQ14" si="25">AG13*$O13</f>
        <v>76.064472000000009</v>
      </c>
      <c r="AQ13" s="39">
        <f t="shared" si="25"/>
        <v>1636.4425990000002</v>
      </c>
      <c r="AR13" s="39">
        <f>AI13*V13</f>
        <v>15.603310800000003</v>
      </c>
      <c r="AS13" s="39">
        <v>4</v>
      </c>
      <c r="AT13" s="38">
        <f t="shared" ref="AT13:AT59" si="26">IFERROR(((AL13-(AO13+AR13))/AL13),"")</f>
        <v>0.82948038155787218</v>
      </c>
      <c r="AU13" s="38">
        <f t="shared" ref="AU13:AU59" si="27">IFERROR((AM13-AP13)/AM13,"")</f>
        <v>0.67235494880546065</v>
      </c>
      <c r="AV13" s="38">
        <f t="shared" ref="AV13:AV59" si="28">IFERROR((AN13-AQ13)/AN13,"")</f>
        <v>0.43575266369183141</v>
      </c>
      <c r="AW13" s="231">
        <v>3</v>
      </c>
      <c r="AX13" s="231"/>
      <c r="AY13" s="229">
        <v>1</v>
      </c>
      <c r="AZ13" s="39">
        <f>(BD11+BD13)/AY13</f>
        <v>421.23068446249999</v>
      </c>
      <c r="BA13" s="39">
        <f>(BD11+BD13)/AY13</f>
        <v>421.23068446249999</v>
      </c>
      <c r="BB13" s="241">
        <f>(BE11+BE13)/AY13</f>
        <v>319.16787008333336</v>
      </c>
      <c r="BC13" s="241">
        <v>4</v>
      </c>
      <c r="BD13" s="39">
        <f t="shared" si="10"/>
        <v>244.204401375</v>
      </c>
      <c r="BE13" s="39">
        <f t="shared" si="18"/>
        <v>156.09063524999999</v>
      </c>
      <c r="BF13" s="39">
        <f>(AN13-AQ13)</f>
        <v>1263.7795087500006</v>
      </c>
      <c r="BG13" s="233">
        <v>676</v>
      </c>
      <c r="BH13" s="154">
        <v>671</v>
      </c>
      <c r="BI13" s="154">
        <v>362</v>
      </c>
      <c r="BJ13" s="154">
        <f>BG13*$AY$13</f>
        <v>676</v>
      </c>
      <c r="BK13" s="154">
        <f t="shared" ref="BK13:BL13" si="29">BH13*$AY$13</f>
        <v>671</v>
      </c>
      <c r="BL13" s="154">
        <f t="shared" si="29"/>
        <v>362</v>
      </c>
      <c r="BM13" s="117">
        <f>(BJ13+AR13+AO13)/O13</f>
        <v>2.291325961639489</v>
      </c>
      <c r="BN13" s="10">
        <f>BM13*O13</f>
        <v>726.20208105000006</v>
      </c>
      <c r="BO13" s="2">
        <f t="shared" si="13"/>
        <v>0.93087037016278729</v>
      </c>
      <c r="BP13" s="244">
        <f t="shared" si="14"/>
        <v>1.3624092949728224</v>
      </c>
    </row>
    <row r="14" spans="1:68" s="687" customFormat="1" x14ac:dyDescent="0.3">
      <c r="A14" s="822">
        <f t="shared" si="21"/>
        <v>5.9990727862772371</v>
      </c>
      <c r="B14" s="487">
        <v>5</v>
      </c>
      <c r="C14" s="471">
        <f>SUM('Milling and Leach Feed_OLD'!P25:P27)</f>
        <v>26.016666666666666</v>
      </c>
      <c r="D14" s="471">
        <f>O14/C14</f>
        <v>10.262106342088407</v>
      </c>
      <c r="E14" s="487">
        <v>2</v>
      </c>
      <c r="F14" s="638">
        <v>46276</v>
      </c>
      <c r="G14" s="817">
        <v>0.43263888888888891</v>
      </c>
      <c r="H14" s="638">
        <v>46277</v>
      </c>
      <c r="I14" s="817">
        <v>0.29166666666666669</v>
      </c>
      <c r="J14" s="487">
        <v>647</v>
      </c>
      <c r="K14" s="1094">
        <f t="shared" si="7"/>
        <v>2.3183925811437405</v>
      </c>
      <c r="L14" s="1094"/>
      <c r="M14" s="486">
        <v>0.4</v>
      </c>
      <c r="N14" s="471">
        <f t="shared" si="0"/>
        <v>328.67600000000004</v>
      </c>
      <c r="O14" s="471">
        <f t="shared" si="15"/>
        <v>266.98580000000004</v>
      </c>
      <c r="P14" s="487">
        <v>1.27</v>
      </c>
      <c r="Q14" s="487">
        <v>2</v>
      </c>
      <c r="R14" s="486">
        <v>0.41</v>
      </c>
      <c r="S14" s="818">
        <v>1.28</v>
      </c>
      <c r="T14" s="471">
        <f>$T$10</f>
        <v>107.85</v>
      </c>
      <c r="U14" s="471">
        <f t="shared" si="1"/>
        <v>56.599679999999999</v>
      </c>
      <c r="V14" s="471">
        <f t="shared" si="2"/>
        <v>493.01400000000001</v>
      </c>
      <c r="W14" s="471">
        <f>W13+O14</f>
        <v>1503.3476802499999</v>
      </c>
      <c r="X14" s="818">
        <f>AVERAGE('Milling and Leach Feed_OLD'!T25:T27)</f>
        <v>0.58733333333333337</v>
      </c>
      <c r="Y14" s="818">
        <f>AVERAGE('Milling and Leach Feed_OLD'!U25:U27)</f>
        <v>0.49666666666666665</v>
      </c>
      <c r="Z14" s="818">
        <f>AVERAGE('Milling and Leach Feed_OLD'!V25:V27)</f>
        <v>9.0411111111111087</v>
      </c>
      <c r="AA14" s="818">
        <f>SUM('Milling and Leach Feed_OLD'!W25:W27)/'Au Cal Leaching Tank'!$O$14</f>
        <v>0.61464225438206821</v>
      </c>
      <c r="AB14" s="818">
        <f>SUM('Milling and Leach Feed_OLD'!X25:X27)/'Au Cal Leaching Tank'!$O$14</f>
        <v>0.52218902278697976</v>
      </c>
      <c r="AC14" s="818">
        <f>SUM('Milling and Leach Feed_OLD'!Y25:Y27)/'Au Cal Leaching Tank'!$O$14</f>
        <v>8.950932119486005</v>
      </c>
      <c r="AD14" s="818">
        <f>AA14-X14</f>
        <v>2.7308921048734836E-2</v>
      </c>
      <c r="AE14" s="820">
        <f>((AA14-X14)/(AA14+X14)/2)</f>
        <v>1.1360014848821088E-2</v>
      </c>
      <c r="AF14" s="818">
        <f>AVERAGE('LT Floculation'!R28:R33)</f>
        <v>0.12466666666666666</v>
      </c>
      <c r="AG14" s="818">
        <f>AVERAGE('LT Floculation'!S28:S33)</f>
        <v>0.37833333333333335</v>
      </c>
      <c r="AH14" s="818">
        <f>AVERAGE('LT Floculation'!T28:T33)</f>
        <v>7.5183333333333335</v>
      </c>
      <c r="AI14" s="487">
        <v>2.5999999999999999E-2</v>
      </c>
      <c r="AJ14" s="487"/>
      <c r="AK14" s="487"/>
      <c r="AL14" s="471">
        <f t="shared" si="22"/>
        <v>156.80965986666669</v>
      </c>
      <c r="AM14" s="471">
        <f t="shared" si="23"/>
        <v>132.60294733333336</v>
      </c>
      <c r="AN14" s="471">
        <f t="shared" si="24"/>
        <v>2413.8482828888887</v>
      </c>
      <c r="AO14" s="471">
        <f>AF14*$O14</f>
        <v>33.284229733333341</v>
      </c>
      <c r="AP14" s="471">
        <f t="shared" si="25"/>
        <v>101.00962766666669</v>
      </c>
      <c r="AQ14" s="471">
        <f t="shared" si="25"/>
        <v>2007.2882396666671</v>
      </c>
      <c r="AR14" s="471">
        <f>AI14*V14</f>
        <v>12.818363999999999</v>
      </c>
      <c r="AS14" s="471">
        <v>5</v>
      </c>
      <c r="AT14" s="820">
        <f>IFERROR(((AL14-(AO14+AR14))/AL14),"")</f>
        <v>0.70599646876006361</v>
      </c>
      <c r="AU14" s="820">
        <f t="shared" si="27"/>
        <v>0.23825503355704697</v>
      </c>
      <c r="AV14" s="820">
        <f t="shared" si="28"/>
        <v>0.16842816762934718</v>
      </c>
      <c r="AW14" s="821">
        <v>2</v>
      </c>
      <c r="AX14" s="821"/>
      <c r="AY14" s="1157">
        <v>1.5</v>
      </c>
      <c r="AZ14" s="471">
        <f>(BD10+BD12+BD14)/AY14</f>
        <v>370.47246176347221</v>
      </c>
      <c r="BA14" s="471">
        <f>(BE10+BE12+BE14)/AY14</f>
        <v>191.08081227632888</v>
      </c>
      <c r="BB14" s="471">
        <f>(BF10+BF12+BF14)/AY14</f>
        <v>466.78300495627326</v>
      </c>
      <c r="BC14" s="471">
        <v>5</v>
      </c>
      <c r="BD14" s="471">
        <f t="shared" si="10"/>
        <v>110.70706613333334</v>
      </c>
      <c r="BE14" s="471">
        <f t="shared" ref="BE14" si="30">(AM14-AP14)</f>
        <v>31.593319666666673</v>
      </c>
      <c r="BF14" s="471">
        <f t="shared" ref="BF14" si="31">(AN14-AQ14)</f>
        <v>406.56004322222157</v>
      </c>
      <c r="BG14" s="617">
        <v>532</v>
      </c>
      <c r="BH14" s="485">
        <v>537</v>
      </c>
      <c r="BI14" s="485">
        <v>303</v>
      </c>
      <c r="BJ14" s="485">
        <f>BG14*$AY$14</f>
        <v>798</v>
      </c>
      <c r="BK14" s="485">
        <f t="shared" ref="BK14:BL14" si="32">BH14*$AY$14</f>
        <v>805.5</v>
      </c>
      <c r="BL14" s="485">
        <f t="shared" si="32"/>
        <v>454.5</v>
      </c>
      <c r="BM14" s="1177">
        <f>(BJ14+AR14+AO14)/O14</f>
        <v>3.161601080407022</v>
      </c>
      <c r="BN14" s="824">
        <f>BM14*O14</f>
        <v>844.10259373333326</v>
      </c>
      <c r="BO14" s="1179">
        <f t="shared" si="13"/>
        <v>0.9453827128649982</v>
      </c>
      <c r="BP14" s="1180">
        <f t="shared" si="14"/>
        <v>2.5742677470736886</v>
      </c>
    </row>
    <row r="15" spans="1:68" x14ac:dyDescent="0.3">
      <c r="A15" s="43">
        <f t="shared" si="21"/>
        <v>7.7422345850718592</v>
      </c>
      <c r="B15" s="13">
        <v>6</v>
      </c>
      <c r="C15" s="39">
        <f>SUM('Milling and Leach Feed_OLD'!P29:P30)</f>
        <v>2</v>
      </c>
      <c r="D15" s="39"/>
      <c r="E15" s="13">
        <v>3</v>
      </c>
      <c r="F15" s="73">
        <v>46278</v>
      </c>
      <c r="G15" s="102">
        <v>0.33333333333333331</v>
      </c>
      <c r="H15" s="73">
        <v>46278</v>
      </c>
      <c r="I15" s="102">
        <v>0.875</v>
      </c>
      <c r="J15" s="13">
        <v>835</v>
      </c>
      <c r="K15" s="1095">
        <f t="shared" si="7"/>
        <v>1.7964071856287425</v>
      </c>
      <c r="L15" s="1095"/>
      <c r="M15" s="40">
        <v>0.33</v>
      </c>
      <c r="N15" s="39">
        <f t="shared" si="0"/>
        <v>333.41550000000001</v>
      </c>
      <c r="O15" s="39">
        <f t="shared" si="15"/>
        <v>277.03691250000003</v>
      </c>
      <c r="P15" s="13">
        <v>1.21</v>
      </c>
      <c r="Q15" s="13">
        <v>3</v>
      </c>
      <c r="R15" s="40">
        <v>0.28999999999999998</v>
      </c>
      <c r="S15" s="133">
        <v>1.18</v>
      </c>
      <c r="T15" s="39">
        <f>$T$10</f>
        <v>107.85</v>
      </c>
      <c r="U15" s="39">
        <f t="shared" si="1"/>
        <v>36.906269999999992</v>
      </c>
      <c r="V15" s="39">
        <f t="shared" si="2"/>
        <v>676.93449999999984</v>
      </c>
      <c r="W15" s="39">
        <f>W14+O15</f>
        <v>1780.3845927499999</v>
      </c>
      <c r="X15" s="133">
        <f>AVERAGE('Milling and Leach Feed_OLD'!T28:T31)</f>
        <v>0.57608333333333328</v>
      </c>
      <c r="Y15" s="133">
        <f>AVERAGE('Milling and Leach Feed_OLD'!U28:U31)</f>
        <v>0.66833333333333333</v>
      </c>
      <c r="Z15" s="133">
        <f>AVERAGE('Milling and Leach Feed_OLD'!V28:V31)</f>
        <v>7.58</v>
      </c>
      <c r="AA15" s="133">
        <f>SUM('Milling and Leach Feed_OLD'!W28:W31)/'Au Cal Leaching Tank'!$O$15</f>
        <v>0.54176542927289517</v>
      </c>
      <c r="AB15" s="133">
        <f>SUM('Milling and Leach Feed_OLD'!X28:X31)/'Au Cal Leaching Tank'!$O$15</f>
        <v>0.65241771617708166</v>
      </c>
      <c r="AC15" s="133">
        <f>SUM('Milling and Leach Feed_OLD'!Y28:Y31)/'Au Cal Leaching Tank'!$O$15</f>
        <v>7.4477693202706341</v>
      </c>
      <c r="AD15" s="133">
        <f>X15-AA15</f>
        <v>3.4317904060438109E-2</v>
      </c>
      <c r="AE15" s="38">
        <f t="shared" ref="AE15:AE21" si="33">((X15-AA15)/(X15+AA15)/2)</f>
        <v>1.5349976315412749E-2</v>
      </c>
      <c r="AF15" s="133">
        <f>'LT Floculation'!G11</f>
        <v>4.3500000000000004E-2</v>
      </c>
      <c r="AG15" s="133">
        <f>'LT Floculation'!H11</f>
        <v>0.23799999999999999</v>
      </c>
      <c r="AH15" s="133">
        <f>'LT Floculation'!I11</f>
        <v>7.3999999999999995</v>
      </c>
      <c r="AI15" s="13">
        <v>1.7999999999999999E-2</v>
      </c>
      <c r="AJ15" s="6"/>
      <c r="AK15" s="6"/>
      <c r="AL15" s="39">
        <f t="shared" ref="AL15" si="34">$O15*X15</f>
        <v>159.59634800937499</v>
      </c>
      <c r="AM15" s="39">
        <f t="shared" ref="AM15" si="35">$O15*Y15</f>
        <v>185.15300318750002</v>
      </c>
      <c r="AN15" s="39">
        <f t="shared" ref="AN15" si="36">$O15*Z15</f>
        <v>2099.9397967500004</v>
      </c>
      <c r="AO15" s="39">
        <f>AF15*$O15</f>
        <v>12.051105693750003</v>
      </c>
      <c r="AP15" s="39">
        <f t="shared" ref="AP15" si="37">AG15*$O15</f>
        <v>65.934785175000002</v>
      </c>
      <c r="AQ15" s="39">
        <f t="shared" ref="AQ15" si="38">AH15*$O15</f>
        <v>2050.0731525000001</v>
      </c>
      <c r="AR15" s="39">
        <f t="shared" si="17"/>
        <v>12.184820999999996</v>
      </c>
      <c r="AS15" s="39">
        <v>6</v>
      </c>
      <c r="AT15" s="38">
        <f t="shared" si="26"/>
        <v>0.84814234789178045</v>
      </c>
      <c r="AU15" s="38">
        <f t="shared" si="27"/>
        <v>0.64389027431421453</v>
      </c>
      <c r="AV15" s="38">
        <f t="shared" si="28"/>
        <v>2.3746701846965819E-2</v>
      </c>
      <c r="AW15" s="231">
        <v>3</v>
      </c>
      <c r="AX15" s="231"/>
      <c r="AY15" s="1158">
        <v>1.5</v>
      </c>
      <c r="AZ15" s="39">
        <f>(BD11+BD13+BD15)/$AY$15</f>
        <v>371.06073718541666</v>
      </c>
      <c r="BA15" s="39">
        <f t="shared" ref="BA15:BB15" si="39">(BE11+BE13+BE15)/$AY$15</f>
        <v>292.25739206388891</v>
      </c>
      <c r="BB15" s="39">
        <f t="shared" si="39"/>
        <v>1015.5525292685193</v>
      </c>
      <c r="BC15" s="39">
        <v>6</v>
      </c>
      <c r="BD15" s="39">
        <f t="shared" si="10"/>
        <v>135.36042131562499</v>
      </c>
      <c r="BE15" s="39">
        <f t="shared" ref="BE15" si="40">(AM15-AP15)</f>
        <v>119.21821801250002</v>
      </c>
      <c r="BF15" s="39">
        <f t="shared" ref="BF15" si="41">(AN15-AQ15)</f>
        <v>49.866644250000263</v>
      </c>
      <c r="BG15" s="233">
        <v>595</v>
      </c>
      <c r="BH15" s="233">
        <v>594</v>
      </c>
      <c r="BI15" s="233">
        <v>349</v>
      </c>
      <c r="BJ15" s="1178">
        <f>BG15*$AY$15</f>
        <v>892.5</v>
      </c>
      <c r="BK15" s="1178">
        <f t="shared" ref="BK15:BL15" si="42">BH15*$AY$15</f>
        <v>891</v>
      </c>
      <c r="BL15" s="1178">
        <f t="shared" si="42"/>
        <v>523.5</v>
      </c>
      <c r="BM15" s="117">
        <f>(BJ15+AR15+AO15)/O15</f>
        <v>3.3090750197187164</v>
      </c>
      <c r="BN15" s="10">
        <f t="shared" ref="BN15" si="43">BM15*O15</f>
        <v>916.73592669374989</v>
      </c>
      <c r="BO15" s="2">
        <f t="shared" si="13"/>
        <v>0.9735628047423015</v>
      </c>
      <c r="BP15" s="244">
        <f t="shared" si="14"/>
        <v>2.7329916863853834</v>
      </c>
    </row>
    <row r="16" spans="1:68" s="620" customFormat="1" x14ac:dyDescent="0.3">
      <c r="A16" s="822">
        <f>J16/T16</f>
        <v>6.9995363931386185</v>
      </c>
      <c r="B16" s="487">
        <v>7</v>
      </c>
      <c r="C16" s="471">
        <f>SUM('Milling and Leach Feed'!P35:P37)-4.5</f>
        <v>29.5</v>
      </c>
      <c r="D16" s="471">
        <f t="shared" ref="D16:D21" si="44">O16/C16</f>
        <v>8.3416093220338983</v>
      </c>
      <c r="E16" s="487">
        <v>2</v>
      </c>
      <c r="F16" s="638">
        <v>46281</v>
      </c>
      <c r="G16" s="817">
        <v>0.10416666666666667</v>
      </c>
      <c r="H16" s="638">
        <v>46282</v>
      </c>
      <c r="I16" s="817">
        <v>0.70833333333333337</v>
      </c>
      <c r="J16" s="471">
        <v>754.9</v>
      </c>
      <c r="K16" s="1094">
        <f t="shared" si="7"/>
        <v>1.9870181480990861</v>
      </c>
      <c r="L16" s="1094"/>
      <c r="M16" s="486">
        <v>0.33</v>
      </c>
      <c r="N16" s="471">
        <f t="shared" si="0"/>
        <v>302.67715500000003</v>
      </c>
      <c r="O16" s="471">
        <f t="shared" si="15"/>
        <v>246.07747500000002</v>
      </c>
      <c r="P16" s="487">
        <v>1.2150000000000001</v>
      </c>
      <c r="Q16" s="487">
        <v>2</v>
      </c>
      <c r="R16" s="486">
        <v>0.33</v>
      </c>
      <c r="S16" s="818">
        <v>1.21</v>
      </c>
      <c r="T16" s="471">
        <f>$T$10</f>
        <v>107.85</v>
      </c>
      <c r="U16" s="471">
        <f>T16*S16*R16</f>
        <v>43.064504999999997</v>
      </c>
      <c r="V16" s="471">
        <f t="shared" ref="V16:V63" si="45">IFERROR(N16*((1-M16)/M16),"")</f>
        <v>614.52634499999988</v>
      </c>
      <c r="W16" s="471">
        <f>W15+O16</f>
        <v>2026.46206775</v>
      </c>
      <c r="X16" s="818">
        <f>AVERAGE('LT Ball Mill'!F67:F75)</f>
        <v>0.53555555555555556</v>
      </c>
      <c r="Y16" s="818">
        <f>AVERAGE('LT Ball Mill'!G67:G75)</f>
        <v>0.53555555555555556</v>
      </c>
      <c r="Z16" s="818">
        <f>AVERAGE('LT Ball Mill'!H67:H75)</f>
        <v>9.8144444444444439</v>
      </c>
      <c r="AA16" s="818">
        <f>SUM('Milling and Leach Feed'!W35:W37)/'Au Cal Leaching Tank'!$O$16</f>
        <v>0.53551430920996723</v>
      </c>
      <c r="AB16" s="818">
        <f>SUM('Milling and Leach Feed'!X35:X37)/'Au Cal Leaching Tank'!$O$16</f>
        <v>0.53535747175133896</v>
      </c>
      <c r="AC16" s="818">
        <f>SUM('Milling and Leach Feed'!Y35:Y37)/'Au Cal Leaching Tank'!$O$16</f>
        <v>9.8379070566382776</v>
      </c>
      <c r="AD16" s="818">
        <f>X16-AA16</f>
        <v>4.1246345588330513E-5</v>
      </c>
      <c r="AE16" s="820">
        <f t="shared" si="33"/>
        <v>1.9254740958172747E-5</v>
      </c>
      <c r="AF16" s="818">
        <f>'LT Floculation'!G12</f>
        <v>0.10016666666666667</v>
      </c>
      <c r="AG16" s="818">
        <f>AVERAGE('LT Floculation'!S43:S45)</f>
        <v>0.1466666666666667</v>
      </c>
      <c r="AH16" s="818">
        <f>'LT Floculation'!I12</f>
        <v>8.1666666666666661</v>
      </c>
      <c r="AI16" s="487">
        <v>2.1999999999999999E-2</v>
      </c>
      <c r="AJ16" s="618"/>
      <c r="AK16" s="618"/>
      <c r="AL16" s="673">
        <f>$O16*X16</f>
        <v>131.78815883333334</v>
      </c>
      <c r="AM16" s="673">
        <f t="shared" ref="AM16:AM18" si="46">$O16*Y16</f>
        <v>131.78815883333334</v>
      </c>
      <c r="AN16" s="673">
        <f t="shared" ref="AN16:AN17" si="47">$O16*Z16</f>
        <v>2415.1137074166668</v>
      </c>
      <c r="AO16" s="673">
        <f t="shared" ref="AO16:AO18" si="48">AF16*$O16</f>
        <v>24.648760412500003</v>
      </c>
      <c r="AP16" s="673">
        <f>AG16*$O16</f>
        <v>36.091363000000008</v>
      </c>
      <c r="AQ16" s="673">
        <f t="shared" ref="AQ16:AQ18" si="49">AH16*$O16</f>
        <v>2009.6327125</v>
      </c>
      <c r="AR16" s="673">
        <f t="shared" si="17"/>
        <v>13.519579589999996</v>
      </c>
      <c r="AS16" s="471">
        <v>7</v>
      </c>
      <c r="AT16" s="820">
        <f>IFERROR(((AL16-(AO16+AR16))/AL16),"")</f>
        <v>0.71038111207874288</v>
      </c>
      <c r="AU16" s="820">
        <f>IFERROR((AM16-AP16)/AM16,"")</f>
        <v>0.72614107883817425</v>
      </c>
      <c r="AV16" s="820">
        <f t="shared" si="28"/>
        <v>0.16789312804256767</v>
      </c>
      <c r="AW16" s="981">
        <v>2</v>
      </c>
      <c r="AX16" s="981"/>
      <c r="AY16" s="487">
        <v>1.5</v>
      </c>
      <c r="AZ16" s="673">
        <f>(BD12+BD14+BD16+BD10)/AY16</f>
        <v>432.88567431736118</v>
      </c>
      <c r="BA16" s="673">
        <f t="shared" ref="BA16" si="50">(BE12+BE14+BE16)/AY16</f>
        <v>177.62291254500005</v>
      </c>
      <c r="BB16" s="673">
        <f t="shared" ref="BB16" si="51">(BF12+BF14+BF16)/AY16</f>
        <v>564.36975051759293</v>
      </c>
      <c r="BC16" s="825">
        <v>7</v>
      </c>
      <c r="BD16" s="673">
        <f t="shared" ref="BD16" si="52">(AL16-AO16-AR16)</f>
        <v>93.619818830833353</v>
      </c>
      <c r="BE16" s="673">
        <f t="shared" ref="BE16:BE18" si="53">(AM16-AP16)</f>
        <v>95.69679583333334</v>
      </c>
      <c r="BF16" s="673">
        <f t="shared" ref="BF16:BF17" si="54">(AN16-AQ16)</f>
        <v>405.48099491666676</v>
      </c>
      <c r="BG16" s="618"/>
      <c r="BH16" s="618"/>
      <c r="BI16" s="618"/>
      <c r="BJ16" s="618"/>
      <c r="BK16" s="618"/>
      <c r="BL16" s="618"/>
      <c r="BN16" s="687"/>
    </row>
    <row r="17" spans="1:66" x14ac:dyDescent="0.3">
      <c r="A17" s="43">
        <f t="shared" si="21"/>
        <v>8.99397311080204</v>
      </c>
      <c r="B17" s="13">
        <v>8</v>
      </c>
      <c r="C17" s="39">
        <f>SUM('Milling and Leach Feed'!P38:P41)</f>
        <v>46.933333333333337</v>
      </c>
      <c r="D17" s="39">
        <f t="shared" si="44"/>
        <v>7.7865709517045447</v>
      </c>
      <c r="E17" s="13">
        <v>3</v>
      </c>
      <c r="F17" s="73">
        <v>46283</v>
      </c>
      <c r="G17" s="102">
        <v>0.29166666666666669</v>
      </c>
      <c r="H17" s="73">
        <v>46283</v>
      </c>
      <c r="I17" s="102">
        <v>0.79166666666666663</v>
      </c>
      <c r="J17" s="13">
        <v>970</v>
      </c>
      <c r="K17" s="1095">
        <f t="shared" si="7"/>
        <v>1.5463917525773196</v>
      </c>
      <c r="L17" s="1095"/>
      <c r="M17" s="40">
        <v>0.34</v>
      </c>
      <c r="N17" s="39">
        <f t="shared" si="0"/>
        <v>402.35599999999999</v>
      </c>
      <c r="O17" s="39">
        <f t="shared" si="15"/>
        <v>365.44972999999999</v>
      </c>
      <c r="P17" s="13">
        <v>1.22</v>
      </c>
      <c r="Q17" s="13">
        <v>3</v>
      </c>
      <c r="R17" s="40">
        <v>0.35</v>
      </c>
      <c r="S17" s="133">
        <v>1.2250000000000001</v>
      </c>
      <c r="T17" s="39">
        <f t="shared" ref="T17:T18" si="55">$T$10</f>
        <v>107.85</v>
      </c>
      <c r="U17" s="39">
        <f>T17*S17*R17</f>
        <v>46.2406875</v>
      </c>
      <c r="V17" s="39">
        <f t="shared" si="45"/>
        <v>781.04399999999976</v>
      </c>
      <c r="W17" s="39">
        <f>W16+O17</f>
        <v>2391.91179775</v>
      </c>
      <c r="X17" s="133">
        <f>AVERAGE('LT Ball Mill'!F76:F87)</f>
        <v>0.58483333333333321</v>
      </c>
      <c r="Y17" s="133">
        <f>AVERAGE('LT Ball Mill'!G76:G87)</f>
        <v>0.58833333333333337</v>
      </c>
      <c r="Z17" s="133">
        <f>AVERAGE('LT Ball Mill'!H76:H87)</f>
        <v>10.3775</v>
      </c>
      <c r="AA17" s="133">
        <f>SUM('Milling and Leach Feed'!W38:W41)/'Au Cal Leaching Tank'!$O$17</f>
        <v>0.57406611465424262</v>
      </c>
      <c r="AB17" s="133">
        <f>SUM('Milling and Leach Feed'!X38:X41)/'Au Cal Leaching Tank'!$O$17</f>
        <v>0.59418536844821301</v>
      </c>
      <c r="AC17" s="133">
        <f>SUM('Milling and Leach Feed'!Y38:Y41)/'Au Cal Leaching Tank'!$O$17</f>
        <v>10.664634728587295</v>
      </c>
      <c r="AD17" s="133">
        <f>X17-AA17</f>
        <v>1.0767218679090584E-2</v>
      </c>
      <c r="AE17" s="38">
        <f t="shared" si="33"/>
        <v>4.6454499127546465E-3</v>
      </c>
      <c r="AF17" s="133">
        <f>'LT Floculation'!G13</f>
        <v>5.8888888888888893E-2</v>
      </c>
      <c r="AG17" s="419">
        <f>'LT Floculation'!H13</f>
        <v>0.38777777777777778</v>
      </c>
      <c r="AH17" s="133">
        <f>'LT Floculation'!I13</f>
        <v>10.200000000000001</v>
      </c>
      <c r="AI17" s="6">
        <v>2.7E-2</v>
      </c>
      <c r="AJ17" s="6"/>
      <c r="AK17" s="6"/>
      <c r="AL17" s="39">
        <f t="shared" ref="AL17:AL18" si="56">$O17*X17</f>
        <v>213.72718376166662</v>
      </c>
      <c r="AM17" s="39">
        <f t="shared" si="46"/>
        <v>215.00625781666668</v>
      </c>
      <c r="AN17" s="39">
        <f t="shared" si="47"/>
        <v>3792.4545730749996</v>
      </c>
      <c r="AO17" s="39">
        <f t="shared" si="48"/>
        <v>21.520928544444445</v>
      </c>
      <c r="AP17" s="39">
        <f t="shared" ref="AP17:AP18" si="57">AG17*$O17</f>
        <v>141.71328418888888</v>
      </c>
      <c r="AQ17" s="39">
        <f t="shared" si="49"/>
        <v>3727.5872460000001</v>
      </c>
      <c r="AR17" s="39">
        <f>AI17*V17</f>
        <v>21.088187999999992</v>
      </c>
      <c r="AS17" s="39">
        <v>8</v>
      </c>
      <c r="AT17" s="38">
        <f>IFERROR(((AL17-(AO17+AR17))/AL17),"")</f>
        <v>0.80063782344149959</v>
      </c>
      <c r="AU17" s="38">
        <f t="shared" si="27"/>
        <v>0.3408876298394713</v>
      </c>
      <c r="AV17" s="38">
        <f t="shared" si="28"/>
        <v>1.710431221392425E-2</v>
      </c>
      <c r="AW17" s="982">
        <v>3</v>
      </c>
      <c r="AX17" s="982"/>
      <c r="AY17" s="13">
        <v>1.5</v>
      </c>
      <c r="AZ17" s="39">
        <f>(BD13+BD15+BD17+BD11)/$AY$17</f>
        <v>485.13944866356474</v>
      </c>
      <c r="BA17" s="39">
        <f t="shared" ref="BA17:BB17" si="58">(BE13+BE15+BE17+BE11)/$AY$17</f>
        <v>341.11937448240747</v>
      </c>
      <c r="BB17" s="39">
        <f t="shared" si="58"/>
        <v>1058.7974139851856</v>
      </c>
      <c r="BC17" s="938">
        <v>8</v>
      </c>
      <c r="BD17" s="39">
        <f>(AL17-AO17-AR17)</f>
        <v>171.11806721722218</v>
      </c>
      <c r="BE17" s="39">
        <f t="shared" si="53"/>
        <v>73.292973627777798</v>
      </c>
      <c r="BF17" s="39">
        <f t="shared" si="54"/>
        <v>64.867327074999594</v>
      </c>
      <c r="BG17" s="6"/>
      <c r="BH17" s="6"/>
      <c r="BI17" s="6"/>
      <c r="BJ17" s="6"/>
      <c r="BK17" s="6"/>
      <c r="BL17" s="6"/>
      <c r="BN17" s="12"/>
    </row>
    <row r="18" spans="1:66" s="620" customFormat="1" x14ac:dyDescent="0.3">
      <c r="A18" s="822">
        <f t="shared" si="21"/>
        <v>9.4204914232730648</v>
      </c>
      <c r="B18" s="487">
        <v>9</v>
      </c>
      <c r="C18" s="471">
        <f>SUM('Milling and Leach Feed'!P42:P45)</f>
        <v>39.083333333333336</v>
      </c>
      <c r="D18" s="471">
        <f t="shared" si="44"/>
        <v>12.103970021321961</v>
      </c>
      <c r="E18" s="487">
        <v>2</v>
      </c>
      <c r="F18" s="638">
        <v>46285</v>
      </c>
      <c r="G18" s="817">
        <v>0.1388888888888889</v>
      </c>
      <c r="H18" s="897">
        <v>46286</v>
      </c>
      <c r="I18" s="817">
        <v>0.33333333333333331</v>
      </c>
      <c r="J18" s="487">
        <v>1016</v>
      </c>
      <c r="K18" s="1094">
        <f t="shared" si="7"/>
        <v>1.4763779527559056</v>
      </c>
      <c r="L18" s="1094"/>
      <c r="M18" s="486">
        <v>0.4</v>
      </c>
      <c r="N18" s="471">
        <f t="shared" si="0"/>
        <v>516.12800000000004</v>
      </c>
      <c r="O18" s="471">
        <f>N18-U16</f>
        <v>473.06349500000005</v>
      </c>
      <c r="P18" s="487">
        <v>1.27</v>
      </c>
      <c r="Q18" s="487">
        <v>2</v>
      </c>
      <c r="R18" s="486">
        <v>0.31</v>
      </c>
      <c r="S18" s="818">
        <v>1.2</v>
      </c>
      <c r="T18" s="471">
        <f t="shared" si="55"/>
        <v>107.85</v>
      </c>
      <c r="U18" s="471">
        <f>T18*S18*R18</f>
        <v>40.120199999999997</v>
      </c>
      <c r="V18" s="673">
        <f t="shared" si="45"/>
        <v>774.19199999999989</v>
      </c>
      <c r="W18" s="471">
        <f>W17+O18</f>
        <v>2864.9752927499999</v>
      </c>
      <c r="X18" s="818">
        <f>AVERAGE('Milling and Leach Feed'!T42:T45)</f>
        <v>0.60575000000000001</v>
      </c>
      <c r="Y18" s="818">
        <f>AVERAGE('Milling and Leach Feed'!U42:U45)</f>
        <v>0.86333333333333329</v>
      </c>
      <c r="Z18" s="818">
        <f>AVERAGE('Milling and Leach Feed'!V42:V45)</f>
        <v>14.675833333333332</v>
      </c>
      <c r="AA18" s="818">
        <f>SUM('Milling and Leach Feed'!W42:W45)/$O$18</f>
        <v>0.61348902249025417</v>
      </c>
      <c r="AB18" s="818">
        <f>SUM('Milling and Leach Feed'!X42:X45)/$O$18</f>
        <v>0.87456041508519555</v>
      </c>
      <c r="AC18" s="818">
        <f>SUM('Milling and Leach Feed'!Y42:Y45)/$O$18</f>
        <v>14.881153822712584</v>
      </c>
      <c r="AD18" s="818">
        <f>AA18-X18</f>
        <v>7.7390224902541549E-3</v>
      </c>
      <c r="AE18" s="1026">
        <f t="shared" si="33"/>
        <v>-3.1737101370195096E-3</v>
      </c>
      <c r="AF18" s="818">
        <f>'LT Floculation'!G14</f>
        <v>0.1028</v>
      </c>
      <c r="AG18" s="818">
        <f>'LT Floculation'!H14</f>
        <v>0.40700000000000003</v>
      </c>
      <c r="AH18" s="818">
        <f>'LT Floculation'!I14</f>
        <v>14.752000000000001</v>
      </c>
      <c r="AI18" s="487">
        <v>1.7000000000000001E-2</v>
      </c>
      <c r="AJ18" s="618"/>
      <c r="AK18" s="618"/>
      <c r="AL18" s="673">
        <f t="shared" si="56"/>
        <v>286.55821209625003</v>
      </c>
      <c r="AM18" s="673">
        <f t="shared" si="46"/>
        <v>408.41148401666669</v>
      </c>
      <c r="AN18" s="673">
        <f>$O18*AC18</f>
        <v>7039.7306370050255</v>
      </c>
      <c r="AO18" s="673">
        <f t="shared" si="48"/>
        <v>48.630927286000009</v>
      </c>
      <c r="AP18" s="673">
        <f t="shared" si="57"/>
        <v>192.53684246500003</v>
      </c>
      <c r="AQ18" s="673">
        <f t="shared" si="49"/>
        <v>6978.632678240001</v>
      </c>
      <c r="AR18" s="673">
        <f>IFERROR(AI18*V18,"")</f>
        <v>13.161263999999999</v>
      </c>
      <c r="AS18" s="471">
        <v>9</v>
      </c>
      <c r="AT18" s="820">
        <f>IFERROR(((AL18-(AO18+AR18))/AL18),"")</f>
        <v>0.78436426290500083</v>
      </c>
      <c r="AU18" s="820">
        <f t="shared" si="27"/>
        <v>0.52857142857142847</v>
      </c>
      <c r="AV18" s="820">
        <f t="shared" si="28"/>
        <v>8.6790193993868392E-3</v>
      </c>
      <c r="AW18" s="981">
        <v>2</v>
      </c>
      <c r="AX18" s="981"/>
      <c r="AY18" s="487">
        <v>1.5</v>
      </c>
      <c r="AZ18" s="471">
        <f>(BD10+BD12+BD14+BD16+BD18)/$AY$18</f>
        <v>582.72968819086111</v>
      </c>
      <c r="BA18" s="471">
        <f>(BE10+BE12+BE14+BE16+BE18)/$AY$18</f>
        <v>398.79510386632887</v>
      </c>
      <c r="BB18" s="471">
        <f>(BF10+BF12+BF14+BF16+BF18)/$AY$18</f>
        <v>777.8356407440674</v>
      </c>
      <c r="BC18" s="983">
        <v>9</v>
      </c>
      <c r="BD18" s="673">
        <f>IFERROR((AL18-AO18-AR18),"")</f>
        <v>224.76602081025004</v>
      </c>
      <c r="BE18" s="673">
        <f t="shared" si="53"/>
        <v>215.87464155166666</v>
      </c>
      <c r="BF18" s="673">
        <f>(AN18-AQ18)</f>
        <v>61.097958765024487</v>
      </c>
      <c r="BG18" s="618"/>
      <c r="BH18" s="618"/>
      <c r="BI18" s="618"/>
      <c r="BJ18" s="618"/>
      <c r="BK18" s="618"/>
      <c r="BL18" s="618"/>
    </row>
    <row r="19" spans="1:66" x14ac:dyDescent="0.3">
      <c r="A19" s="43">
        <f t="shared" si="21"/>
        <v>9.0740740740740744</v>
      </c>
      <c r="B19" s="13">
        <v>10</v>
      </c>
      <c r="C19" s="39">
        <f>SUM('Milling and Leach Feed'!P48:P54)-6.5</f>
        <v>60.166666666666657</v>
      </c>
      <c r="D19" s="39">
        <f t="shared" si="44"/>
        <v>6.4731409279778411</v>
      </c>
      <c r="E19" s="13">
        <v>3</v>
      </c>
      <c r="F19" s="73">
        <v>46289</v>
      </c>
      <c r="G19" s="102">
        <v>0.5625</v>
      </c>
      <c r="H19" s="62">
        <v>46290</v>
      </c>
      <c r="I19" s="102">
        <v>0.57638888888888884</v>
      </c>
      <c r="J19" s="13">
        <v>980</v>
      </c>
      <c r="K19" s="1095">
        <f t="shared" si="7"/>
        <v>1.5306122448979591</v>
      </c>
      <c r="L19" s="1095"/>
      <c r="M19" s="40">
        <v>0.36</v>
      </c>
      <c r="N19" s="39">
        <f t="shared" si="0"/>
        <v>435.70800000000003</v>
      </c>
      <c r="O19" s="39">
        <f>N19-U17</f>
        <v>389.46731250000005</v>
      </c>
      <c r="P19" s="13">
        <v>1.2350000000000001</v>
      </c>
      <c r="Q19" s="13">
        <v>3</v>
      </c>
      <c r="R19" s="40">
        <v>0.35</v>
      </c>
      <c r="S19" s="133">
        <v>1.23</v>
      </c>
      <c r="T19" s="13">
        <v>108</v>
      </c>
      <c r="U19" s="39">
        <f>T19*S19*R19</f>
        <v>46.494</v>
      </c>
      <c r="V19" s="39">
        <f>IFERROR(N19*((1-M19)/M19),"")</f>
        <v>774.5920000000001</v>
      </c>
      <c r="W19" s="39">
        <f>O19+W18</f>
        <v>3254.4426052499998</v>
      </c>
      <c r="X19" s="133">
        <f>AVERAGE('Milling and Leach Feed'!T48:T54)</f>
        <v>0.82590476190476192</v>
      </c>
      <c r="Y19" s="133">
        <f>AVERAGE('Milling and Leach Feed'!U48:U54)</f>
        <v>1.1390476190476191</v>
      </c>
      <c r="Z19" s="133">
        <f>AVERAGE('Milling and Leach Feed'!V48:V54)</f>
        <v>17.893333333333334</v>
      </c>
      <c r="AA19" s="133">
        <f>SUM('Milling and Leach Feed'!W48:W54)/$O$19</f>
        <v>0.78526205749609435</v>
      </c>
      <c r="AB19" s="133">
        <f>SUM('Milling and Leach Feed'!X48:X54)/$O$19</f>
        <v>1.0960416800909485</v>
      </c>
      <c r="AC19" s="133">
        <f>SUM('Milling and Leach Feed'!Y48:Y54)/$O$19</f>
        <v>17.877615524331528</v>
      </c>
      <c r="AD19" s="133">
        <f>X19-AA19</f>
        <v>4.0642704408667574E-2</v>
      </c>
      <c r="AE19" s="38">
        <f t="shared" si="33"/>
        <v>1.2612816971920186E-2</v>
      </c>
      <c r="AF19" s="133">
        <f>'LT Floculation'!G15</f>
        <v>0.13188888888888889</v>
      </c>
      <c r="AG19" s="133">
        <f>'LT Floculation'!H15</f>
        <v>0.46888888888888886</v>
      </c>
      <c r="AH19" s="133">
        <f>'LT Floculation'!I15</f>
        <v>17.484444444444446</v>
      </c>
      <c r="AI19" s="13">
        <v>2.1000000000000001E-2</v>
      </c>
      <c r="AJ19" s="6"/>
      <c r="AK19" s="6"/>
      <c r="AL19" s="39">
        <f t="shared" ref="AL19:AL20" si="59">$O19*X19</f>
        <v>321.66290800000007</v>
      </c>
      <c r="AM19" s="39">
        <f t="shared" ref="AM19" si="60">$O19*Y19</f>
        <v>443.62181500000008</v>
      </c>
      <c r="AN19" s="39">
        <f>$O19*AC19</f>
        <v>6962.7468721696796</v>
      </c>
      <c r="AO19" s="39">
        <f t="shared" ref="AO19:AO20" si="61">AF19*$O19</f>
        <v>51.366411104166673</v>
      </c>
      <c r="AP19" s="39">
        <f t="shared" ref="AP19:AP20" si="62">AG19*$O19</f>
        <v>182.61689541666667</v>
      </c>
      <c r="AQ19" s="39">
        <f t="shared" ref="AQ19:AQ20" si="63">AH19*$O19</f>
        <v>6809.6195883333348</v>
      </c>
      <c r="AR19" s="39">
        <f>IFERROR(AI19*V19,"")</f>
        <v>16.266432000000002</v>
      </c>
      <c r="AS19" s="39">
        <v>10</v>
      </c>
      <c r="AT19" s="38">
        <f>IFERROR(((AL19-(AO19+AR19))/AL19),"")</f>
        <v>0.78973999978832909</v>
      </c>
      <c r="AU19" s="38">
        <f t="shared" si="27"/>
        <v>0.58835005574136012</v>
      </c>
      <c r="AV19" s="38">
        <f t="shared" si="28"/>
        <v>2.1992366898816812E-2</v>
      </c>
      <c r="AW19" s="982">
        <v>3</v>
      </c>
      <c r="AX19" s="982"/>
      <c r="AY19" s="13">
        <v>1.5</v>
      </c>
      <c r="AZ19" s="39">
        <f>(BD11+BD13+BD15+BD17+BD19)/$AY$19</f>
        <v>654.49282526078707</v>
      </c>
      <c r="BA19" s="39">
        <f t="shared" ref="BA19" si="64">(BE11+BE13+BE15+BE17+BE19)/$AY$19</f>
        <v>515.12265420462973</v>
      </c>
      <c r="BB19" s="39">
        <f>(BF11+BF13+BF15+BF17+BF19)/$AY$19</f>
        <v>1160.8822698760821</v>
      </c>
      <c r="BC19" s="938">
        <v>10</v>
      </c>
      <c r="BD19" s="39">
        <f>IFERROR((AL19-AO19-AR19),"")</f>
        <v>254.03006489583339</v>
      </c>
      <c r="BE19" s="39">
        <f t="shared" ref="BE19" si="65">(AM19-AP19)</f>
        <v>261.00491958333339</v>
      </c>
      <c r="BF19" s="39">
        <f>(AN19-AQ19)</f>
        <v>153.12728383634476</v>
      </c>
      <c r="BG19" s="6"/>
      <c r="BH19" s="6"/>
      <c r="BI19" s="6"/>
      <c r="BJ19" s="6"/>
      <c r="BK19" s="6"/>
      <c r="BL19" s="6"/>
    </row>
    <row r="20" spans="1:66" s="954" customFormat="1" x14ac:dyDescent="0.3">
      <c r="A20" s="822">
        <f>J20/T20</f>
        <v>8.4907407407407405</v>
      </c>
      <c r="B20" s="451">
        <v>11</v>
      </c>
      <c r="C20" s="673">
        <f>SUM('Milling and Leach Feed'!P56:P58)+5.5</f>
        <v>26.816666666666666</v>
      </c>
      <c r="D20" s="673">
        <f t="shared" si="44"/>
        <v>13.224921068986946</v>
      </c>
      <c r="E20" s="451">
        <v>2</v>
      </c>
      <c r="F20" s="1140">
        <v>46291</v>
      </c>
      <c r="G20" s="1141">
        <v>0.52083333333333337</v>
      </c>
      <c r="H20" s="955">
        <v>46292</v>
      </c>
      <c r="I20" s="1141">
        <v>0.625</v>
      </c>
      <c r="J20" s="451">
        <v>917</v>
      </c>
      <c r="K20" s="1142">
        <f t="shared" si="7"/>
        <v>1.6357688113413305</v>
      </c>
      <c r="L20" s="1142"/>
      <c r="M20" s="1143">
        <v>0.35</v>
      </c>
      <c r="N20" s="673">
        <f t="shared" si="0"/>
        <v>394.76849999999996</v>
      </c>
      <c r="O20" s="673">
        <f>N20-U18</f>
        <v>354.64829999999995</v>
      </c>
      <c r="P20" s="451">
        <v>1.23</v>
      </c>
      <c r="Q20" s="451">
        <v>2</v>
      </c>
      <c r="R20" s="451"/>
      <c r="S20" s="451"/>
      <c r="T20" s="451">
        <v>108</v>
      </c>
      <c r="U20" s="452"/>
      <c r="V20" s="673">
        <f t="shared" si="45"/>
        <v>733.14150000000006</v>
      </c>
      <c r="W20" s="673">
        <f>W19+O20</f>
        <v>3609.0909052499997</v>
      </c>
      <c r="X20" s="1147">
        <f>AVERAGE('Milling and Leach Feed'!T55:T59)</f>
        <v>0.7294666666666666</v>
      </c>
      <c r="Y20" s="1147">
        <f>AVERAGE('Milling and Leach Feed'!U55:U59)</f>
        <v>1.3033333333333335</v>
      </c>
      <c r="Z20" s="1147">
        <f>AVERAGE('Milling and Leach Feed'!V55:V59)</f>
        <v>18.880000000000003</v>
      </c>
      <c r="AA20" s="1147">
        <f>SUM('Milling and Leach Feed'!W55:W59)/'Au Cal Leaching Tank'!$O$20</f>
        <v>0.68413819284746402</v>
      </c>
      <c r="AB20" s="1147">
        <f>SUM('Milling and Leach Feed'!X55:X58)/'Au Cal Leaching Tank'!$O$20</f>
        <v>1.4868757002764379</v>
      </c>
      <c r="AC20" s="1147">
        <f>SUM('Milling and Leach Feed'!Y55:Y58)/'Au Cal Leaching Tank'!$O$20</f>
        <v>17.856298210974828</v>
      </c>
      <c r="AD20" s="1147">
        <f>X20-AA20</f>
        <v>4.5328473819202575E-2</v>
      </c>
      <c r="AE20" s="1026">
        <f t="shared" si="33"/>
        <v>1.6032936472354233E-2</v>
      </c>
      <c r="AF20" s="1147">
        <f>'LT Floculation'!G16</f>
        <v>0.13305555555555554</v>
      </c>
      <c r="AG20" s="1147">
        <f>'LT Floculation'!H16</f>
        <v>0.65888888888888886</v>
      </c>
      <c r="AH20" s="1147">
        <f>'LT Floculation'!I16</f>
        <v>15.253333333333334</v>
      </c>
      <c r="AI20" s="451">
        <v>3.6999999999999998E-2</v>
      </c>
      <c r="AJ20" s="452"/>
      <c r="AK20" s="452"/>
      <c r="AL20" s="673">
        <f t="shared" si="59"/>
        <v>258.70411323999991</v>
      </c>
      <c r="AM20" s="673">
        <f t="shared" ref="AM20" si="66">$O20*Y20</f>
        <v>462.22495099999998</v>
      </c>
      <c r="AN20" s="673">
        <f>$O20*AC20</f>
        <v>6332.705804815263</v>
      </c>
      <c r="AO20" s="673">
        <f t="shared" si="61"/>
        <v>47.187926583333322</v>
      </c>
      <c r="AP20" s="673">
        <f t="shared" si="62"/>
        <v>233.6738243333333</v>
      </c>
      <c r="AQ20" s="673">
        <f t="shared" si="63"/>
        <v>5409.5687359999993</v>
      </c>
      <c r="AR20" s="673">
        <f>IFERROR(AI20*V20,"")</f>
        <v>27.1262355</v>
      </c>
      <c r="AS20" s="673">
        <v>11</v>
      </c>
      <c r="AT20" s="1026">
        <f t="shared" si="26"/>
        <v>0.71274456693932797</v>
      </c>
      <c r="AU20" s="1026">
        <f>IFERROR((AM20-AP20)/AM20,"")</f>
        <v>0.494458653026428</v>
      </c>
      <c r="AV20" s="1026">
        <f t="shared" ref="AV20" si="67">IFERROR((AN20-AQ20)/AN20,"")</f>
        <v>0.14577292823445687</v>
      </c>
      <c r="AW20" s="1027">
        <v>2</v>
      </c>
      <c r="AX20" s="1027"/>
      <c r="AY20" s="451">
        <v>1.5</v>
      </c>
      <c r="AZ20" s="673">
        <f>(BD10+BD12+BD14++BD16+BD18+BD20)/$AY$20</f>
        <v>705.65632229530547</v>
      </c>
      <c r="BA20" s="673">
        <f t="shared" ref="BA20:BB20" si="68">(BE10+BE12+BE14++BE16+BE18+BE20)/$AY$20</f>
        <v>551.16252164410662</v>
      </c>
      <c r="BB20" s="673">
        <f t="shared" si="68"/>
        <v>1393.2603532875764</v>
      </c>
      <c r="BC20" s="1126">
        <v>11</v>
      </c>
      <c r="BD20" s="673">
        <f>IFERROR((AL20-AO20-AR20),"")</f>
        <v>184.3899511566666</v>
      </c>
      <c r="BE20" s="673">
        <f t="shared" ref="BE20:BE59" si="69">(AM20-AP20)</f>
        <v>228.55112666666668</v>
      </c>
      <c r="BF20" s="673">
        <f>(AN20-AQ20)</f>
        <v>923.13706881526377</v>
      </c>
      <c r="BG20" s="452"/>
      <c r="BH20" s="452"/>
      <c r="BI20" s="673"/>
      <c r="BJ20" s="673"/>
      <c r="BK20" s="673"/>
      <c r="BL20" s="452"/>
    </row>
    <row r="21" spans="1:66" x14ac:dyDescent="0.3">
      <c r="A21" s="43">
        <f>J21/T21</f>
        <v>8.9907407407407405</v>
      </c>
      <c r="B21" s="13">
        <v>12</v>
      </c>
      <c r="C21" s="39">
        <f>SUM('Milling and Leach Feed'!P61:P65)</f>
        <v>54.666666666666664</v>
      </c>
      <c r="D21" s="39">
        <f t="shared" si="44"/>
        <v>7.046571951219514</v>
      </c>
      <c r="E21" s="13">
        <v>3</v>
      </c>
      <c r="F21" s="73">
        <v>46294</v>
      </c>
      <c r="G21" s="102">
        <v>0.77083333333333337</v>
      </c>
      <c r="H21" s="13" t="s">
        <v>768</v>
      </c>
      <c r="I21" s="102">
        <v>0.58333333333333337</v>
      </c>
      <c r="J21" s="13">
        <v>971</v>
      </c>
      <c r="K21" s="13">
        <v>1.2</v>
      </c>
      <c r="L21" s="419">
        <f>(K21*J21)/1000</f>
        <v>1.1652</v>
      </c>
      <c r="M21" s="40">
        <v>0.36</v>
      </c>
      <c r="N21" s="39">
        <f t="shared" si="0"/>
        <v>431.70660000000004</v>
      </c>
      <c r="O21" s="39">
        <f>N21-U19</f>
        <v>385.21260000000007</v>
      </c>
      <c r="P21" s="13">
        <v>1.2350000000000001</v>
      </c>
      <c r="Q21" s="13">
        <v>3</v>
      </c>
      <c r="R21" s="13"/>
      <c r="S21" s="13"/>
      <c r="T21" s="13">
        <v>108</v>
      </c>
      <c r="U21" s="6"/>
      <c r="V21" s="39">
        <f t="shared" si="45"/>
        <v>767.47840000000008</v>
      </c>
      <c r="W21" s="39">
        <f>W20+O21</f>
        <v>3994.3035052499999</v>
      </c>
      <c r="X21" s="133">
        <f>AVERAGE('Milling and Leach Feed'!T61:T65)</f>
        <v>0.58996666666666664</v>
      </c>
      <c r="Y21" s="133">
        <f>AVERAGE('Milling and Leach Feed'!U61:U65)</f>
        <v>1.3809999999999998</v>
      </c>
      <c r="Z21" s="133">
        <f>AVERAGE('Milling and Leach Feed'!V61:V65)</f>
        <v>16.069666666666667</v>
      </c>
      <c r="AA21" s="133">
        <f>SUM('Milling and Leach Feed'!W61:W65)/'Au Cal Leaching Tank'!$O$21</f>
        <v>0.60451476230936008</v>
      </c>
      <c r="AB21" s="133">
        <f>SUM('Milling and Leach Feed'!X61:X65)/'Au Cal Leaching Tank'!$O$21</f>
        <v>1.4068564463190563</v>
      </c>
      <c r="AC21" s="133">
        <f>SUM('Milling and Leach Feed'!Y61:Y65)/'Au Cal Leaching Tank'!$O$21</f>
        <v>16.853972723402848</v>
      </c>
      <c r="AD21" s="133">
        <f>X21-AA21</f>
        <v>-1.4548095642693437E-2</v>
      </c>
      <c r="AE21" s="38">
        <f t="shared" si="33"/>
        <v>-6.0897119410072541E-3</v>
      </c>
      <c r="AF21" s="133">
        <v>0.128</v>
      </c>
      <c r="AG21" s="133">
        <v>0.94</v>
      </c>
      <c r="AH21" s="133">
        <v>20.77</v>
      </c>
      <c r="AI21" s="133">
        <v>0.04</v>
      </c>
      <c r="AJ21" s="6"/>
      <c r="AK21" s="6"/>
      <c r="AL21" s="39">
        <f t="shared" ref="AL21" si="70">$O21*X21</f>
        <v>227.26259358000001</v>
      </c>
      <c r="AM21" s="39">
        <f t="shared" ref="AM21" si="71">$O21*Y21</f>
        <v>531.97860060000005</v>
      </c>
      <c r="AN21" s="39">
        <f>$O21*AC21</f>
        <v>6492.3626531110931</v>
      </c>
      <c r="AO21" s="39">
        <f t="shared" ref="AO21" si="72">AF21*$O21</f>
        <v>49.307212800000009</v>
      </c>
      <c r="AP21" s="39">
        <f t="shared" ref="AP21" si="73">AG21*$O21</f>
        <v>362.09984400000002</v>
      </c>
      <c r="AQ21" s="39">
        <f t="shared" ref="AQ21" si="74">AH21*$O21</f>
        <v>8000.865702000001</v>
      </c>
      <c r="AR21" s="39">
        <f>IFERROR(AI21*V21,"")</f>
        <v>30.699136000000003</v>
      </c>
      <c r="AS21" s="39">
        <v>12</v>
      </c>
      <c r="AT21" s="38">
        <f>IFERROR(((AL21-(AO21+AR21))/AL21),"")</f>
        <v>0.64795636827124159</v>
      </c>
      <c r="AU21" s="38">
        <f t="shared" si="27"/>
        <v>0.31933381607530775</v>
      </c>
      <c r="AV21" s="38">
        <f t="shared" si="28"/>
        <v>-0.23235039838171148</v>
      </c>
      <c r="AW21" s="982">
        <v>3</v>
      </c>
      <c r="AX21" s="982"/>
      <c r="AY21" s="13">
        <v>1.5</v>
      </c>
      <c r="AZ21" s="39">
        <f>(BD11+BD13+BD15+BD17+BD19+BD21)/$AY$21</f>
        <v>752.6636551141205</v>
      </c>
      <c r="BA21" s="39">
        <f t="shared" ref="BA21:BB21" si="75">(BE11+BE13+BE15+BE17+BE19+BE21)/$AY$21</f>
        <v>628.37515860462975</v>
      </c>
      <c r="BB21" s="39">
        <f t="shared" si="75"/>
        <v>155.21357061681024</v>
      </c>
      <c r="BC21" s="938">
        <v>12</v>
      </c>
      <c r="BD21" s="39">
        <f>IFERROR((AL21-AO21-AR21),"")</f>
        <v>147.25624478</v>
      </c>
      <c r="BE21" s="39">
        <f t="shared" ref="BE21" si="76">(AM21-AP21)</f>
        <v>169.87875660000003</v>
      </c>
      <c r="BF21" s="39">
        <f>(AN21-AQ21)</f>
        <v>-1508.5030488889079</v>
      </c>
      <c r="BG21" s="6"/>
      <c r="BH21" s="6"/>
      <c r="BI21" s="6"/>
      <c r="BJ21" s="6"/>
      <c r="BK21" s="6"/>
      <c r="BL21" s="6"/>
    </row>
    <row r="22" spans="1:66" s="954" customFormat="1" x14ac:dyDescent="0.3">
      <c r="B22" s="451">
        <v>13</v>
      </c>
      <c r="C22" s="452"/>
      <c r="D22" s="452"/>
      <c r="E22" s="451">
        <v>2</v>
      </c>
      <c r="F22" s="451"/>
      <c r="G22" s="452"/>
      <c r="H22" s="452"/>
      <c r="I22" s="452"/>
      <c r="J22" s="451"/>
      <c r="K22" s="451"/>
      <c r="L22" s="451"/>
      <c r="M22" s="451"/>
      <c r="N22" s="452"/>
      <c r="O22" s="452"/>
      <c r="P22" s="451"/>
      <c r="Q22" s="451">
        <v>2</v>
      </c>
      <c r="R22" s="451"/>
      <c r="S22" s="451"/>
      <c r="T22" s="451">
        <v>108</v>
      </c>
      <c r="U22" s="452"/>
      <c r="V22" s="673" t="str">
        <f t="shared" si="45"/>
        <v/>
      </c>
      <c r="W22" s="452"/>
      <c r="X22" s="452"/>
      <c r="Y22" s="452"/>
      <c r="Z22" s="452"/>
      <c r="AA22" s="452"/>
      <c r="AB22" s="452"/>
      <c r="AC22" s="452"/>
      <c r="AD22" s="452"/>
      <c r="AE22" s="452"/>
      <c r="AF22" s="452"/>
      <c r="AG22" s="452"/>
      <c r="AH22" s="452"/>
      <c r="AI22" s="452"/>
      <c r="AJ22" s="452"/>
      <c r="AK22" s="452"/>
      <c r="AL22" s="452"/>
      <c r="AM22" s="452"/>
      <c r="AN22" s="452"/>
      <c r="AO22" s="452"/>
      <c r="AP22" s="452"/>
      <c r="AQ22" s="452"/>
      <c r="AR22" s="452"/>
      <c r="AS22" s="673">
        <v>13</v>
      </c>
      <c r="AT22" s="1026" t="str">
        <f t="shared" si="26"/>
        <v/>
      </c>
      <c r="AU22" s="1026" t="str">
        <f t="shared" si="27"/>
        <v/>
      </c>
      <c r="AV22" s="1026" t="str">
        <f t="shared" si="28"/>
        <v/>
      </c>
      <c r="AW22" s="1027">
        <v>2</v>
      </c>
      <c r="AX22" s="1027"/>
      <c r="AY22" s="451">
        <v>1.5</v>
      </c>
      <c r="AZ22" s="452"/>
      <c r="BA22" s="452"/>
      <c r="BB22" s="1028"/>
      <c r="BC22" s="1028"/>
      <c r="BD22" s="673">
        <f t="shared" ref="BD22:BD59" si="77">IFERROR((AL22-AO22-AR22),"")</f>
        <v>0</v>
      </c>
      <c r="BE22" s="673">
        <f t="shared" si="69"/>
        <v>0</v>
      </c>
      <c r="BF22" s="673">
        <f t="shared" ref="BF22:BF59" si="78">(AN22-AQ22)</f>
        <v>0</v>
      </c>
      <c r="BG22" s="452"/>
      <c r="BH22" s="452"/>
      <c r="BI22" s="1174"/>
      <c r="BJ22" s="452"/>
      <c r="BK22" s="452"/>
      <c r="BL22" s="452"/>
    </row>
    <row r="23" spans="1:66" x14ac:dyDescent="0.3">
      <c r="B23" s="13">
        <v>14</v>
      </c>
      <c r="C23" s="6"/>
      <c r="D23" s="6"/>
      <c r="E23" s="13">
        <v>3</v>
      </c>
      <c r="F23" s="13"/>
      <c r="G23" s="6"/>
      <c r="H23" s="6"/>
      <c r="I23" s="6"/>
      <c r="J23" s="13"/>
      <c r="K23" s="13"/>
      <c r="L23" s="13"/>
      <c r="M23" s="13"/>
      <c r="N23" s="6"/>
      <c r="O23" s="6"/>
      <c r="P23" s="13"/>
      <c r="Q23" s="13">
        <v>3</v>
      </c>
      <c r="R23" s="13"/>
      <c r="S23" s="13"/>
      <c r="T23" s="13">
        <v>108</v>
      </c>
      <c r="U23" s="6"/>
      <c r="V23" s="39" t="str">
        <f t="shared" si="45"/>
        <v/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39">
        <v>14</v>
      </c>
      <c r="AT23" s="38" t="str">
        <f t="shared" si="26"/>
        <v/>
      </c>
      <c r="AU23" s="38" t="str">
        <f t="shared" si="27"/>
        <v/>
      </c>
      <c r="AV23" s="38" t="str">
        <f t="shared" si="28"/>
        <v/>
      </c>
      <c r="AW23" s="982">
        <v>3</v>
      </c>
      <c r="AX23" s="982"/>
      <c r="AY23" s="13">
        <v>1.5</v>
      </c>
      <c r="AZ23" s="6"/>
      <c r="BA23" s="6"/>
      <c r="BB23" s="215"/>
      <c r="BC23" s="215"/>
      <c r="BD23" s="39">
        <f t="shared" si="77"/>
        <v>0</v>
      </c>
      <c r="BE23" s="39">
        <f t="shared" si="69"/>
        <v>0</v>
      </c>
      <c r="BF23" s="39">
        <f t="shared" si="78"/>
        <v>0</v>
      </c>
      <c r="BG23" s="6"/>
      <c r="BH23" s="6"/>
      <c r="BI23" s="6"/>
      <c r="BJ23" s="6"/>
      <c r="BK23" s="6"/>
      <c r="BL23" s="6"/>
    </row>
    <row r="24" spans="1:66" s="954" customFormat="1" x14ac:dyDescent="0.3">
      <c r="B24" s="451">
        <v>15</v>
      </c>
      <c r="C24" s="452"/>
      <c r="D24" s="452"/>
      <c r="E24" s="451">
        <v>2</v>
      </c>
      <c r="F24" s="451"/>
      <c r="G24" s="452"/>
      <c r="H24" s="452"/>
      <c r="I24" s="452"/>
      <c r="J24" s="451"/>
      <c r="K24" s="451"/>
      <c r="L24" s="451"/>
      <c r="M24" s="451"/>
      <c r="N24" s="452"/>
      <c r="O24" s="452"/>
      <c r="P24" s="451"/>
      <c r="Q24" s="451">
        <v>2</v>
      </c>
      <c r="R24" s="451"/>
      <c r="S24" s="451"/>
      <c r="T24" s="451">
        <v>108</v>
      </c>
      <c r="U24" s="452"/>
      <c r="V24" s="673" t="str">
        <f t="shared" si="45"/>
        <v/>
      </c>
      <c r="W24" s="452"/>
      <c r="X24" s="452"/>
      <c r="Y24" s="452"/>
      <c r="Z24" s="452"/>
      <c r="AA24" s="452"/>
      <c r="AB24" s="452"/>
      <c r="AC24" s="452"/>
      <c r="AD24" s="452"/>
      <c r="AE24" s="452"/>
      <c r="AF24" s="452"/>
      <c r="AG24" s="452"/>
      <c r="AH24" s="452"/>
      <c r="AI24" s="452"/>
      <c r="AJ24" s="452"/>
      <c r="AK24" s="452"/>
      <c r="AM24" s="452"/>
      <c r="AN24" s="452"/>
      <c r="AO24" s="452"/>
      <c r="AP24" s="452"/>
      <c r="AQ24" s="452"/>
      <c r="AR24" s="452"/>
      <c r="AS24" s="673">
        <v>15</v>
      </c>
      <c r="AT24" s="1026" t="str">
        <f t="shared" si="26"/>
        <v/>
      </c>
      <c r="AU24" s="1026" t="str">
        <f t="shared" si="27"/>
        <v/>
      </c>
      <c r="AV24" s="1026" t="str">
        <f t="shared" si="28"/>
        <v/>
      </c>
      <c r="AW24" s="1029"/>
      <c r="AX24" s="1029"/>
      <c r="AY24" s="451"/>
      <c r="AZ24" s="452"/>
      <c r="BA24" s="452"/>
      <c r="BB24" s="1028"/>
      <c r="BC24" s="1028"/>
      <c r="BD24" s="673">
        <f t="shared" si="77"/>
        <v>0</v>
      </c>
      <c r="BE24" s="673">
        <f t="shared" si="69"/>
        <v>0</v>
      </c>
      <c r="BF24" s="673">
        <f t="shared" si="78"/>
        <v>0</v>
      </c>
      <c r="BG24" s="452"/>
      <c r="BH24" s="452"/>
      <c r="BI24" s="452"/>
      <c r="BJ24" s="452"/>
      <c r="BK24" s="452"/>
      <c r="BL24" s="452"/>
    </row>
    <row r="25" spans="1:66" x14ac:dyDescent="0.3">
      <c r="B25" s="13">
        <v>16</v>
      </c>
      <c r="C25" s="6"/>
      <c r="D25" s="6"/>
      <c r="E25" s="13">
        <v>3</v>
      </c>
      <c r="F25" s="13"/>
      <c r="G25" s="6"/>
      <c r="H25" s="6"/>
      <c r="I25" s="6"/>
      <c r="J25" s="13"/>
      <c r="K25" s="13"/>
      <c r="L25" s="13"/>
      <c r="M25" s="13"/>
      <c r="N25" s="6"/>
      <c r="O25" s="6"/>
      <c r="P25" s="13"/>
      <c r="Q25" s="13">
        <v>3</v>
      </c>
      <c r="R25" s="13"/>
      <c r="S25" s="13"/>
      <c r="T25" s="13">
        <v>108</v>
      </c>
      <c r="U25" s="6"/>
      <c r="V25" s="39" t="str">
        <f t="shared" si="45"/>
        <v/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39">
        <v>16</v>
      </c>
      <c r="AT25" s="38" t="str">
        <f t="shared" si="26"/>
        <v/>
      </c>
      <c r="AU25" s="38" t="str">
        <f t="shared" si="27"/>
        <v/>
      </c>
      <c r="AV25" s="38" t="str">
        <f t="shared" si="28"/>
        <v/>
      </c>
      <c r="AW25" s="227"/>
      <c r="AX25" s="227"/>
      <c r="AY25" s="13"/>
      <c r="AZ25" s="6"/>
      <c r="BA25" s="6"/>
      <c r="BB25" s="215"/>
      <c r="BC25" s="215"/>
      <c r="BD25" s="39">
        <f t="shared" si="77"/>
        <v>0</v>
      </c>
      <c r="BE25" s="39">
        <f t="shared" si="69"/>
        <v>0</v>
      </c>
      <c r="BF25" s="39">
        <f t="shared" si="78"/>
        <v>0</v>
      </c>
      <c r="BG25" s="6"/>
      <c r="BH25" s="6"/>
      <c r="BI25" s="6"/>
      <c r="BJ25" s="6"/>
      <c r="BK25" s="6"/>
      <c r="BL25" s="6"/>
    </row>
    <row r="26" spans="1:66" s="954" customFormat="1" x14ac:dyDescent="0.3">
      <c r="B26" s="451">
        <v>17</v>
      </c>
      <c r="C26" s="452"/>
      <c r="D26" s="452"/>
      <c r="E26" s="451">
        <v>2</v>
      </c>
      <c r="F26" s="451"/>
      <c r="G26" s="452"/>
      <c r="H26" s="452"/>
      <c r="I26" s="452"/>
      <c r="J26" s="451"/>
      <c r="K26" s="451"/>
      <c r="L26" s="451"/>
      <c r="M26" s="451"/>
      <c r="N26" s="452"/>
      <c r="O26" s="452"/>
      <c r="P26" s="451"/>
      <c r="Q26" s="451">
        <v>2</v>
      </c>
      <c r="R26" s="451"/>
      <c r="S26" s="451"/>
      <c r="T26" s="451">
        <v>108</v>
      </c>
      <c r="U26" s="452"/>
      <c r="V26" s="673" t="str">
        <f t="shared" si="45"/>
        <v/>
      </c>
      <c r="W26" s="452"/>
      <c r="X26" s="452"/>
      <c r="Y26" s="452"/>
      <c r="Z26" s="452"/>
      <c r="AA26" s="452"/>
      <c r="AB26" s="452"/>
      <c r="AC26" s="452"/>
      <c r="AD26" s="452"/>
      <c r="AE26" s="452"/>
      <c r="AF26" s="452"/>
      <c r="AG26" s="452"/>
      <c r="AH26" s="452"/>
      <c r="AI26" s="452"/>
      <c r="AJ26" s="452"/>
      <c r="AK26" s="452"/>
      <c r="AL26" s="452"/>
      <c r="AM26" s="452"/>
      <c r="AN26" s="452"/>
      <c r="AO26" s="452"/>
      <c r="AP26" s="452"/>
      <c r="AQ26" s="452"/>
      <c r="AR26" s="452"/>
      <c r="AS26" s="673">
        <v>17</v>
      </c>
      <c r="AT26" s="1026" t="str">
        <f t="shared" si="26"/>
        <v/>
      </c>
      <c r="AU26" s="1026" t="str">
        <f t="shared" si="27"/>
        <v/>
      </c>
      <c r="AV26" s="1026" t="str">
        <f t="shared" si="28"/>
        <v/>
      </c>
      <c r="AW26" s="1029"/>
      <c r="AX26" s="1029"/>
      <c r="AY26" s="451"/>
      <c r="AZ26" s="452"/>
      <c r="BA26" s="452"/>
      <c r="BB26" s="1028"/>
      <c r="BC26" s="1028"/>
      <c r="BD26" s="673">
        <f t="shared" si="77"/>
        <v>0</v>
      </c>
      <c r="BE26" s="673">
        <f t="shared" si="69"/>
        <v>0</v>
      </c>
      <c r="BF26" s="673">
        <f t="shared" si="78"/>
        <v>0</v>
      </c>
      <c r="BG26" s="452"/>
      <c r="BH26" s="452"/>
      <c r="BI26" s="452"/>
      <c r="BJ26" s="452"/>
      <c r="BK26" s="452"/>
      <c r="BL26" s="452"/>
    </row>
    <row r="27" spans="1:66" x14ac:dyDescent="0.3">
      <c r="B27" s="13">
        <v>18</v>
      </c>
      <c r="C27" s="6"/>
      <c r="D27" s="6"/>
      <c r="E27" s="13">
        <v>3</v>
      </c>
      <c r="F27" s="13"/>
      <c r="G27" s="6"/>
      <c r="H27" s="6"/>
      <c r="I27" s="6"/>
      <c r="J27" s="13"/>
      <c r="K27" s="13"/>
      <c r="L27" s="13"/>
      <c r="M27" s="13"/>
      <c r="N27" s="6"/>
      <c r="O27" s="6"/>
      <c r="P27" s="13"/>
      <c r="Q27" s="13">
        <v>3</v>
      </c>
      <c r="R27" s="13"/>
      <c r="S27" s="13"/>
      <c r="T27" s="13">
        <v>108</v>
      </c>
      <c r="U27" s="6"/>
      <c r="V27" s="39" t="str">
        <f t="shared" si="45"/>
        <v/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39">
        <v>18</v>
      </c>
      <c r="AT27" s="38" t="str">
        <f t="shared" si="26"/>
        <v/>
      </c>
      <c r="AU27" s="38" t="str">
        <f t="shared" si="27"/>
        <v/>
      </c>
      <c r="AV27" s="38" t="str">
        <f t="shared" si="28"/>
        <v/>
      </c>
      <c r="AW27" s="227"/>
      <c r="AX27" s="227"/>
      <c r="AY27" s="13"/>
      <c r="AZ27" s="6"/>
      <c r="BA27" s="6"/>
      <c r="BB27" s="215"/>
      <c r="BC27" s="215"/>
      <c r="BD27" s="39">
        <f t="shared" si="77"/>
        <v>0</v>
      </c>
      <c r="BE27" s="39">
        <f t="shared" si="69"/>
        <v>0</v>
      </c>
      <c r="BF27" s="39">
        <f t="shared" si="78"/>
        <v>0</v>
      </c>
      <c r="BG27" s="6"/>
      <c r="BH27" s="6"/>
      <c r="BI27" s="6"/>
      <c r="BJ27" s="6"/>
      <c r="BK27" s="6"/>
      <c r="BL27" s="6"/>
    </row>
    <row r="28" spans="1:66" s="954" customFormat="1" x14ac:dyDescent="0.3">
      <c r="B28" s="451">
        <v>19</v>
      </c>
      <c r="C28" s="452"/>
      <c r="D28" s="452"/>
      <c r="E28" s="451">
        <v>2</v>
      </c>
      <c r="F28" s="451"/>
      <c r="G28" s="452"/>
      <c r="H28" s="452"/>
      <c r="I28" s="452"/>
      <c r="J28" s="451"/>
      <c r="K28" s="451"/>
      <c r="L28" s="451"/>
      <c r="M28" s="451"/>
      <c r="N28" s="452"/>
      <c r="O28" s="452"/>
      <c r="P28" s="451"/>
      <c r="Q28" s="451">
        <v>2</v>
      </c>
      <c r="R28" s="451"/>
      <c r="S28" s="451"/>
      <c r="T28" s="451">
        <v>108</v>
      </c>
      <c r="U28" s="452"/>
      <c r="V28" s="673" t="str">
        <f t="shared" si="45"/>
        <v/>
      </c>
      <c r="W28" s="452"/>
      <c r="X28" s="452"/>
      <c r="Y28" s="452"/>
      <c r="Z28" s="452"/>
      <c r="AA28" s="452"/>
      <c r="AB28" s="452"/>
      <c r="AC28" s="452"/>
      <c r="AD28" s="452"/>
      <c r="AE28" s="452"/>
      <c r="AF28" s="452"/>
      <c r="AG28" s="452"/>
      <c r="AH28" s="452"/>
      <c r="AI28" s="452"/>
      <c r="AJ28" s="452"/>
      <c r="AK28" s="452"/>
      <c r="AL28" s="452"/>
      <c r="AM28" s="452"/>
      <c r="AN28" s="452"/>
      <c r="AO28" s="452"/>
      <c r="AP28" s="452"/>
      <c r="AQ28" s="452"/>
      <c r="AR28" s="452"/>
      <c r="AS28" s="673">
        <v>19</v>
      </c>
      <c r="AT28" s="1026" t="str">
        <f t="shared" si="26"/>
        <v/>
      </c>
      <c r="AU28" s="1026" t="str">
        <f t="shared" si="27"/>
        <v/>
      </c>
      <c r="AV28" s="1026" t="str">
        <f t="shared" si="28"/>
        <v/>
      </c>
      <c r="AW28" s="1029"/>
      <c r="AX28" s="1029"/>
      <c r="AY28" s="451"/>
      <c r="AZ28" s="452"/>
      <c r="BA28" s="452"/>
      <c r="BB28" s="1028"/>
      <c r="BC28" s="1028"/>
      <c r="BD28" s="673">
        <f t="shared" si="77"/>
        <v>0</v>
      </c>
      <c r="BE28" s="673">
        <f t="shared" si="69"/>
        <v>0</v>
      </c>
      <c r="BF28" s="673">
        <f t="shared" si="78"/>
        <v>0</v>
      </c>
      <c r="BG28" s="452"/>
      <c r="BH28" s="452"/>
      <c r="BI28" s="452"/>
      <c r="BJ28" s="452"/>
      <c r="BK28" s="452"/>
      <c r="BL28" s="452"/>
    </row>
    <row r="29" spans="1:66" x14ac:dyDescent="0.3">
      <c r="B29" s="13">
        <v>20</v>
      </c>
      <c r="C29" s="6"/>
      <c r="D29" s="6"/>
      <c r="E29" s="13">
        <v>3</v>
      </c>
      <c r="F29" s="13"/>
      <c r="G29" s="6"/>
      <c r="H29" s="6"/>
      <c r="I29" s="6"/>
      <c r="J29" s="13"/>
      <c r="K29" s="13"/>
      <c r="L29" s="13"/>
      <c r="M29" s="13"/>
      <c r="N29" s="6"/>
      <c r="O29" s="6"/>
      <c r="P29" s="13"/>
      <c r="Q29" s="13">
        <v>3</v>
      </c>
      <c r="R29" s="13"/>
      <c r="S29" s="13"/>
      <c r="T29" s="13">
        <v>108</v>
      </c>
      <c r="U29" s="6"/>
      <c r="V29" s="39" t="str">
        <f t="shared" si="45"/>
        <v/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39">
        <v>20</v>
      </c>
      <c r="AT29" s="38" t="str">
        <f t="shared" si="26"/>
        <v/>
      </c>
      <c r="AU29" s="38" t="str">
        <f t="shared" si="27"/>
        <v/>
      </c>
      <c r="AV29" s="38" t="str">
        <f t="shared" si="28"/>
        <v/>
      </c>
      <c r="AW29" s="227"/>
      <c r="AX29" s="227"/>
      <c r="AY29" s="13"/>
      <c r="AZ29" s="6"/>
      <c r="BA29" s="6"/>
      <c r="BB29" s="215"/>
      <c r="BC29" s="215"/>
      <c r="BD29" s="39">
        <f t="shared" si="77"/>
        <v>0</v>
      </c>
      <c r="BE29" s="39">
        <f t="shared" si="69"/>
        <v>0</v>
      </c>
      <c r="BF29" s="39">
        <f t="shared" si="78"/>
        <v>0</v>
      </c>
      <c r="BG29" s="6"/>
      <c r="BH29" s="6"/>
      <c r="BI29" s="6"/>
      <c r="BJ29" s="6"/>
      <c r="BK29" s="6"/>
      <c r="BL29" s="6"/>
    </row>
    <row r="30" spans="1:66" s="954" customFormat="1" x14ac:dyDescent="0.3">
      <c r="B30" s="451">
        <v>21</v>
      </c>
      <c r="C30" s="452"/>
      <c r="D30" s="452"/>
      <c r="E30" s="451">
        <v>2</v>
      </c>
      <c r="F30" s="451"/>
      <c r="G30" s="452"/>
      <c r="H30" s="452"/>
      <c r="I30" s="452"/>
      <c r="J30" s="451"/>
      <c r="K30" s="451"/>
      <c r="L30" s="451"/>
      <c r="M30" s="451"/>
      <c r="N30" s="452"/>
      <c r="O30" s="452"/>
      <c r="P30" s="451"/>
      <c r="Q30" s="451">
        <v>2</v>
      </c>
      <c r="R30" s="451"/>
      <c r="S30" s="451"/>
      <c r="T30" s="451">
        <v>108</v>
      </c>
      <c r="U30" s="452"/>
      <c r="V30" s="673" t="str">
        <f t="shared" si="45"/>
        <v/>
      </c>
      <c r="W30" s="452"/>
      <c r="X30" s="452"/>
      <c r="Y30" s="452"/>
      <c r="Z30" s="452"/>
      <c r="AA30" s="452"/>
      <c r="AB30" s="452"/>
      <c r="AC30" s="452"/>
      <c r="AD30" s="452"/>
      <c r="AE30" s="452"/>
      <c r="AF30" s="452"/>
      <c r="AG30" s="452"/>
      <c r="AH30" s="452"/>
      <c r="AI30" s="452"/>
      <c r="AJ30" s="452"/>
      <c r="AK30" s="452"/>
      <c r="AL30" s="452"/>
      <c r="AM30" s="452"/>
      <c r="AN30" s="452"/>
      <c r="AO30" s="452"/>
      <c r="AP30" s="452"/>
      <c r="AQ30" s="452"/>
      <c r="AR30" s="452"/>
      <c r="AS30" s="673">
        <v>21</v>
      </c>
      <c r="AT30" s="1026" t="str">
        <f t="shared" si="26"/>
        <v/>
      </c>
      <c r="AU30" s="1026" t="str">
        <f t="shared" si="27"/>
        <v/>
      </c>
      <c r="AV30" s="1026" t="str">
        <f t="shared" si="28"/>
        <v/>
      </c>
      <c r="AW30" s="1029"/>
      <c r="AX30" s="1029"/>
      <c r="AY30" s="451"/>
      <c r="AZ30" s="452"/>
      <c r="BA30" s="452"/>
      <c r="BB30" s="1028"/>
      <c r="BC30" s="1028"/>
      <c r="BD30" s="673">
        <f t="shared" si="77"/>
        <v>0</v>
      </c>
      <c r="BE30" s="673">
        <f t="shared" si="69"/>
        <v>0</v>
      </c>
      <c r="BF30" s="673">
        <f t="shared" si="78"/>
        <v>0</v>
      </c>
      <c r="BG30" s="452"/>
      <c r="BH30" s="452"/>
      <c r="BI30" s="452"/>
      <c r="BJ30" s="452"/>
      <c r="BK30" s="452"/>
      <c r="BL30" s="452"/>
    </row>
    <row r="31" spans="1:66" x14ac:dyDescent="0.3">
      <c r="B31" s="13">
        <v>22</v>
      </c>
      <c r="C31" s="6"/>
      <c r="D31" s="6"/>
      <c r="E31" s="13">
        <v>3</v>
      </c>
      <c r="F31" s="13"/>
      <c r="G31" s="6"/>
      <c r="H31" s="6"/>
      <c r="I31" s="6"/>
      <c r="J31" s="13"/>
      <c r="K31" s="13"/>
      <c r="L31" s="13"/>
      <c r="M31" s="13"/>
      <c r="N31" s="6"/>
      <c r="O31" s="6"/>
      <c r="P31" s="13"/>
      <c r="Q31" s="13">
        <v>3</v>
      </c>
      <c r="R31" s="13"/>
      <c r="S31" s="13"/>
      <c r="T31" s="13">
        <v>108</v>
      </c>
      <c r="U31" s="6"/>
      <c r="V31" s="39" t="str">
        <f t="shared" si="45"/>
        <v/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39">
        <v>22</v>
      </c>
      <c r="AT31" s="38" t="str">
        <f t="shared" si="26"/>
        <v/>
      </c>
      <c r="AU31" s="38" t="str">
        <f t="shared" si="27"/>
        <v/>
      </c>
      <c r="AV31" s="38" t="str">
        <f t="shared" si="28"/>
        <v/>
      </c>
      <c r="AW31" s="227"/>
      <c r="AX31" s="227"/>
      <c r="AY31" s="13"/>
      <c r="AZ31" s="6"/>
      <c r="BA31" s="6"/>
      <c r="BB31" s="215"/>
      <c r="BC31" s="215"/>
      <c r="BD31" s="39">
        <f t="shared" si="77"/>
        <v>0</v>
      </c>
      <c r="BE31" s="39">
        <f t="shared" si="69"/>
        <v>0</v>
      </c>
      <c r="BF31" s="39">
        <f t="shared" si="78"/>
        <v>0</v>
      </c>
      <c r="BG31" s="6"/>
      <c r="BH31" s="6"/>
      <c r="BI31" s="6"/>
      <c r="BJ31" s="6"/>
      <c r="BK31" s="6"/>
      <c r="BL31" s="6"/>
    </row>
    <row r="32" spans="1:66" x14ac:dyDescent="0.3">
      <c r="B32" s="451">
        <v>23</v>
      </c>
      <c r="C32" s="6"/>
      <c r="D32" s="6"/>
      <c r="E32" s="451">
        <v>2</v>
      </c>
      <c r="F32" s="13"/>
      <c r="G32" s="6"/>
      <c r="H32" s="6"/>
      <c r="I32" s="6"/>
      <c r="J32" s="13"/>
      <c r="K32" s="13"/>
      <c r="L32" s="13"/>
      <c r="M32" s="13"/>
      <c r="N32" s="6"/>
      <c r="O32" s="6"/>
      <c r="P32" s="13"/>
      <c r="Q32" s="451">
        <v>2</v>
      </c>
      <c r="R32" s="13"/>
      <c r="S32" s="13"/>
      <c r="T32" s="451">
        <v>108</v>
      </c>
      <c r="U32" s="6"/>
      <c r="V32" s="39" t="str">
        <f t="shared" si="45"/>
        <v/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459">
        <v>23</v>
      </c>
      <c r="AT32" s="38" t="str">
        <f t="shared" si="26"/>
        <v/>
      </c>
      <c r="AU32" s="38" t="str">
        <f t="shared" si="27"/>
        <v/>
      </c>
      <c r="AV32" s="38" t="str">
        <f t="shared" si="28"/>
        <v/>
      </c>
      <c r="AW32" s="227"/>
      <c r="AX32" s="227"/>
      <c r="AY32" s="13"/>
      <c r="AZ32" s="6"/>
      <c r="BA32" s="6"/>
      <c r="BB32" s="215"/>
      <c r="BC32" s="215"/>
      <c r="BD32" s="673">
        <f t="shared" si="77"/>
        <v>0</v>
      </c>
      <c r="BE32" s="673">
        <f t="shared" si="69"/>
        <v>0</v>
      </c>
      <c r="BF32" s="673">
        <f t="shared" si="78"/>
        <v>0</v>
      </c>
      <c r="BG32" s="6"/>
      <c r="BH32" s="6"/>
      <c r="BI32" s="6"/>
      <c r="BJ32" s="6"/>
      <c r="BK32" s="6"/>
      <c r="BL32" s="6"/>
    </row>
    <row r="33" spans="2:64" x14ac:dyDescent="0.3">
      <c r="B33" s="13">
        <v>24</v>
      </c>
      <c r="C33" s="6"/>
      <c r="D33" s="6"/>
      <c r="E33" s="13">
        <v>3</v>
      </c>
      <c r="F33" s="13"/>
      <c r="G33" s="6"/>
      <c r="H33" s="6"/>
      <c r="I33" s="6"/>
      <c r="J33" s="13"/>
      <c r="K33" s="13"/>
      <c r="L33" s="13"/>
      <c r="M33" s="13"/>
      <c r="N33" s="6"/>
      <c r="O33" s="6"/>
      <c r="P33" s="13"/>
      <c r="Q33" s="13">
        <v>3</v>
      </c>
      <c r="R33" s="13"/>
      <c r="S33" s="13"/>
      <c r="T33" s="13">
        <v>108</v>
      </c>
      <c r="U33" s="6"/>
      <c r="V33" s="39" t="str">
        <f t="shared" si="45"/>
        <v/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39">
        <v>24</v>
      </c>
      <c r="AT33" s="38" t="str">
        <f t="shared" si="26"/>
        <v/>
      </c>
      <c r="AU33" s="38" t="str">
        <f t="shared" si="27"/>
        <v/>
      </c>
      <c r="AV33" s="38" t="str">
        <f t="shared" si="28"/>
        <v/>
      </c>
      <c r="AW33" s="227"/>
      <c r="AX33" s="227"/>
      <c r="AY33" s="13"/>
      <c r="AZ33" s="6"/>
      <c r="BA33" s="6"/>
      <c r="BB33" s="215"/>
      <c r="BC33" s="215"/>
      <c r="BD33" s="39">
        <f t="shared" si="77"/>
        <v>0</v>
      </c>
      <c r="BE33" s="39">
        <f t="shared" si="69"/>
        <v>0</v>
      </c>
      <c r="BF33" s="39">
        <f t="shared" si="78"/>
        <v>0</v>
      </c>
      <c r="BG33" s="6"/>
      <c r="BH33" s="6"/>
      <c r="BI33" s="6"/>
      <c r="BJ33" s="6"/>
      <c r="BK33" s="6"/>
      <c r="BL33" s="6"/>
    </row>
    <row r="34" spans="2:64" x14ac:dyDescent="0.3">
      <c r="B34" s="451">
        <v>25</v>
      </c>
      <c r="C34" s="6"/>
      <c r="D34" s="6"/>
      <c r="E34" s="451">
        <v>2</v>
      </c>
      <c r="F34" s="13"/>
      <c r="G34" s="6"/>
      <c r="H34" s="6"/>
      <c r="I34" s="6"/>
      <c r="J34" s="13"/>
      <c r="K34" s="13"/>
      <c r="L34" s="13"/>
      <c r="M34" s="13"/>
      <c r="N34" s="6"/>
      <c r="O34" s="6"/>
      <c r="P34" s="13"/>
      <c r="Q34" s="451">
        <v>2</v>
      </c>
      <c r="R34" s="13"/>
      <c r="S34" s="13"/>
      <c r="T34" s="451">
        <v>108</v>
      </c>
      <c r="U34" s="6"/>
      <c r="V34" s="39" t="str">
        <f t="shared" si="45"/>
        <v/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39">
        <v>25</v>
      </c>
      <c r="AT34" s="38" t="str">
        <f t="shared" si="26"/>
        <v/>
      </c>
      <c r="AU34" s="38" t="str">
        <f t="shared" si="27"/>
        <v/>
      </c>
      <c r="AV34" s="38" t="str">
        <f t="shared" si="28"/>
        <v/>
      </c>
      <c r="AW34" s="227"/>
      <c r="AX34" s="227"/>
      <c r="AY34" s="13"/>
      <c r="AZ34" s="6"/>
      <c r="BA34" s="6"/>
      <c r="BB34" s="215"/>
      <c r="BC34" s="215"/>
      <c r="BD34" s="673">
        <f t="shared" si="77"/>
        <v>0</v>
      </c>
      <c r="BE34" s="673">
        <f t="shared" si="69"/>
        <v>0</v>
      </c>
      <c r="BF34" s="673">
        <f t="shared" si="78"/>
        <v>0</v>
      </c>
      <c r="BG34" s="6"/>
      <c r="BH34" s="6"/>
      <c r="BI34" s="6"/>
      <c r="BJ34" s="6"/>
      <c r="BK34" s="6"/>
      <c r="BL34" s="6"/>
    </row>
    <row r="35" spans="2:64" x14ac:dyDescent="0.3">
      <c r="B35" s="13">
        <v>26</v>
      </c>
      <c r="C35" s="6"/>
      <c r="D35" s="6"/>
      <c r="E35" s="13">
        <v>3</v>
      </c>
      <c r="F35" s="13"/>
      <c r="G35" s="6"/>
      <c r="H35" s="6"/>
      <c r="I35" s="6"/>
      <c r="J35" s="13"/>
      <c r="K35" s="13"/>
      <c r="L35" s="13"/>
      <c r="M35" s="13"/>
      <c r="N35" s="6"/>
      <c r="O35" s="6"/>
      <c r="P35" s="13"/>
      <c r="Q35" s="13">
        <v>3</v>
      </c>
      <c r="R35" s="13"/>
      <c r="S35" s="13"/>
      <c r="T35" s="13">
        <v>108</v>
      </c>
      <c r="U35" s="6"/>
      <c r="V35" s="39" t="str">
        <f t="shared" si="45"/>
        <v/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39">
        <v>26</v>
      </c>
      <c r="AT35" s="38" t="str">
        <f t="shared" si="26"/>
        <v/>
      </c>
      <c r="AU35" s="38" t="str">
        <f t="shared" si="27"/>
        <v/>
      </c>
      <c r="AV35" s="38" t="str">
        <f t="shared" si="28"/>
        <v/>
      </c>
      <c r="AW35" s="227"/>
      <c r="AX35" s="227"/>
      <c r="AY35" s="13"/>
      <c r="AZ35" s="6"/>
      <c r="BA35" s="6"/>
      <c r="BB35" s="215"/>
      <c r="BC35" s="215"/>
      <c r="BD35" s="39">
        <f t="shared" si="77"/>
        <v>0</v>
      </c>
      <c r="BE35" s="39">
        <f t="shared" si="69"/>
        <v>0</v>
      </c>
      <c r="BF35" s="39">
        <f t="shared" si="78"/>
        <v>0</v>
      </c>
      <c r="BG35" s="6"/>
      <c r="BH35" s="6"/>
      <c r="BI35" s="6"/>
      <c r="BJ35" s="6"/>
      <c r="BK35" s="6"/>
      <c r="BL35" s="6"/>
    </row>
    <row r="36" spans="2:64" x14ac:dyDescent="0.3">
      <c r="B36" s="451">
        <v>27</v>
      </c>
      <c r="C36" s="6"/>
      <c r="D36" s="6"/>
      <c r="E36" s="451">
        <v>2</v>
      </c>
      <c r="F36" s="13"/>
      <c r="G36" s="6"/>
      <c r="H36" s="6"/>
      <c r="I36" s="6"/>
      <c r="J36" s="13"/>
      <c r="K36" s="13"/>
      <c r="L36" s="13"/>
      <c r="M36" s="13"/>
      <c r="N36" s="6"/>
      <c r="O36" s="6"/>
      <c r="P36" s="13"/>
      <c r="Q36" s="451">
        <v>2</v>
      </c>
      <c r="R36" s="13"/>
      <c r="S36" s="13"/>
      <c r="T36" s="451">
        <v>108</v>
      </c>
      <c r="U36" s="6"/>
      <c r="V36" s="39" t="str">
        <f t="shared" si="45"/>
        <v/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39">
        <v>27</v>
      </c>
      <c r="AT36" s="38" t="str">
        <f t="shared" si="26"/>
        <v/>
      </c>
      <c r="AU36" s="38" t="str">
        <f t="shared" si="27"/>
        <v/>
      </c>
      <c r="AV36" s="38" t="str">
        <f t="shared" si="28"/>
        <v/>
      </c>
      <c r="AW36" s="227"/>
      <c r="AX36" s="227"/>
      <c r="AY36" s="13"/>
      <c r="AZ36" s="6"/>
      <c r="BA36" s="6"/>
      <c r="BB36" s="215"/>
      <c r="BC36" s="215"/>
      <c r="BD36" s="673">
        <f t="shared" si="77"/>
        <v>0</v>
      </c>
      <c r="BE36" s="673">
        <f t="shared" si="69"/>
        <v>0</v>
      </c>
      <c r="BF36" s="673">
        <f t="shared" si="78"/>
        <v>0</v>
      </c>
      <c r="BG36" s="6"/>
      <c r="BH36" s="6"/>
      <c r="BI36" s="6"/>
      <c r="BJ36" s="6"/>
      <c r="BK36" s="6"/>
      <c r="BL36" s="6"/>
    </row>
    <row r="37" spans="2:64" x14ac:dyDescent="0.3">
      <c r="B37" s="13">
        <v>28</v>
      </c>
      <c r="C37" s="6"/>
      <c r="D37" s="6"/>
      <c r="E37" s="13">
        <v>3</v>
      </c>
      <c r="F37" s="13"/>
      <c r="G37" s="6"/>
      <c r="H37" s="6"/>
      <c r="I37" s="6"/>
      <c r="J37" s="13"/>
      <c r="K37" s="13"/>
      <c r="L37" s="13"/>
      <c r="M37" s="13"/>
      <c r="N37" s="6"/>
      <c r="O37" s="6"/>
      <c r="P37" s="13"/>
      <c r="Q37" s="13">
        <v>3</v>
      </c>
      <c r="R37" s="13"/>
      <c r="S37" s="13"/>
      <c r="T37" s="13">
        <v>108</v>
      </c>
      <c r="U37" s="6"/>
      <c r="V37" s="39" t="str">
        <f t="shared" si="45"/>
        <v/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39">
        <v>28</v>
      </c>
      <c r="AT37" s="38" t="str">
        <f t="shared" si="26"/>
        <v/>
      </c>
      <c r="AU37" s="38" t="str">
        <f t="shared" si="27"/>
        <v/>
      </c>
      <c r="AV37" s="38" t="str">
        <f t="shared" si="28"/>
        <v/>
      </c>
      <c r="AW37" s="227"/>
      <c r="AX37" s="227"/>
      <c r="AY37" s="13"/>
      <c r="AZ37" s="6"/>
      <c r="BA37" s="6"/>
      <c r="BB37" s="215"/>
      <c r="BC37" s="215"/>
      <c r="BD37" s="39">
        <f t="shared" si="77"/>
        <v>0</v>
      </c>
      <c r="BE37" s="39">
        <f t="shared" si="69"/>
        <v>0</v>
      </c>
      <c r="BF37" s="39">
        <f t="shared" si="78"/>
        <v>0</v>
      </c>
      <c r="BG37" s="6"/>
      <c r="BH37" s="6"/>
      <c r="BI37" s="6"/>
      <c r="BJ37" s="6"/>
      <c r="BK37" s="6"/>
      <c r="BL37" s="6"/>
    </row>
    <row r="38" spans="2:64" x14ac:dyDescent="0.3">
      <c r="B38" s="451">
        <v>29</v>
      </c>
      <c r="C38" s="6"/>
      <c r="D38" s="6"/>
      <c r="E38" s="451">
        <v>2</v>
      </c>
      <c r="F38" s="13"/>
      <c r="G38" s="6"/>
      <c r="H38" s="6"/>
      <c r="I38" s="6"/>
      <c r="J38" s="13"/>
      <c r="K38" s="13"/>
      <c r="L38" s="13"/>
      <c r="M38" s="13"/>
      <c r="N38" s="6"/>
      <c r="O38" s="6"/>
      <c r="P38" s="13"/>
      <c r="Q38" s="451">
        <v>2</v>
      </c>
      <c r="R38" s="13"/>
      <c r="S38" s="13"/>
      <c r="T38" s="451">
        <v>108</v>
      </c>
      <c r="U38" s="6"/>
      <c r="V38" s="39" t="str">
        <f t="shared" si="45"/>
        <v/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459">
        <v>29</v>
      </c>
      <c r="AT38" s="38" t="str">
        <f t="shared" si="26"/>
        <v/>
      </c>
      <c r="AU38" s="38" t="str">
        <f t="shared" si="27"/>
        <v/>
      </c>
      <c r="AV38" s="38" t="str">
        <f t="shared" si="28"/>
        <v/>
      </c>
      <c r="AW38" s="227"/>
      <c r="AX38" s="227"/>
      <c r="AY38" s="13"/>
      <c r="AZ38" s="6"/>
      <c r="BA38" s="6"/>
      <c r="BB38" s="215"/>
      <c r="BC38" s="215"/>
      <c r="BD38" s="673">
        <f t="shared" si="77"/>
        <v>0</v>
      </c>
      <c r="BE38" s="673">
        <f t="shared" si="69"/>
        <v>0</v>
      </c>
      <c r="BF38" s="673">
        <f t="shared" si="78"/>
        <v>0</v>
      </c>
      <c r="BG38" s="6"/>
      <c r="BH38" s="6"/>
      <c r="BI38" s="6"/>
      <c r="BJ38" s="6"/>
      <c r="BK38" s="6"/>
      <c r="BL38" s="6"/>
    </row>
    <row r="39" spans="2:64" x14ac:dyDescent="0.3">
      <c r="B39" s="13">
        <v>30</v>
      </c>
      <c r="C39" s="6"/>
      <c r="D39" s="6"/>
      <c r="E39" s="13">
        <v>3</v>
      </c>
      <c r="F39" s="13"/>
      <c r="G39" s="6"/>
      <c r="H39" s="6"/>
      <c r="I39" s="6"/>
      <c r="J39" s="13"/>
      <c r="K39" s="13"/>
      <c r="L39" s="13"/>
      <c r="M39" s="13"/>
      <c r="N39" s="6"/>
      <c r="O39" s="6"/>
      <c r="P39" s="13"/>
      <c r="Q39" s="13">
        <v>3</v>
      </c>
      <c r="R39" s="13"/>
      <c r="S39" s="13"/>
      <c r="T39" s="13">
        <v>108</v>
      </c>
      <c r="U39" s="6"/>
      <c r="V39" s="39" t="str">
        <f t="shared" si="45"/>
        <v/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39">
        <v>30</v>
      </c>
      <c r="AT39" s="38" t="str">
        <f t="shared" si="26"/>
        <v/>
      </c>
      <c r="AU39" s="38" t="str">
        <f t="shared" si="27"/>
        <v/>
      </c>
      <c r="AV39" s="38" t="str">
        <f t="shared" si="28"/>
        <v/>
      </c>
      <c r="AW39" s="227"/>
      <c r="AX39" s="227"/>
      <c r="AY39" s="13"/>
      <c r="AZ39" s="6"/>
      <c r="BA39" s="6"/>
      <c r="BB39" s="215"/>
      <c r="BC39" s="215"/>
      <c r="BD39" s="39">
        <f t="shared" si="77"/>
        <v>0</v>
      </c>
      <c r="BE39" s="39">
        <f t="shared" si="69"/>
        <v>0</v>
      </c>
      <c r="BF39" s="39">
        <f t="shared" si="78"/>
        <v>0</v>
      </c>
      <c r="BG39" s="6"/>
      <c r="BH39" s="6"/>
      <c r="BI39" s="6"/>
      <c r="BJ39" s="6"/>
      <c r="BK39" s="6"/>
      <c r="BL39" s="6"/>
    </row>
    <row r="40" spans="2:64" x14ac:dyDescent="0.3">
      <c r="B40" s="451">
        <v>31</v>
      </c>
      <c r="C40" s="6"/>
      <c r="D40" s="6"/>
      <c r="E40" s="451">
        <v>2</v>
      </c>
      <c r="F40" s="13"/>
      <c r="G40" s="6"/>
      <c r="H40" s="6"/>
      <c r="I40" s="6"/>
      <c r="J40" s="13"/>
      <c r="K40" s="13"/>
      <c r="L40" s="13"/>
      <c r="M40" s="13"/>
      <c r="N40" s="6"/>
      <c r="O40" s="6"/>
      <c r="P40" s="13"/>
      <c r="Q40" s="451">
        <v>2</v>
      </c>
      <c r="R40" s="13"/>
      <c r="S40" s="13"/>
      <c r="T40" s="451">
        <v>108</v>
      </c>
      <c r="U40" s="6"/>
      <c r="V40" s="39" t="str">
        <f t="shared" si="45"/>
        <v/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39">
        <v>31</v>
      </c>
      <c r="AT40" s="38" t="str">
        <f t="shared" si="26"/>
        <v/>
      </c>
      <c r="AU40" s="38" t="str">
        <f t="shared" si="27"/>
        <v/>
      </c>
      <c r="AV40" s="38" t="str">
        <f t="shared" si="28"/>
        <v/>
      </c>
      <c r="AW40" s="227"/>
      <c r="AX40" s="227"/>
      <c r="AY40" s="13"/>
      <c r="AZ40" s="6"/>
      <c r="BA40" s="6"/>
      <c r="BB40" s="215"/>
      <c r="BC40" s="215"/>
      <c r="BD40" s="673">
        <f t="shared" si="77"/>
        <v>0</v>
      </c>
      <c r="BE40" s="673">
        <f t="shared" si="69"/>
        <v>0</v>
      </c>
      <c r="BF40" s="673">
        <f t="shared" si="78"/>
        <v>0</v>
      </c>
      <c r="BG40" s="6"/>
      <c r="BH40" s="6"/>
      <c r="BI40" s="6"/>
      <c r="BJ40" s="6"/>
      <c r="BK40" s="6"/>
      <c r="BL40" s="6"/>
    </row>
    <row r="41" spans="2:64" x14ac:dyDescent="0.3">
      <c r="B41" s="13">
        <v>32</v>
      </c>
      <c r="C41" s="6"/>
      <c r="D41" s="6"/>
      <c r="E41" s="13">
        <v>3</v>
      </c>
      <c r="F41" s="13"/>
      <c r="G41" s="6"/>
      <c r="H41" s="6"/>
      <c r="I41" s="6"/>
      <c r="J41" s="13"/>
      <c r="K41" s="13"/>
      <c r="L41" s="13"/>
      <c r="M41" s="13"/>
      <c r="N41" s="6"/>
      <c r="O41" s="6"/>
      <c r="P41" s="13"/>
      <c r="Q41" s="13">
        <v>3</v>
      </c>
      <c r="R41" s="13"/>
      <c r="S41" s="13"/>
      <c r="T41" s="13">
        <v>108</v>
      </c>
      <c r="U41" s="6"/>
      <c r="V41" s="39" t="str">
        <f t="shared" si="45"/>
        <v/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39">
        <v>32</v>
      </c>
      <c r="AT41" s="38" t="str">
        <f t="shared" si="26"/>
        <v/>
      </c>
      <c r="AU41" s="38" t="str">
        <f t="shared" si="27"/>
        <v/>
      </c>
      <c r="AV41" s="38" t="str">
        <f t="shared" si="28"/>
        <v/>
      </c>
      <c r="AW41" s="227"/>
      <c r="AX41" s="227"/>
      <c r="AY41" s="13"/>
      <c r="AZ41" s="6"/>
      <c r="BA41" s="6"/>
      <c r="BB41" s="215"/>
      <c r="BC41" s="215"/>
      <c r="BD41" s="39">
        <f t="shared" si="77"/>
        <v>0</v>
      </c>
      <c r="BE41" s="39">
        <f t="shared" si="69"/>
        <v>0</v>
      </c>
      <c r="BF41" s="39">
        <f t="shared" si="78"/>
        <v>0</v>
      </c>
      <c r="BG41" s="6"/>
      <c r="BH41" s="6"/>
      <c r="BI41" s="6"/>
      <c r="BJ41" s="6"/>
      <c r="BK41" s="6"/>
      <c r="BL41" s="6"/>
    </row>
    <row r="42" spans="2:64" x14ac:dyDescent="0.3">
      <c r="B42" s="451">
        <v>33</v>
      </c>
      <c r="C42" s="6"/>
      <c r="D42" s="6"/>
      <c r="E42" s="451">
        <v>2</v>
      </c>
      <c r="F42" s="13"/>
      <c r="G42" s="6"/>
      <c r="H42" s="6"/>
      <c r="I42" s="6"/>
      <c r="J42" s="13"/>
      <c r="K42" s="13"/>
      <c r="L42" s="13"/>
      <c r="M42" s="13"/>
      <c r="N42" s="6"/>
      <c r="O42" s="6"/>
      <c r="P42" s="13"/>
      <c r="Q42" s="451">
        <v>2</v>
      </c>
      <c r="R42" s="13"/>
      <c r="S42" s="13"/>
      <c r="T42" s="451">
        <v>108</v>
      </c>
      <c r="U42" s="6"/>
      <c r="V42" s="39" t="str">
        <f t="shared" si="45"/>
        <v/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39">
        <v>33</v>
      </c>
      <c r="AT42" s="38" t="str">
        <f t="shared" si="26"/>
        <v/>
      </c>
      <c r="AU42" s="38" t="str">
        <f t="shared" si="27"/>
        <v/>
      </c>
      <c r="AV42" s="38" t="str">
        <f t="shared" si="28"/>
        <v/>
      </c>
      <c r="AW42" s="227"/>
      <c r="AX42" s="227"/>
      <c r="AY42" s="13"/>
      <c r="AZ42" s="6"/>
      <c r="BA42" s="6"/>
      <c r="BB42" s="215"/>
      <c r="BC42" s="215"/>
      <c r="BD42" s="673">
        <f t="shared" si="77"/>
        <v>0</v>
      </c>
      <c r="BE42" s="673">
        <f t="shared" si="69"/>
        <v>0</v>
      </c>
      <c r="BF42" s="673">
        <f t="shared" si="78"/>
        <v>0</v>
      </c>
      <c r="BG42" s="6"/>
      <c r="BH42" s="6"/>
      <c r="BI42" s="6"/>
      <c r="BJ42" s="6"/>
      <c r="BK42" s="6"/>
      <c r="BL42" s="6"/>
    </row>
    <row r="43" spans="2:64" x14ac:dyDescent="0.3">
      <c r="B43" s="13">
        <v>34</v>
      </c>
      <c r="C43" s="6"/>
      <c r="D43" s="6"/>
      <c r="E43" s="13">
        <v>3</v>
      </c>
      <c r="F43" s="13"/>
      <c r="G43" s="6"/>
      <c r="H43" s="6"/>
      <c r="I43" s="6"/>
      <c r="J43" s="13"/>
      <c r="K43" s="13"/>
      <c r="L43" s="13"/>
      <c r="M43" s="13"/>
      <c r="N43" s="6"/>
      <c r="O43" s="6"/>
      <c r="P43" s="13"/>
      <c r="Q43" s="13">
        <v>3</v>
      </c>
      <c r="R43" s="13"/>
      <c r="S43" s="13"/>
      <c r="T43" s="13">
        <v>108</v>
      </c>
      <c r="U43" s="6"/>
      <c r="V43" s="39" t="str">
        <f t="shared" si="45"/>
        <v/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39">
        <v>34</v>
      </c>
      <c r="AT43" s="38" t="str">
        <f t="shared" si="26"/>
        <v/>
      </c>
      <c r="AU43" s="38" t="str">
        <f t="shared" si="27"/>
        <v/>
      </c>
      <c r="AV43" s="38" t="str">
        <f t="shared" si="28"/>
        <v/>
      </c>
      <c r="AW43" s="227"/>
      <c r="AX43" s="227"/>
      <c r="AY43" s="13"/>
      <c r="AZ43" s="6"/>
      <c r="BA43" s="6"/>
      <c r="BB43" s="215"/>
      <c r="BC43" s="215"/>
      <c r="BD43" s="39">
        <f t="shared" si="77"/>
        <v>0</v>
      </c>
      <c r="BE43" s="39">
        <f t="shared" si="69"/>
        <v>0</v>
      </c>
      <c r="BF43" s="39">
        <f t="shared" si="78"/>
        <v>0</v>
      </c>
      <c r="BG43" s="6"/>
      <c r="BH43" s="6"/>
      <c r="BI43" s="6"/>
      <c r="BJ43" s="6"/>
      <c r="BK43" s="6"/>
      <c r="BL43" s="6"/>
    </row>
    <row r="44" spans="2:64" x14ac:dyDescent="0.3">
      <c r="B44" s="451">
        <v>35</v>
      </c>
      <c r="C44" s="6"/>
      <c r="D44" s="6"/>
      <c r="E44" s="451">
        <v>2</v>
      </c>
      <c r="F44" s="13"/>
      <c r="G44" s="6"/>
      <c r="H44" s="6"/>
      <c r="I44" s="6"/>
      <c r="J44" s="13"/>
      <c r="K44" s="13"/>
      <c r="L44" s="13"/>
      <c r="M44" s="13"/>
      <c r="N44" s="6"/>
      <c r="O44" s="6"/>
      <c r="P44" s="13"/>
      <c r="Q44" s="451">
        <v>2</v>
      </c>
      <c r="R44" s="13"/>
      <c r="S44" s="13"/>
      <c r="T44" s="451">
        <v>108</v>
      </c>
      <c r="U44" s="6"/>
      <c r="V44" s="39" t="str">
        <f t="shared" si="45"/>
        <v/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459">
        <v>35</v>
      </c>
      <c r="AT44" s="38" t="str">
        <f t="shared" si="26"/>
        <v/>
      </c>
      <c r="AU44" s="38" t="str">
        <f t="shared" si="27"/>
        <v/>
      </c>
      <c r="AV44" s="38" t="str">
        <f t="shared" si="28"/>
        <v/>
      </c>
      <c r="AW44" s="227"/>
      <c r="AX44" s="227"/>
      <c r="AY44" s="13"/>
      <c r="AZ44" s="6"/>
      <c r="BA44" s="6"/>
      <c r="BB44" s="215"/>
      <c r="BC44" s="215"/>
      <c r="BD44" s="673">
        <f t="shared" si="77"/>
        <v>0</v>
      </c>
      <c r="BE44" s="673">
        <f t="shared" si="69"/>
        <v>0</v>
      </c>
      <c r="BF44" s="673">
        <f t="shared" si="78"/>
        <v>0</v>
      </c>
      <c r="BG44" s="6"/>
      <c r="BH44" s="6"/>
      <c r="BI44" s="6"/>
      <c r="BJ44" s="6"/>
      <c r="BK44" s="6"/>
      <c r="BL44" s="6"/>
    </row>
    <row r="45" spans="2:64" x14ac:dyDescent="0.3">
      <c r="B45" s="13">
        <v>36</v>
      </c>
      <c r="C45" s="6"/>
      <c r="D45" s="6"/>
      <c r="E45" s="13">
        <v>3</v>
      </c>
      <c r="F45" s="13"/>
      <c r="G45" s="6"/>
      <c r="H45" s="6"/>
      <c r="I45" s="6"/>
      <c r="J45" s="13"/>
      <c r="K45" s="13"/>
      <c r="L45" s="13"/>
      <c r="M45" s="13"/>
      <c r="N45" s="6"/>
      <c r="O45" s="6"/>
      <c r="P45" s="13"/>
      <c r="Q45" s="13">
        <v>3</v>
      </c>
      <c r="R45" s="13"/>
      <c r="S45" s="13"/>
      <c r="T45" s="13">
        <v>108</v>
      </c>
      <c r="U45" s="6"/>
      <c r="V45" s="39" t="str">
        <f t="shared" si="45"/>
        <v/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39">
        <v>36</v>
      </c>
      <c r="AT45" s="38" t="str">
        <f t="shared" si="26"/>
        <v/>
      </c>
      <c r="AU45" s="38" t="str">
        <f t="shared" si="27"/>
        <v/>
      </c>
      <c r="AV45" s="38" t="str">
        <f t="shared" si="28"/>
        <v/>
      </c>
      <c r="AW45" s="227"/>
      <c r="AX45" s="227"/>
      <c r="AY45" s="13"/>
      <c r="AZ45" s="6"/>
      <c r="BA45" s="6"/>
      <c r="BB45" s="215"/>
      <c r="BC45" s="215"/>
      <c r="BD45" s="39">
        <f t="shared" si="77"/>
        <v>0</v>
      </c>
      <c r="BE45" s="39">
        <f t="shared" si="69"/>
        <v>0</v>
      </c>
      <c r="BF45" s="39">
        <f t="shared" si="78"/>
        <v>0</v>
      </c>
      <c r="BG45" s="6"/>
      <c r="BH45" s="6"/>
      <c r="BI45" s="6"/>
      <c r="BJ45" s="6"/>
      <c r="BK45" s="6"/>
      <c r="BL45" s="6"/>
    </row>
    <row r="46" spans="2:64" x14ac:dyDescent="0.3">
      <c r="B46" s="451">
        <v>37</v>
      </c>
      <c r="C46" s="6"/>
      <c r="D46" s="6"/>
      <c r="E46" s="451">
        <v>2</v>
      </c>
      <c r="F46" s="13"/>
      <c r="G46" s="6"/>
      <c r="H46" s="6"/>
      <c r="I46" s="6"/>
      <c r="J46" s="13"/>
      <c r="K46" s="13"/>
      <c r="L46" s="13"/>
      <c r="M46" s="13"/>
      <c r="N46" s="6"/>
      <c r="O46" s="6"/>
      <c r="P46" s="13"/>
      <c r="Q46" s="451">
        <v>2</v>
      </c>
      <c r="R46" s="13"/>
      <c r="S46" s="13"/>
      <c r="T46" s="451">
        <v>108</v>
      </c>
      <c r="U46" s="6"/>
      <c r="V46" s="39" t="str">
        <f t="shared" si="45"/>
        <v/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39">
        <v>37</v>
      </c>
      <c r="AT46" s="38" t="str">
        <f t="shared" si="26"/>
        <v/>
      </c>
      <c r="AU46" s="38" t="str">
        <f t="shared" si="27"/>
        <v/>
      </c>
      <c r="AV46" s="38" t="str">
        <f t="shared" si="28"/>
        <v/>
      </c>
      <c r="AW46" s="227"/>
      <c r="AX46" s="227"/>
      <c r="AY46" s="13"/>
      <c r="AZ46" s="6"/>
      <c r="BA46" s="6"/>
      <c r="BB46" s="215"/>
      <c r="BC46" s="215"/>
      <c r="BD46" s="673">
        <f t="shared" si="77"/>
        <v>0</v>
      </c>
      <c r="BE46" s="673">
        <f t="shared" si="69"/>
        <v>0</v>
      </c>
      <c r="BF46" s="673">
        <f t="shared" si="78"/>
        <v>0</v>
      </c>
      <c r="BG46" s="6"/>
      <c r="BH46" s="6"/>
      <c r="BI46" s="6"/>
      <c r="BJ46" s="6"/>
      <c r="BK46" s="6"/>
      <c r="BL46" s="6"/>
    </row>
    <row r="47" spans="2:64" x14ac:dyDescent="0.3">
      <c r="B47" s="13">
        <v>38</v>
      </c>
      <c r="C47" s="6"/>
      <c r="D47" s="6"/>
      <c r="E47" s="13">
        <v>3</v>
      </c>
      <c r="F47" s="13"/>
      <c r="G47" s="6"/>
      <c r="H47" s="6"/>
      <c r="I47" s="6"/>
      <c r="J47" s="13"/>
      <c r="K47" s="13"/>
      <c r="L47" s="13"/>
      <c r="M47" s="13"/>
      <c r="N47" s="6"/>
      <c r="O47" s="6"/>
      <c r="P47" s="13"/>
      <c r="Q47" s="13">
        <v>3</v>
      </c>
      <c r="R47" s="13"/>
      <c r="S47" s="13"/>
      <c r="T47" s="13">
        <v>108</v>
      </c>
      <c r="U47" s="6"/>
      <c r="V47" s="39" t="str">
        <f t="shared" si="45"/>
        <v/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39">
        <v>38</v>
      </c>
      <c r="AT47" s="38" t="str">
        <f t="shared" si="26"/>
        <v/>
      </c>
      <c r="AU47" s="38" t="str">
        <f t="shared" si="27"/>
        <v/>
      </c>
      <c r="AV47" s="38" t="str">
        <f t="shared" si="28"/>
        <v/>
      </c>
      <c r="AW47" s="227"/>
      <c r="AX47" s="227"/>
      <c r="AY47" s="13"/>
      <c r="AZ47" s="6"/>
      <c r="BA47" s="6"/>
      <c r="BB47" s="215"/>
      <c r="BC47" s="215"/>
      <c r="BD47" s="39">
        <f t="shared" si="77"/>
        <v>0</v>
      </c>
      <c r="BE47" s="39">
        <f t="shared" si="69"/>
        <v>0</v>
      </c>
      <c r="BF47" s="39">
        <f t="shared" si="78"/>
        <v>0</v>
      </c>
      <c r="BG47" s="6"/>
      <c r="BH47" s="6"/>
      <c r="BI47" s="6"/>
      <c r="BJ47" s="6"/>
      <c r="BK47" s="6"/>
      <c r="BL47" s="6"/>
    </row>
    <row r="48" spans="2:64" x14ac:dyDescent="0.3">
      <c r="B48" s="451">
        <v>39</v>
      </c>
      <c r="C48" s="6"/>
      <c r="D48" s="6"/>
      <c r="E48" s="451">
        <v>2</v>
      </c>
      <c r="F48" s="13"/>
      <c r="G48" s="6"/>
      <c r="H48" s="6"/>
      <c r="I48" s="6"/>
      <c r="J48" s="13"/>
      <c r="K48" s="13"/>
      <c r="L48" s="13"/>
      <c r="M48" s="13"/>
      <c r="N48" s="6"/>
      <c r="O48" s="6"/>
      <c r="P48" s="13"/>
      <c r="Q48" s="451">
        <v>2</v>
      </c>
      <c r="R48" s="13"/>
      <c r="S48" s="13"/>
      <c r="T48" s="451">
        <v>108</v>
      </c>
      <c r="U48" s="6"/>
      <c r="V48" s="39" t="str">
        <f t="shared" si="45"/>
        <v/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39">
        <v>39</v>
      </c>
      <c r="AT48" s="38" t="str">
        <f t="shared" si="26"/>
        <v/>
      </c>
      <c r="AU48" s="38" t="str">
        <f t="shared" si="27"/>
        <v/>
      </c>
      <c r="AV48" s="38" t="str">
        <f t="shared" si="28"/>
        <v/>
      </c>
      <c r="AW48" s="227"/>
      <c r="AX48" s="227"/>
      <c r="AY48" s="13"/>
      <c r="AZ48" s="6"/>
      <c r="BA48" s="6"/>
      <c r="BB48" s="215"/>
      <c r="BC48" s="215"/>
      <c r="BD48" s="673">
        <f t="shared" si="77"/>
        <v>0</v>
      </c>
      <c r="BE48" s="673">
        <f t="shared" si="69"/>
        <v>0</v>
      </c>
      <c r="BF48" s="673">
        <f t="shared" si="78"/>
        <v>0</v>
      </c>
      <c r="BG48" s="6"/>
      <c r="BH48" s="6"/>
      <c r="BI48" s="6"/>
      <c r="BJ48" s="6"/>
      <c r="BK48" s="6"/>
      <c r="BL48" s="6"/>
    </row>
    <row r="49" spans="2:64" x14ac:dyDescent="0.3">
      <c r="B49" s="13">
        <v>40</v>
      </c>
      <c r="C49" s="6"/>
      <c r="D49" s="6"/>
      <c r="E49" s="13">
        <v>3</v>
      </c>
      <c r="F49" s="13"/>
      <c r="G49" s="6"/>
      <c r="H49" s="6"/>
      <c r="I49" s="6"/>
      <c r="J49" s="13"/>
      <c r="K49" s="13"/>
      <c r="L49" s="13"/>
      <c r="M49" s="13"/>
      <c r="N49" s="6"/>
      <c r="O49" s="6"/>
      <c r="P49" s="13"/>
      <c r="Q49" s="13">
        <v>3</v>
      </c>
      <c r="R49" s="13"/>
      <c r="S49" s="13"/>
      <c r="T49" s="13">
        <v>108</v>
      </c>
      <c r="U49" s="6"/>
      <c r="V49" s="39" t="str">
        <f t="shared" si="45"/>
        <v/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39">
        <v>40</v>
      </c>
      <c r="AT49" s="38" t="str">
        <f t="shared" si="26"/>
        <v/>
      </c>
      <c r="AU49" s="38" t="str">
        <f t="shared" si="27"/>
        <v/>
      </c>
      <c r="AV49" s="38" t="str">
        <f t="shared" si="28"/>
        <v/>
      </c>
      <c r="AW49" s="227"/>
      <c r="AX49" s="227"/>
      <c r="AY49" s="13"/>
      <c r="AZ49" s="6"/>
      <c r="BA49" s="6"/>
      <c r="BB49" s="215"/>
      <c r="BC49" s="215"/>
      <c r="BD49" s="39">
        <f t="shared" si="77"/>
        <v>0</v>
      </c>
      <c r="BE49" s="39">
        <f t="shared" si="69"/>
        <v>0</v>
      </c>
      <c r="BF49" s="39">
        <f t="shared" si="78"/>
        <v>0</v>
      </c>
      <c r="BG49" s="6"/>
      <c r="BH49" s="6"/>
      <c r="BI49" s="6"/>
      <c r="BJ49" s="6"/>
      <c r="BK49" s="6"/>
      <c r="BL49" s="6"/>
    </row>
    <row r="50" spans="2:64" x14ac:dyDescent="0.3">
      <c r="B50" s="451">
        <v>41</v>
      </c>
      <c r="C50" s="6"/>
      <c r="D50" s="6"/>
      <c r="E50" s="451">
        <v>2</v>
      </c>
      <c r="F50" s="13"/>
      <c r="G50" s="6"/>
      <c r="H50" s="6"/>
      <c r="I50" s="6"/>
      <c r="J50" s="13"/>
      <c r="K50" s="13"/>
      <c r="L50" s="13"/>
      <c r="M50" s="13"/>
      <c r="N50" s="6"/>
      <c r="O50" s="6"/>
      <c r="P50" s="13"/>
      <c r="Q50" s="451">
        <v>2</v>
      </c>
      <c r="R50" s="13"/>
      <c r="S50" s="13"/>
      <c r="T50" s="451">
        <v>108</v>
      </c>
      <c r="U50" s="6"/>
      <c r="V50" s="39" t="str">
        <f t="shared" si="45"/>
        <v/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459">
        <v>41</v>
      </c>
      <c r="AT50" s="38" t="str">
        <f t="shared" si="26"/>
        <v/>
      </c>
      <c r="AU50" s="38" t="str">
        <f t="shared" si="27"/>
        <v/>
      </c>
      <c r="AV50" s="38" t="str">
        <f t="shared" si="28"/>
        <v/>
      </c>
      <c r="AW50" s="227"/>
      <c r="AX50" s="227"/>
      <c r="AY50" s="13"/>
      <c r="AZ50" s="6"/>
      <c r="BA50" s="6"/>
      <c r="BB50" s="215"/>
      <c r="BC50" s="215"/>
      <c r="BD50" s="673">
        <f t="shared" si="77"/>
        <v>0</v>
      </c>
      <c r="BE50" s="673">
        <f t="shared" si="69"/>
        <v>0</v>
      </c>
      <c r="BF50" s="673">
        <f t="shared" si="78"/>
        <v>0</v>
      </c>
      <c r="BG50" s="6"/>
      <c r="BH50" s="6"/>
      <c r="BI50" s="6"/>
      <c r="BJ50" s="6"/>
      <c r="BK50" s="6"/>
      <c r="BL50" s="6"/>
    </row>
    <row r="51" spans="2:64" x14ac:dyDescent="0.3">
      <c r="B51" s="13">
        <v>42</v>
      </c>
      <c r="C51" s="6"/>
      <c r="D51" s="6"/>
      <c r="E51" s="13">
        <v>3</v>
      </c>
      <c r="F51" s="13"/>
      <c r="G51" s="6"/>
      <c r="H51" s="6"/>
      <c r="I51" s="6"/>
      <c r="J51" s="13"/>
      <c r="K51" s="13"/>
      <c r="L51" s="13"/>
      <c r="M51" s="13"/>
      <c r="N51" s="6"/>
      <c r="O51" s="6"/>
      <c r="P51" s="13"/>
      <c r="Q51" s="13">
        <v>3</v>
      </c>
      <c r="R51" s="13"/>
      <c r="S51" s="13"/>
      <c r="T51" s="13">
        <v>108</v>
      </c>
      <c r="U51" s="6"/>
      <c r="V51" s="39" t="str">
        <f t="shared" si="45"/>
        <v/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39">
        <v>42</v>
      </c>
      <c r="AT51" s="38" t="str">
        <f t="shared" si="26"/>
        <v/>
      </c>
      <c r="AU51" s="38" t="str">
        <f t="shared" si="27"/>
        <v/>
      </c>
      <c r="AV51" s="38" t="str">
        <f t="shared" si="28"/>
        <v/>
      </c>
      <c r="AW51" s="227"/>
      <c r="AX51" s="227"/>
      <c r="AY51" s="13"/>
      <c r="AZ51" s="6"/>
      <c r="BA51" s="6"/>
      <c r="BB51" s="215"/>
      <c r="BC51" s="215"/>
      <c r="BD51" s="39">
        <f t="shared" si="77"/>
        <v>0</v>
      </c>
      <c r="BE51" s="39">
        <f t="shared" si="69"/>
        <v>0</v>
      </c>
      <c r="BF51" s="39">
        <f t="shared" si="78"/>
        <v>0</v>
      </c>
      <c r="BG51" s="6"/>
      <c r="BH51" s="6"/>
      <c r="BI51" s="6"/>
      <c r="BJ51" s="6"/>
      <c r="BK51" s="6"/>
      <c r="BL51" s="6"/>
    </row>
    <row r="52" spans="2:64" x14ac:dyDescent="0.3">
      <c r="B52" s="451">
        <v>43</v>
      </c>
      <c r="C52" s="6"/>
      <c r="D52" s="6"/>
      <c r="E52" s="451">
        <v>2</v>
      </c>
      <c r="F52" s="13"/>
      <c r="G52" s="6"/>
      <c r="H52" s="6"/>
      <c r="I52" s="6"/>
      <c r="J52" s="13"/>
      <c r="K52" s="13"/>
      <c r="L52" s="13"/>
      <c r="M52" s="13"/>
      <c r="N52" s="6"/>
      <c r="O52" s="6"/>
      <c r="P52" s="13"/>
      <c r="Q52" s="451">
        <v>2</v>
      </c>
      <c r="R52" s="13"/>
      <c r="S52" s="13"/>
      <c r="T52" s="451">
        <v>108</v>
      </c>
      <c r="U52" s="6"/>
      <c r="V52" s="39" t="str">
        <f t="shared" si="45"/>
        <v/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39">
        <v>43</v>
      </c>
      <c r="AT52" s="38" t="str">
        <f t="shared" si="26"/>
        <v/>
      </c>
      <c r="AU52" s="38" t="str">
        <f t="shared" si="27"/>
        <v/>
      </c>
      <c r="AV52" s="38" t="str">
        <f t="shared" si="28"/>
        <v/>
      </c>
      <c r="AW52" s="227"/>
      <c r="AX52" s="227"/>
      <c r="AY52" s="13"/>
      <c r="AZ52" s="6"/>
      <c r="BA52" s="6"/>
      <c r="BB52" s="215"/>
      <c r="BC52" s="215"/>
      <c r="BD52" s="673">
        <f t="shared" si="77"/>
        <v>0</v>
      </c>
      <c r="BE52" s="673">
        <f t="shared" si="69"/>
        <v>0</v>
      </c>
      <c r="BF52" s="673">
        <f t="shared" si="78"/>
        <v>0</v>
      </c>
      <c r="BG52" s="6"/>
      <c r="BH52" s="6"/>
      <c r="BI52" s="6"/>
      <c r="BJ52" s="6"/>
      <c r="BK52" s="6"/>
      <c r="BL52" s="6"/>
    </row>
    <row r="53" spans="2:64" x14ac:dyDescent="0.3">
      <c r="B53" s="13">
        <v>44</v>
      </c>
      <c r="C53" s="6"/>
      <c r="D53" s="6"/>
      <c r="E53" s="13">
        <v>3</v>
      </c>
      <c r="F53" s="13"/>
      <c r="G53" s="6"/>
      <c r="H53" s="6"/>
      <c r="I53" s="6"/>
      <c r="J53" s="13"/>
      <c r="K53" s="13"/>
      <c r="L53" s="13"/>
      <c r="M53" s="13"/>
      <c r="N53" s="6"/>
      <c r="O53" s="6"/>
      <c r="P53" s="13"/>
      <c r="Q53" s="13">
        <v>3</v>
      </c>
      <c r="R53" s="13"/>
      <c r="S53" s="13"/>
      <c r="T53" s="13">
        <v>108</v>
      </c>
      <c r="U53" s="6"/>
      <c r="V53" s="39" t="str">
        <f t="shared" si="45"/>
        <v/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39">
        <v>44</v>
      </c>
      <c r="AT53" s="38" t="str">
        <f t="shared" si="26"/>
        <v/>
      </c>
      <c r="AU53" s="38" t="str">
        <f t="shared" si="27"/>
        <v/>
      </c>
      <c r="AV53" s="38" t="str">
        <f t="shared" si="28"/>
        <v/>
      </c>
      <c r="AW53" s="227"/>
      <c r="AX53" s="227"/>
      <c r="AY53" s="13"/>
      <c r="AZ53" s="6"/>
      <c r="BA53" s="6"/>
      <c r="BB53" s="215"/>
      <c r="BC53" s="215"/>
      <c r="BD53" s="39">
        <f t="shared" si="77"/>
        <v>0</v>
      </c>
      <c r="BE53" s="39">
        <f t="shared" si="69"/>
        <v>0</v>
      </c>
      <c r="BF53" s="39">
        <f t="shared" si="78"/>
        <v>0</v>
      </c>
      <c r="BG53" s="6"/>
      <c r="BH53" s="6"/>
      <c r="BI53" s="6"/>
      <c r="BJ53" s="6"/>
      <c r="BK53" s="6"/>
      <c r="BL53" s="6"/>
    </row>
    <row r="54" spans="2:64" x14ac:dyDescent="0.3">
      <c r="B54" s="451">
        <v>45</v>
      </c>
      <c r="C54" s="6"/>
      <c r="D54" s="6"/>
      <c r="E54" s="451">
        <v>2</v>
      </c>
      <c r="F54" s="13"/>
      <c r="G54" s="6"/>
      <c r="H54" s="6"/>
      <c r="I54" s="6"/>
      <c r="J54" s="13"/>
      <c r="K54" s="13"/>
      <c r="L54" s="13"/>
      <c r="M54" s="13"/>
      <c r="N54" s="6"/>
      <c r="O54" s="6"/>
      <c r="P54" s="13"/>
      <c r="Q54" s="451">
        <v>2</v>
      </c>
      <c r="R54" s="13"/>
      <c r="S54" s="13"/>
      <c r="T54" s="451">
        <v>108</v>
      </c>
      <c r="U54" s="6"/>
      <c r="V54" s="39" t="str">
        <f t="shared" si="45"/>
        <v/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39">
        <v>45</v>
      </c>
      <c r="AT54" s="38" t="str">
        <f t="shared" si="26"/>
        <v/>
      </c>
      <c r="AU54" s="38" t="str">
        <f t="shared" si="27"/>
        <v/>
      </c>
      <c r="AV54" s="38" t="str">
        <f t="shared" si="28"/>
        <v/>
      </c>
      <c r="AW54" s="227"/>
      <c r="AX54" s="227"/>
      <c r="AY54" s="13"/>
      <c r="AZ54" s="6"/>
      <c r="BA54" s="6"/>
      <c r="BB54" s="215"/>
      <c r="BC54" s="215"/>
      <c r="BD54" s="673">
        <f t="shared" si="77"/>
        <v>0</v>
      </c>
      <c r="BE54" s="673">
        <f t="shared" si="69"/>
        <v>0</v>
      </c>
      <c r="BF54" s="673">
        <f t="shared" si="78"/>
        <v>0</v>
      </c>
      <c r="BG54" s="6"/>
      <c r="BH54" s="6"/>
      <c r="BI54" s="6"/>
      <c r="BJ54" s="6"/>
      <c r="BK54" s="6"/>
      <c r="BL54" s="6"/>
    </row>
    <row r="55" spans="2:64" x14ac:dyDescent="0.3">
      <c r="B55" s="13">
        <v>46</v>
      </c>
      <c r="C55" s="6"/>
      <c r="D55" s="6"/>
      <c r="E55" s="13">
        <v>3</v>
      </c>
      <c r="F55" s="13"/>
      <c r="G55" s="6"/>
      <c r="H55" s="6"/>
      <c r="I55" s="6"/>
      <c r="J55" s="13"/>
      <c r="K55" s="13"/>
      <c r="L55" s="13"/>
      <c r="M55" s="13"/>
      <c r="N55" s="6"/>
      <c r="O55" s="6"/>
      <c r="P55" s="13"/>
      <c r="Q55" s="13">
        <v>3</v>
      </c>
      <c r="R55" s="13"/>
      <c r="S55" s="13"/>
      <c r="T55" s="13">
        <v>108</v>
      </c>
      <c r="U55" s="6"/>
      <c r="V55" s="39" t="str">
        <f t="shared" si="45"/>
        <v/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39">
        <v>46</v>
      </c>
      <c r="AT55" s="38" t="str">
        <f t="shared" si="26"/>
        <v/>
      </c>
      <c r="AU55" s="38" t="str">
        <f t="shared" si="27"/>
        <v/>
      </c>
      <c r="AV55" s="38" t="str">
        <f t="shared" si="28"/>
        <v/>
      </c>
      <c r="AW55" s="227"/>
      <c r="AX55" s="227"/>
      <c r="AY55" s="13"/>
      <c r="AZ55" s="6"/>
      <c r="BA55" s="6"/>
      <c r="BB55" s="215"/>
      <c r="BC55" s="215"/>
      <c r="BD55" s="39">
        <f t="shared" si="77"/>
        <v>0</v>
      </c>
      <c r="BE55" s="39">
        <f t="shared" si="69"/>
        <v>0</v>
      </c>
      <c r="BF55" s="39">
        <f t="shared" si="78"/>
        <v>0</v>
      </c>
      <c r="BG55" s="6"/>
      <c r="BH55" s="6"/>
      <c r="BI55" s="6"/>
      <c r="BJ55" s="6"/>
      <c r="BK55" s="6"/>
      <c r="BL55" s="6"/>
    </row>
    <row r="56" spans="2:64" x14ac:dyDescent="0.3">
      <c r="B56" s="451">
        <v>47</v>
      </c>
      <c r="C56" s="6"/>
      <c r="D56" s="6"/>
      <c r="E56" s="451">
        <v>2</v>
      </c>
      <c r="F56" s="13"/>
      <c r="G56" s="6"/>
      <c r="H56" s="6"/>
      <c r="I56" s="6"/>
      <c r="J56" s="13"/>
      <c r="K56" s="13"/>
      <c r="L56" s="13"/>
      <c r="M56" s="13"/>
      <c r="N56" s="6"/>
      <c r="O56" s="6"/>
      <c r="P56" s="13"/>
      <c r="Q56" s="451">
        <v>2</v>
      </c>
      <c r="R56" s="13"/>
      <c r="S56" s="13"/>
      <c r="T56" s="451">
        <v>108</v>
      </c>
      <c r="U56" s="6"/>
      <c r="V56" s="39" t="str">
        <f t="shared" si="45"/>
        <v/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459">
        <v>47</v>
      </c>
      <c r="AT56" s="38" t="str">
        <f t="shared" si="26"/>
        <v/>
      </c>
      <c r="AU56" s="38" t="str">
        <f t="shared" si="27"/>
        <v/>
      </c>
      <c r="AV56" s="38" t="str">
        <f t="shared" si="28"/>
        <v/>
      </c>
      <c r="AW56" s="227"/>
      <c r="AX56" s="227"/>
      <c r="AY56" s="13"/>
      <c r="AZ56" s="6"/>
      <c r="BA56" s="6"/>
      <c r="BB56" s="215"/>
      <c r="BC56" s="215"/>
      <c r="BD56" s="673">
        <f t="shared" si="77"/>
        <v>0</v>
      </c>
      <c r="BE56" s="673">
        <f t="shared" si="69"/>
        <v>0</v>
      </c>
      <c r="BF56" s="673">
        <f t="shared" si="78"/>
        <v>0</v>
      </c>
      <c r="BG56" s="6"/>
      <c r="BH56" s="6"/>
      <c r="BI56" s="6"/>
      <c r="BJ56" s="6"/>
      <c r="BK56" s="6"/>
      <c r="BL56" s="6"/>
    </row>
    <row r="57" spans="2:64" x14ac:dyDescent="0.3">
      <c r="B57" s="13">
        <v>48</v>
      </c>
      <c r="C57" s="6"/>
      <c r="D57" s="6"/>
      <c r="E57" s="13">
        <v>3</v>
      </c>
      <c r="F57" s="13"/>
      <c r="G57" s="6"/>
      <c r="H57" s="6"/>
      <c r="I57" s="6"/>
      <c r="J57" s="13"/>
      <c r="K57" s="13"/>
      <c r="L57" s="13"/>
      <c r="M57" s="13"/>
      <c r="N57" s="6"/>
      <c r="O57" s="6"/>
      <c r="P57" s="13"/>
      <c r="Q57" s="13">
        <v>3</v>
      </c>
      <c r="R57" s="13"/>
      <c r="S57" s="13"/>
      <c r="T57" s="13">
        <v>108</v>
      </c>
      <c r="U57" s="6"/>
      <c r="V57" s="39" t="str">
        <f t="shared" si="45"/>
        <v/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39">
        <v>48</v>
      </c>
      <c r="AT57" s="38" t="str">
        <f t="shared" si="26"/>
        <v/>
      </c>
      <c r="AU57" s="38" t="str">
        <f t="shared" si="27"/>
        <v/>
      </c>
      <c r="AV57" s="38" t="str">
        <f t="shared" si="28"/>
        <v/>
      </c>
      <c r="AW57" s="227"/>
      <c r="AX57" s="227"/>
      <c r="AY57" s="13"/>
      <c r="AZ57" s="6"/>
      <c r="BA57" s="6"/>
      <c r="BB57" s="215"/>
      <c r="BC57" s="215"/>
      <c r="BD57" s="39">
        <f t="shared" si="77"/>
        <v>0</v>
      </c>
      <c r="BE57" s="39">
        <f t="shared" si="69"/>
        <v>0</v>
      </c>
      <c r="BF57" s="39">
        <f t="shared" si="78"/>
        <v>0</v>
      </c>
      <c r="BG57" s="6"/>
      <c r="BH57" s="6"/>
      <c r="BI57" s="6"/>
      <c r="BJ57" s="6"/>
      <c r="BK57" s="6"/>
      <c r="BL57" s="6"/>
    </row>
    <row r="58" spans="2:64" x14ac:dyDescent="0.3">
      <c r="B58" s="451">
        <v>49</v>
      </c>
      <c r="C58" s="6"/>
      <c r="D58" s="6"/>
      <c r="E58" s="451">
        <v>2</v>
      </c>
      <c r="F58" s="13"/>
      <c r="G58" s="6"/>
      <c r="H58" s="6"/>
      <c r="I58" s="6"/>
      <c r="J58" s="13"/>
      <c r="K58" s="13"/>
      <c r="L58" s="13"/>
      <c r="M58" s="13"/>
      <c r="N58" s="6"/>
      <c r="O58" s="6"/>
      <c r="P58" s="13"/>
      <c r="Q58" s="451">
        <v>2</v>
      </c>
      <c r="R58" s="13"/>
      <c r="S58" s="13"/>
      <c r="T58" s="451">
        <v>108</v>
      </c>
      <c r="U58" s="6"/>
      <c r="V58" s="39" t="str">
        <f t="shared" si="45"/>
        <v/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39">
        <v>49</v>
      </c>
      <c r="AT58" s="38" t="str">
        <f t="shared" si="26"/>
        <v/>
      </c>
      <c r="AU58" s="38" t="str">
        <f t="shared" si="27"/>
        <v/>
      </c>
      <c r="AV58" s="38" t="str">
        <f t="shared" si="28"/>
        <v/>
      </c>
      <c r="AW58" s="227"/>
      <c r="AX58" s="227"/>
      <c r="AY58" s="13"/>
      <c r="AZ58" s="6"/>
      <c r="BA58" s="6"/>
      <c r="BB58" s="215"/>
      <c r="BC58" s="215"/>
      <c r="BD58" s="673">
        <f t="shared" si="77"/>
        <v>0</v>
      </c>
      <c r="BE58" s="673">
        <f t="shared" si="69"/>
        <v>0</v>
      </c>
      <c r="BF58" s="673">
        <f t="shared" si="78"/>
        <v>0</v>
      </c>
      <c r="BG58" s="6"/>
      <c r="BH58" s="6"/>
      <c r="BI58" s="6"/>
      <c r="BJ58" s="6"/>
      <c r="BK58" s="6"/>
      <c r="BL58" s="6"/>
    </row>
    <row r="59" spans="2:64" x14ac:dyDescent="0.3">
      <c r="B59" s="13">
        <v>50</v>
      </c>
      <c r="C59" s="6"/>
      <c r="D59" s="6"/>
      <c r="E59" s="13">
        <v>3</v>
      </c>
      <c r="F59" s="13"/>
      <c r="G59" s="6"/>
      <c r="H59" s="6"/>
      <c r="I59" s="6"/>
      <c r="J59" s="13"/>
      <c r="K59" s="13"/>
      <c r="L59" s="13"/>
      <c r="M59" s="13"/>
      <c r="N59" s="6"/>
      <c r="O59" s="6"/>
      <c r="P59" s="13"/>
      <c r="Q59" s="13">
        <v>3</v>
      </c>
      <c r="R59" s="13"/>
      <c r="S59" s="13"/>
      <c r="T59" s="13">
        <v>108</v>
      </c>
      <c r="U59" s="6"/>
      <c r="V59" s="39" t="str">
        <f t="shared" si="45"/>
        <v/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39">
        <v>50</v>
      </c>
      <c r="AT59" s="38" t="str">
        <f t="shared" si="26"/>
        <v/>
      </c>
      <c r="AU59" s="38" t="str">
        <f t="shared" si="27"/>
        <v/>
      </c>
      <c r="AV59" s="38" t="str">
        <f t="shared" si="28"/>
        <v/>
      </c>
      <c r="AW59" s="227"/>
      <c r="AX59" s="227"/>
      <c r="AY59" s="13"/>
      <c r="AZ59" s="6"/>
      <c r="BA59" s="6"/>
      <c r="BB59" s="215"/>
      <c r="BC59" s="215"/>
      <c r="BD59" s="39">
        <f t="shared" si="77"/>
        <v>0</v>
      </c>
      <c r="BE59" s="39">
        <f t="shared" si="69"/>
        <v>0</v>
      </c>
      <c r="BF59" s="39">
        <f t="shared" si="78"/>
        <v>0</v>
      </c>
      <c r="BG59" s="6"/>
      <c r="BH59" s="6"/>
      <c r="BI59" s="6"/>
      <c r="BJ59" s="6"/>
      <c r="BK59" s="6"/>
      <c r="BL59" s="6"/>
    </row>
    <row r="60" spans="2:64" x14ac:dyDescent="0.3">
      <c r="B60" s="451">
        <v>51</v>
      </c>
      <c r="C60" s="135">
        <f>AVERAGE(C10:C59)</f>
        <v>37.908333333333331</v>
      </c>
      <c r="D60" s="135">
        <f>AVERAGE(D10:D59)</f>
        <v>8.6503110555921428</v>
      </c>
      <c r="E60" s="134"/>
      <c r="F60" s="134"/>
      <c r="G60" s="134"/>
      <c r="H60" s="134"/>
      <c r="I60" s="134"/>
      <c r="J60" s="134"/>
      <c r="K60" s="134"/>
      <c r="L60" s="134"/>
      <c r="M60" s="134"/>
      <c r="N60" s="135">
        <f>AVERAGE(N10:N59)</f>
        <v>374.2337837500001</v>
      </c>
      <c r="O60" s="135"/>
      <c r="P60" s="134"/>
      <c r="Q60" s="134"/>
      <c r="R60" s="134"/>
      <c r="S60" s="134"/>
      <c r="T60" s="134"/>
      <c r="U60" s="134"/>
      <c r="V60" s="135" t="str">
        <f t="shared" si="45"/>
        <v/>
      </c>
      <c r="W60" s="134"/>
      <c r="X60" s="207">
        <f>AVERAGE(X10:X59)</f>
        <v>0.69086382275132274</v>
      </c>
      <c r="Y60" s="207">
        <f>AVERAGE(Y10:Y59)</f>
        <v>0.80796461640211648</v>
      </c>
      <c r="Z60" s="207">
        <f>AVERAGE(Z10:Z59)</f>
        <v>11.568761574074074</v>
      </c>
      <c r="AA60" s="207">
        <f>AVERAGE(AA10:AA59)</f>
        <v>0.67293435388177425</v>
      </c>
      <c r="AB60" s="207">
        <f t="shared" ref="AB60:AC60" si="79">AVERAGE(AB10:AB59)</f>
        <v>0.80640480099848277</v>
      </c>
      <c r="AC60" s="207">
        <f t="shared" si="79"/>
        <v>11.329079886168605</v>
      </c>
      <c r="AD60" s="134"/>
      <c r="AE60" s="134"/>
      <c r="AF60" s="207">
        <f>AVERAGE(AF10:AF59)</f>
        <v>9.5149999999999998E-2</v>
      </c>
      <c r="AG60" s="207">
        <f t="shared" ref="AG60:AI60" si="80">AVERAGE(AG10:AG59)</f>
        <v>0.37657407407407412</v>
      </c>
      <c r="AH60" s="207">
        <f t="shared" si="80"/>
        <v>10.881162037037036</v>
      </c>
      <c r="AI60" s="207">
        <f t="shared" si="80"/>
        <v>2.608333333333333E-2</v>
      </c>
      <c r="AJ60" s="134"/>
      <c r="AK60" s="134"/>
      <c r="AL60" s="135">
        <f>SUM(AL10:AL59)</f>
        <v>2768.3433251270421</v>
      </c>
      <c r="AM60" s="135">
        <f t="shared" ref="AM60:AN60" si="81">SUM(AM10:AM59)</f>
        <v>3362.06950184366</v>
      </c>
      <c r="AN60" s="135">
        <f t="shared" si="81"/>
        <v>48304.761469779078</v>
      </c>
      <c r="AO60" s="135">
        <f>SUM(AO10:AO59)</f>
        <v>387.72331697290275</v>
      </c>
      <c r="AP60" s="135">
        <f t="shared" ref="AP60:AR60" si="82">SUM(AP10:AP59)</f>
        <v>1592.7629814705558</v>
      </c>
      <c r="AQ60" s="135">
        <f t="shared" si="82"/>
        <v>45982.050583922508</v>
      </c>
      <c r="AR60" s="135">
        <f t="shared" si="82"/>
        <v>193.14004204</v>
      </c>
      <c r="AS60" s="134"/>
      <c r="AT60" s="232">
        <f>AVERAGE(AT10:AT59)</f>
        <v>0.78601784234802674</v>
      </c>
      <c r="AU60" s="232">
        <f t="shared" ref="AU60:AV60" si="83">AVERAGE(AU10:AU59)</f>
        <v>0.54565577449051206</v>
      </c>
      <c r="AV60" s="232">
        <f t="shared" si="83"/>
        <v>7.9923219394369319E-2</v>
      </c>
      <c r="AW60" s="228"/>
      <c r="AX60" s="228"/>
      <c r="AY60" s="134"/>
      <c r="AZ60" s="206"/>
      <c r="BA60" s="206"/>
      <c r="BB60" s="216"/>
      <c r="BC60" s="216"/>
      <c r="BD60" s="219"/>
      <c r="BE60" s="219"/>
      <c r="BF60" s="219"/>
      <c r="BG60" s="206"/>
      <c r="BH60" s="206"/>
      <c r="BI60" s="206"/>
      <c r="BJ60" s="206"/>
      <c r="BK60" s="206"/>
      <c r="BL60" s="206"/>
    </row>
    <row r="61" spans="2:64" x14ac:dyDescent="0.3">
      <c r="B61" s="13">
        <v>52</v>
      </c>
      <c r="C61" s="135">
        <f>SUM(C10:C59)</f>
        <v>454.9</v>
      </c>
      <c r="D61" s="135"/>
      <c r="E61" s="134"/>
      <c r="F61" s="134"/>
      <c r="G61" s="134"/>
      <c r="H61" s="134"/>
      <c r="I61" s="134"/>
      <c r="J61" s="134"/>
      <c r="K61" s="134"/>
      <c r="L61" s="134"/>
      <c r="M61" s="134"/>
      <c r="N61" s="135">
        <f>SUM(N10:N11)+SUM(O12:O59)</f>
        <v>3994.3035052499999</v>
      </c>
      <c r="O61" s="135"/>
      <c r="P61" s="134"/>
      <c r="Q61" s="134"/>
      <c r="R61" s="134"/>
      <c r="S61" s="134"/>
      <c r="T61" s="134"/>
      <c r="U61" s="134"/>
      <c r="V61" s="135" t="str">
        <f t="shared" si="45"/>
        <v/>
      </c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206"/>
      <c r="AV61" s="206"/>
      <c r="AW61" s="228"/>
      <c r="AX61" s="228"/>
      <c r="AY61" s="134"/>
      <c r="AZ61" s="206"/>
      <c r="BA61" s="206"/>
      <c r="BB61" s="216"/>
      <c r="BC61" s="216"/>
      <c r="BD61" s="984">
        <f>SUM(BD10:BD59)</f>
        <v>2187.4799661141392</v>
      </c>
      <c r="BE61" s="984">
        <f>SUM(BE10:BE59)</f>
        <v>1769.3065203731048</v>
      </c>
      <c r="BF61" s="984">
        <f>SUM(BF10:BF59)</f>
        <v>2322.7108858565807</v>
      </c>
      <c r="BG61" s="135"/>
      <c r="BH61" s="134"/>
      <c r="BI61" s="134"/>
      <c r="BJ61" s="206"/>
      <c r="BK61" s="206"/>
      <c r="BL61" s="206"/>
    </row>
    <row r="62" spans="2:64" x14ac:dyDescent="0.3">
      <c r="N62" s="10"/>
      <c r="V62" s="39" t="str">
        <f t="shared" si="45"/>
        <v/>
      </c>
      <c r="W62" s="1" t="s">
        <v>205</v>
      </c>
      <c r="X62" s="244">
        <f>MEDIAN(X10:X59)</f>
        <v>0.64487500000000009</v>
      </c>
      <c r="Y62" s="244">
        <f t="shared" ref="Y62:Z62" si="84">MEDIAN(Y10:Y59)</f>
        <v>0.70041666666666669</v>
      </c>
      <c r="Z62" s="244">
        <f t="shared" si="84"/>
        <v>9.4826388888888893</v>
      </c>
      <c r="AA62" s="244">
        <f>MEDIAN(AA10:AA59)</f>
        <v>0.63680830617586415</v>
      </c>
      <c r="AB62" s="244">
        <f t="shared" ref="AB62:AC62" si="85">MEDIAN(AB10:AB59)</f>
        <v>0.70562215346358503</v>
      </c>
      <c r="AC62" s="244">
        <f t="shared" si="85"/>
        <v>9.5941564277004581</v>
      </c>
      <c r="BD62" s="6"/>
      <c r="BE62" s="6"/>
      <c r="BF62" s="6"/>
      <c r="BG62" s="9"/>
      <c r="BH62" s="9"/>
      <c r="BI62" s="9"/>
    </row>
    <row r="63" spans="2:64" x14ac:dyDescent="0.3">
      <c r="E63" s="10">
        <f>O14+O15</f>
        <v>544.02271250000013</v>
      </c>
      <c r="O63" s="10"/>
      <c r="V63" s="39" t="str">
        <f t="shared" si="45"/>
        <v/>
      </c>
      <c r="AL63" s="43">
        <f>AL60-(AO60+AR60)</f>
        <v>2187.4799661141396</v>
      </c>
      <c r="BD63" s="10">
        <f>BD61*0.8</f>
        <v>1749.9839728913114</v>
      </c>
    </row>
    <row r="64" spans="2:64" x14ac:dyDescent="0.3">
      <c r="E64" s="10">
        <f>E63/SUM(C14:C15)</f>
        <v>19.417824360499708</v>
      </c>
      <c r="F64" s="12" t="s">
        <v>36</v>
      </c>
      <c r="N64" s="10"/>
      <c r="O64" s="10"/>
      <c r="Y64" s="136"/>
    </row>
    <row r="65" spans="5:59" x14ac:dyDescent="0.3">
      <c r="E65" s="10">
        <f>(O19+O20)/SUM(C19:C20)</f>
        <v>8.5546918470971463</v>
      </c>
      <c r="AO65" s="1272" t="s">
        <v>310</v>
      </c>
      <c r="AP65" s="1272"/>
      <c r="AQ65" s="1272"/>
      <c r="AR65" s="1272"/>
      <c r="AS65" s="249"/>
      <c r="AT65" s="131" t="s">
        <v>331</v>
      </c>
      <c r="AU65" s="1484" t="s">
        <v>260</v>
      </c>
      <c r="AV65" s="1484"/>
      <c r="AW65" s="1484"/>
      <c r="AX65" s="429"/>
      <c r="AY65" s="1290" t="s">
        <v>256</v>
      </c>
      <c r="AZ65" s="1291"/>
      <c r="BA65" s="1291"/>
      <c r="BB65" s="1291"/>
      <c r="BC65" s="1291"/>
      <c r="BD65" s="1292"/>
      <c r="BE65" s="1485" t="s">
        <v>277</v>
      </c>
      <c r="BF65" s="1486"/>
      <c r="BG65" s="1487"/>
    </row>
    <row r="66" spans="5:59" x14ac:dyDescent="0.3">
      <c r="F66" s="43"/>
      <c r="J66" s="223" t="s">
        <v>305</v>
      </c>
      <c r="K66" s="223"/>
      <c r="L66" s="223"/>
      <c r="M66" s="223" t="s">
        <v>306</v>
      </c>
      <c r="N66" s="223" t="s">
        <v>307</v>
      </c>
      <c r="O66" s="223"/>
      <c r="P66" s="223" t="s">
        <v>308</v>
      </c>
      <c r="Q66" s="223"/>
      <c r="R66" s="223"/>
      <c r="S66" s="223"/>
      <c r="T66" s="223"/>
      <c r="U66" s="223" t="s">
        <v>309</v>
      </c>
      <c r="AO66" s="223"/>
      <c r="AP66" s="223" t="s">
        <v>253</v>
      </c>
      <c r="AQ66" s="223" t="s">
        <v>254</v>
      </c>
      <c r="AR66" s="223" t="s">
        <v>255</v>
      </c>
      <c r="AS66" s="249"/>
      <c r="AT66" s="131" t="s">
        <v>294</v>
      </c>
      <c r="AU66" s="1484" t="s">
        <v>261</v>
      </c>
      <c r="AV66" s="1484"/>
      <c r="AW66" s="1484"/>
      <c r="AX66" s="429"/>
      <c r="AY66" s="1290" t="s">
        <v>263</v>
      </c>
      <c r="AZ66" s="1291"/>
      <c r="BA66" s="1292"/>
      <c r="BB66" s="1290" t="s">
        <v>264</v>
      </c>
      <c r="BC66" s="1291"/>
      <c r="BD66" s="1292"/>
      <c r="BE66" s="1290" t="s">
        <v>40</v>
      </c>
      <c r="BF66" s="1291"/>
      <c r="BG66" s="1292"/>
    </row>
    <row r="67" spans="5:59" x14ac:dyDescent="0.3">
      <c r="F67" s="43"/>
      <c r="J67" s="39">
        <f>SUM(C10:C59)</f>
        <v>454.9</v>
      </c>
      <c r="K67" s="39"/>
      <c r="L67" s="39"/>
      <c r="M67" s="39">
        <f>'Milling Down Time Hours'!P60</f>
        <v>317.63333333333333</v>
      </c>
      <c r="N67" s="39">
        <f>N61/J67</f>
        <v>8.7806188288634868</v>
      </c>
      <c r="O67" s="39"/>
      <c r="P67" s="39">
        <f>(N61/J68)</f>
        <v>210.7348518927237</v>
      </c>
      <c r="Q67" s="39"/>
      <c r="R67" s="39"/>
      <c r="S67" s="39"/>
      <c r="T67" s="39"/>
      <c r="U67" s="39">
        <f>(J67+M67)/24</f>
        <v>32.18888888888889</v>
      </c>
      <c r="AO67" s="13" t="s">
        <v>330</v>
      </c>
      <c r="AP67" s="133">
        <f>AVERAGE(X10:X15)</f>
        <v>0.7364814814814814</v>
      </c>
      <c r="AQ67" s="133">
        <f t="shared" ref="AQ67:AR67" si="86">AVERAGE(Y10:Y15)</f>
        <v>0.64749537037037042</v>
      </c>
      <c r="AR67" s="133">
        <f t="shared" si="86"/>
        <v>8.5190601851851842</v>
      </c>
      <c r="AS67" s="244"/>
      <c r="AT67" s="131" t="s">
        <v>70</v>
      </c>
      <c r="AU67" s="131" t="s">
        <v>253</v>
      </c>
      <c r="AV67" s="131" t="s">
        <v>254</v>
      </c>
      <c r="AW67" s="226" t="s">
        <v>255</v>
      </c>
      <c r="AX67" s="226"/>
      <c r="AY67" s="131" t="s">
        <v>253</v>
      </c>
      <c r="AZ67" s="131" t="s">
        <v>254</v>
      </c>
      <c r="BA67" s="131" t="s">
        <v>255</v>
      </c>
      <c r="BB67" s="131" t="s">
        <v>253</v>
      </c>
      <c r="BC67" s="131" t="s">
        <v>254</v>
      </c>
      <c r="BD67" s="131" t="s">
        <v>255</v>
      </c>
      <c r="BE67" s="131" t="s">
        <v>253</v>
      </c>
      <c r="BF67" s="131" t="s">
        <v>254</v>
      </c>
      <c r="BG67" s="131" t="s">
        <v>255</v>
      </c>
    </row>
    <row r="68" spans="5:59" x14ac:dyDescent="0.3">
      <c r="F68" s="43"/>
      <c r="J68" s="43">
        <f>J67/24</f>
        <v>18.954166666666666</v>
      </c>
      <c r="K68" s="43"/>
      <c r="L68" s="43"/>
      <c r="M68" s="43">
        <f>M67/24</f>
        <v>13.234722222222222</v>
      </c>
      <c r="AD68" s="1484" t="s">
        <v>260</v>
      </c>
      <c r="AE68" s="1484"/>
      <c r="AF68" s="1484"/>
      <c r="AG68" s="1484"/>
      <c r="AH68" s="1484"/>
      <c r="AO68" s="13" t="s">
        <v>201</v>
      </c>
      <c r="AP68" s="133">
        <f>MEDIAN(X10:X15)</f>
        <v>0.69599999999999995</v>
      </c>
      <c r="AQ68" s="133">
        <f t="shared" ref="AQ68:AR68" si="87">MEDIAN(Y10:Y15)</f>
        <v>0.66361111111111115</v>
      </c>
      <c r="AR68" s="133">
        <f t="shared" si="87"/>
        <v>9.0461111111111094</v>
      </c>
      <c r="AS68" s="244"/>
      <c r="AT68" s="13">
        <v>1</v>
      </c>
      <c r="AU68" s="133">
        <v>0.70799999999999996</v>
      </c>
      <c r="AV68" s="133">
        <v>0.53525</v>
      </c>
      <c r="AW68" s="1150">
        <v>7.2224166666666676</v>
      </c>
      <c r="AX68" s="1153"/>
      <c r="AY68" s="133">
        <v>5.5750000000000001E-2</v>
      </c>
      <c r="AZ68" s="133">
        <v>0.17</v>
      </c>
      <c r="BA68" s="133">
        <v>6.55</v>
      </c>
      <c r="BB68" s="133">
        <v>0.02</v>
      </c>
      <c r="BC68" s="6"/>
      <c r="BD68" s="6"/>
      <c r="BE68" s="39">
        <v>182.24861759999996</v>
      </c>
      <c r="BF68" s="39">
        <v>115.88364543032668</v>
      </c>
      <c r="BG68" s="39">
        <v>259.10087657468716</v>
      </c>
    </row>
    <row r="69" spans="5:59" x14ac:dyDescent="0.3">
      <c r="F69" s="43"/>
      <c r="AD69" s="1374" t="s">
        <v>259</v>
      </c>
      <c r="AE69" s="1374" t="s">
        <v>487</v>
      </c>
      <c r="AF69" s="1484" t="s">
        <v>261</v>
      </c>
      <c r="AG69" s="1484"/>
      <c r="AH69" s="1484"/>
      <c r="AO69" s="13" t="s">
        <v>203</v>
      </c>
      <c r="AP69" s="133">
        <f>MIN(X10:X15)</f>
        <v>0.57608333333333328</v>
      </c>
      <c r="AQ69" s="133">
        <f t="shared" ref="AQ69:AR69" si="88">MIN(Y10:Y15)</f>
        <v>0.49666666666666665</v>
      </c>
      <c r="AR69" s="133">
        <f t="shared" si="88"/>
        <v>7.2224166666666676</v>
      </c>
      <c r="AS69" s="244"/>
      <c r="AT69" s="13">
        <v>2</v>
      </c>
      <c r="AU69" s="133">
        <v>0.68400000000000005</v>
      </c>
      <c r="AV69" s="133">
        <v>0.79333333333333333</v>
      </c>
      <c r="AW69" s="1150">
        <v>9.051111111111112</v>
      </c>
      <c r="AX69" s="1153"/>
      <c r="AY69" s="133">
        <v>5.5749999999999994E-2</v>
      </c>
      <c r="AZ69" s="133">
        <v>0.25</v>
      </c>
      <c r="BA69" s="133">
        <v>8.3524999999999991</v>
      </c>
      <c r="BB69" s="133">
        <v>2.9000000000000001E-2</v>
      </c>
      <c r="BC69" s="6"/>
      <c r="BD69" s="6"/>
      <c r="BE69" s="39">
        <v>177.02628308750002</v>
      </c>
      <c r="BF69" s="39">
        <v>163.07723483333334</v>
      </c>
      <c r="BG69" s="39">
        <v>209.68264090277808</v>
      </c>
    </row>
    <row r="70" spans="5:59" x14ac:dyDescent="0.3">
      <c r="F70" s="43"/>
      <c r="J70" s="223" t="s">
        <v>305</v>
      </c>
      <c r="K70" s="223"/>
      <c r="L70" s="223"/>
      <c r="M70" s="39">
        <f>J67</f>
        <v>454.9</v>
      </c>
      <c r="O70" s="10"/>
      <c r="AD70" s="1374"/>
      <c r="AE70" s="1374"/>
      <c r="AF70" s="131" t="s">
        <v>253</v>
      </c>
      <c r="AG70" s="131" t="s">
        <v>254</v>
      </c>
      <c r="AH70" s="131" t="s">
        <v>255</v>
      </c>
      <c r="AO70" s="13" t="s">
        <v>202</v>
      </c>
      <c r="AP70" s="133">
        <f>MAX(X10:X15)</f>
        <v>0.93455555555555547</v>
      </c>
      <c r="AQ70" s="133">
        <f t="shared" ref="AQ70:AR70" si="89">MAX(Y10:Y15)</f>
        <v>0.79333333333333333</v>
      </c>
      <c r="AR70" s="133">
        <f t="shared" si="89"/>
        <v>9.1508333333333347</v>
      </c>
      <c r="AS70" s="244"/>
      <c r="AT70" s="13">
        <v>3</v>
      </c>
      <c r="AU70" s="133">
        <v>0.93455555555555547</v>
      </c>
      <c r="AV70" s="133">
        <v>0.65888888888888886</v>
      </c>
      <c r="AW70" s="1150">
        <v>9.0688888888888908</v>
      </c>
      <c r="AX70" s="1153"/>
      <c r="AY70" s="133">
        <v>9.816666666666668E-2</v>
      </c>
      <c r="AZ70" s="133">
        <v>0.23333333333333331</v>
      </c>
      <c r="BA70" s="133">
        <v>8.9633333333333329</v>
      </c>
      <c r="BB70" s="133">
        <v>2.3E-2</v>
      </c>
      <c r="BC70" s="6"/>
      <c r="BD70" s="6"/>
      <c r="BE70" s="39">
        <v>262.75300891187504</v>
      </c>
      <c r="BF70" s="39">
        <v>139.14425331750002</v>
      </c>
      <c r="BG70" s="39">
        <v>34.513587637501132</v>
      </c>
    </row>
    <row r="71" spans="5:59" x14ac:dyDescent="0.3">
      <c r="F71" s="43"/>
      <c r="J71" s="223" t="s">
        <v>306</v>
      </c>
      <c r="K71" s="223"/>
      <c r="L71" s="223"/>
      <c r="M71" s="39">
        <f>M67</f>
        <v>317.63333333333333</v>
      </c>
      <c r="AD71" s="13">
        <v>1</v>
      </c>
      <c r="AE71" s="13">
        <v>2</v>
      </c>
      <c r="AF71" s="419">
        <v>0.70799999999999996</v>
      </c>
      <c r="AG71" s="419">
        <v>0.53525</v>
      </c>
      <c r="AH71" s="419">
        <v>7.2224166666666676</v>
      </c>
      <c r="AT71" s="13">
        <v>4</v>
      </c>
      <c r="AU71" s="133">
        <v>0.92891666666666661</v>
      </c>
      <c r="AV71" s="133">
        <v>0.73249999999999993</v>
      </c>
      <c r="AW71" s="1150">
        <v>9.1508333333333347</v>
      </c>
      <c r="AX71" s="1153"/>
      <c r="AY71" s="133">
        <v>0.10916666666666668</v>
      </c>
      <c r="AZ71" s="133">
        <v>0.24</v>
      </c>
      <c r="BA71" s="133">
        <v>5.1633333333333331</v>
      </c>
      <c r="BB71" s="133">
        <v>3.3000000000000002E-2</v>
      </c>
      <c r="BC71" s="6"/>
      <c r="BD71" s="6"/>
      <c r="BE71" s="39">
        <v>244.204401375</v>
      </c>
      <c r="BF71" s="39">
        <v>156.09063524999999</v>
      </c>
      <c r="BG71" s="39">
        <v>1263.7795087500006</v>
      </c>
    </row>
    <row r="72" spans="5:59" x14ac:dyDescent="0.3">
      <c r="F72" s="43"/>
      <c r="J72" s="223" t="s">
        <v>313</v>
      </c>
      <c r="K72" s="223"/>
      <c r="L72" s="223"/>
      <c r="M72" s="39">
        <f>SUM(M70:M71)</f>
        <v>772.5333333333333</v>
      </c>
      <c r="AD72" s="13">
        <v>2</v>
      </c>
      <c r="AE72" s="13">
        <v>3</v>
      </c>
      <c r="AF72" s="419">
        <v>0.68400000000000005</v>
      </c>
      <c r="AG72" s="419">
        <v>0.79333333333333333</v>
      </c>
      <c r="AH72" s="419">
        <v>9.051111111111112</v>
      </c>
      <c r="AT72" s="13">
        <v>5</v>
      </c>
      <c r="AU72" s="133">
        <v>0.58733333333333337</v>
      </c>
      <c r="AV72" s="133">
        <v>0.49666666666666665</v>
      </c>
      <c r="AW72" s="1150">
        <v>9.0411111111111087</v>
      </c>
      <c r="AX72" s="1153"/>
      <c r="AY72" s="133">
        <v>0.12466666666666666</v>
      </c>
      <c r="AZ72" s="133">
        <v>0.37833333333333335</v>
      </c>
      <c r="BA72" s="133">
        <v>7.5183333333333335</v>
      </c>
      <c r="BB72" s="133">
        <v>2.5999999999999999E-2</v>
      </c>
      <c r="BC72" s="6"/>
      <c r="BD72" s="6"/>
      <c r="BE72" s="39">
        <v>110.70706613333334</v>
      </c>
      <c r="BF72" s="39">
        <v>31.593319666666673</v>
      </c>
      <c r="BG72" s="39">
        <v>406.56004322222157</v>
      </c>
    </row>
    <row r="73" spans="5:59" x14ac:dyDescent="0.3">
      <c r="F73" s="43"/>
      <c r="J73" s="223" t="s">
        <v>314</v>
      </c>
      <c r="K73" s="223"/>
      <c r="L73" s="223"/>
      <c r="M73" s="38">
        <f>M70/M72</f>
        <v>0.5888419054193994</v>
      </c>
      <c r="AD73" s="12"/>
      <c r="AT73" s="13">
        <v>6</v>
      </c>
      <c r="AU73" s="133">
        <v>0.57608333333333328</v>
      </c>
      <c r="AV73" s="133">
        <v>0.66833333333333333</v>
      </c>
      <c r="AW73" s="1150">
        <v>7.58</v>
      </c>
      <c r="AX73" s="1153"/>
      <c r="AY73" s="133">
        <v>4.3500000000000004E-2</v>
      </c>
      <c r="AZ73" s="133">
        <v>0.23799999999999999</v>
      </c>
      <c r="BA73" s="133">
        <v>7.3999999999999995</v>
      </c>
      <c r="BB73" s="133">
        <v>1.7999999999999999E-2</v>
      </c>
      <c r="BC73" s="6"/>
      <c r="BD73" s="6"/>
      <c r="BE73" s="39">
        <v>135.36042131562499</v>
      </c>
      <c r="BF73" s="39">
        <v>119.21821801250002</v>
      </c>
      <c r="BG73" s="39">
        <v>49.866644250000263</v>
      </c>
    </row>
    <row r="74" spans="5:59" x14ac:dyDescent="0.3">
      <c r="F74" s="43"/>
      <c r="J74" s="223" t="s">
        <v>36</v>
      </c>
      <c r="K74" s="223"/>
      <c r="L74" s="223"/>
      <c r="M74" s="419">
        <f>N67</f>
        <v>8.7806188288634868</v>
      </c>
      <c r="AD74" s="12"/>
      <c r="AT74" s="13">
        <v>7</v>
      </c>
      <c r="AU74" s="133">
        <v>0.53555555555555556</v>
      </c>
      <c r="AV74" s="133">
        <v>0.53555555555555556</v>
      </c>
      <c r="AW74" s="1150">
        <v>9.8144444444444439</v>
      </c>
      <c r="AX74" s="1153"/>
      <c r="AY74" s="133">
        <v>0.10016666666666667</v>
      </c>
      <c r="AZ74" s="133">
        <v>0.1466666666666667</v>
      </c>
      <c r="BA74" s="133">
        <v>8.1666666666666661</v>
      </c>
      <c r="BB74" s="133">
        <v>2.1999999999999999E-2</v>
      </c>
      <c r="BC74" s="6"/>
      <c r="BD74" s="6"/>
      <c r="BE74" s="39">
        <v>93.619818830833353</v>
      </c>
      <c r="BF74" s="39">
        <v>95.69679583333334</v>
      </c>
      <c r="BG74" s="39">
        <v>405.48099491666676</v>
      </c>
    </row>
    <row r="75" spans="5:59" x14ac:dyDescent="0.3">
      <c r="J75" s="223" t="s">
        <v>81</v>
      </c>
      <c r="K75" s="223"/>
      <c r="L75" s="223"/>
      <c r="M75" s="39">
        <f>P67</f>
        <v>210.7348518927237</v>
      </c>
      <c r="AD75" s="12"/>
      <c r="AT75" s="13">
        <v>8</v>
      </c>
      <c r="AU75" s="133">
        <v>0.58483333333333321</v>
      </c>
      <c r="AV75" s="133">
        <v>0.58833333333333337</v>
      </c>
      <c r="AW75" s="1150">
        <v>10.3775</v>
      </c>
      <c r="AX75" s="1153"/>
      <c r="AY75" s="133">
        <v>5.8888888888888893E-2</v>
      </c>
      <c r="AZ75" s="133">
        <v>0.38777777777777778</v>
      </c>
      <c r="BA75" s="133">
        <v>10.200000000000001</v>
      </c>
      <c r="BB75" s="133">
        <v>2.7E-2</v>
      </c>
      <c r="BC75" s="6"/>
      <c r="BD75" s="6"/>
      <c r="BE75" s="39">
        <v>171.11806721722218</v>
      </c>
      <c r="BF75" s="39">
        <v>73.292973627777798</v>
      </c>
      <c r="BG75" s="39">
        <v>64.867327074999594</v>
      </c>
    </row>
    <row r="76" spans="5:59" x14ac:dyDescent="0.3">
      <c r="J76" s="223" t="s">
        <v>309</v>
      </c>
      <c r="K76" s="223"/>
      <c r="L76" s="223"/>
      <c r="M76" s="39">
        <f>U67</f>
        <v>32.18888888888889</v>
      </c>
      <c r="AD76" s="12"/>
      <c r="AT76" s="13">
        <v>9</v>
      </c>
      <c r="AU76" s="133">
        <v>0.60575000000000001</v>
      </c>
      <c r="AV76" s="133">
        <v>0.86333333333333329</v>
      </c>
      <c r="AW76" s="1150">
        <v>14.675833333333332</v>
      </c>
      <c r="AX76" s="1153"/>
      <c r="AY76" s="133">
        <v>0.1028</v>
      </c>
      <c r="AZ76" s="133">
        <v>0.40700000000000003</v>
      </c>
      <c r="BA76" s="133">
        <v>14.752000000000001</v>
      </c>
      <c r="BB76" s="133">
        <v>1.7000000000000001E-2</v>
      </c>
      <c r="BC76" s="6"/>
      <c r="BD76" s="6"/>
      <c r="BE76" s="39">
        <v>224.76602081025004</v>
      </c>
      <c r="BF76" s="39">
        <v>215.87464155166666</v>
      </c>
      <c r="BG76" s="39">
        <v>61.097958765024487</v>
      </c>
    </row>
    <row r="77" spans="5:59" x14ac:dyDescent="0.3">
      <c r="J77" s="223" t="s">
        <v>329</v>
      </c>
      <c r="K77" s="223"/>
      <c r="L77" s="223"/>
      <c r="M77" s="38">
        <f>M67/(J67+M67)</f>
        <v>0.41115809458060065</v>
      </c>
      <c r="AT77" s="13">
        <v>10</v>
      </c>
      <c r="AU77" s="133">
        <v>0.82590476190476192</v>
      </c>
      <c r="AV77" s="133">
        <v>1.1390476190476191</v>
      </c>
      <c r="AW77" s="1150">
        <v>17.893333333333334</v>
      </c>
      <c r="AX77" s="1153"/>
      <c r="AY77" s="133">
        <v>0.14399999999999999</v>
      </c>
      <c r="AZ77" s="133">
        <v>0.49833333333333329</v>
      </c>
      <c r="BA77" s="133">
        <v>17.63</v>
      </c>
      <c r="BB77" s="133">
        <v>3.1E-2</v>
      </c>
      <c r="BC77" s="6"/>
      <c r="BD77" s="6"/>
      <c r="BE77" s="39">
        <v>249.31318300000004</v>
      </c>
      <c r="BF77" s="39">
        <v>249.53727093750007</v>
      </c>
      <c r="BG77" s="39">
        <v>96.438152794678899</v>
      </c>
    </row>
    <row r="78" spans="5:59" x14ac:dyDescent="0.3">
      <c r="AT78" s="13">
        <v>11</v>
      </c>
      <c r="AU78" s="133">
        <v>0.7294666666666666</v>
      </c>
      <c r="AV78" s="133">
        <v>1.3033333333333335</v>
      </c>
      <c r="AW78" s="1150">
        <v>18.880000000000003</v>
      </c>
      <c r="AX78" s="1153"/>
      <c r="AY78" s="1149">
        <v>0.16700000000000001</v>
      </c>
      <c r="AZ78" s="1149">
        <v>1.26</v>
      </c>
      <c r="BA78" s="1149">
        <v>17.43</v>
      </c>
      <c r="BB78" s="1149">
        <v>3.6999999999999998E-2</v>
      </c>
      <c r="BC78" s="6"/>
      <c r="BD78" s="6"/>
      <c r="BE78" s="39">
        <v>172.3516116399999</v>
      </c>
      <c r="BF78" s="39">
        <v>15.368093000000044</v>
      </c>
      <c r="BG78" s="39">
        <v>151.1859358152642</v>
      </c>
    </row>
    <row r="79" spans="5:59" x14ac:dyDescent="0.3">
      <c r="AR79" s="10"/>
      <c r="AT79" s="13" t="s">
        <v>322</v>
      </c>
      <c r="AU79" s="133">
        <f>AVERAGE(AU68:AU78)</f>
        <v>0.70003629148629143</v>
      </c>
      <c r="AV79" s="133">
        <f t="shared" ref="AV79:AW79" si="90">AVERAGE(AV68:AV78)</f>
        <v>0.75587049062049061</v>
      </c>
      <c r="AW79" s="133">
        <f t="shared" si="90"/>
        <v>11.159588383838383</v>
      </c>
      <c r="AX79" s="207"/>
      <c r="AY79" s="133">
        <f>AVERAGE(AY68:AY78)</f>
        <v>9.6350505050505048E-2</v>
      </c>
      <c r="AZ79" s="133">
        <f t="shared" ref="AZ79:BB79" si="91">AVERAGE(AZ68:AZ78)</f>
        <v>0.38267676767676767</v>
      </c>
      <c r="BA79" s="133">
        <f t="shared" si="91"/>
        <v>10.193287878787878</v>
      </c>
      <c r="BB79" s="133">
        <f t="shared" si="91"/>
        <v>2.5727272727272724E-2</v>
      </c>
      <c r="BC79" s="6"/>
      <c r="BD79" s="6"/>
      <c r="BE79" s="6"/>
      <c r="BF79" s="6"/>
      <c r="BG79" s="6"/>
    </row>
    <row r="80" spans="5:59" x14ac:dyDescent="0.3">
      <c r="AR80" s="10"/>
      <c r="AS80" s="10"/>
      <c r="AT80" s="1154" t="s">
        <v>17</v>
      </c>
      <c r="AU80" s="1488"/>
      <c r="AV80" s="1489"/>
      <c r="AW80" s="1489"/>
      <c r="AX80" s="1489"/>
      <c r="AY80" s="1489"/>
      <c r="AZ80" s="1489"/>
      <c r="BA80" s="1489"/>
      <c r="BB80" s="1489"/>
      <c r="BC80" s="1489"/>
      <c r="BD80" s="1490"/>
      <c r="BE80" s="1155">
        <f>SUM(BE68:BE79)</f>
        <v>2023.4684999216388</v>
      </c>
      <c r="BF80" s="1155">
        <f t="shared" ref="BF80:BG80" si="92">SUM(BF68:BF79)</f>
        <v>1374.7770814606047</v>
      </c>
      <c r="BG80" s="1155">
        <f t="shared" si="92"/>
        <v>3002.5736707038232</v>
      </c>
    </row>
    <row r="81" spans="10:45" x14ac:dyDescent="0.3">
      <c r="AR81" s="10"/>
      <c r="AS81" s="10"/>
    </row>
    <row r="82" spans="10:45" x14ac:dyDescent="0.3">
      <c r="AR82" s="10"/>
    </row>
    <row r="83" spans="10:45" x14ac:dyDescent="0.3">
      <c r="AR83" s="10"/>
      <c r="AS83" s="10"/>
    </row>
    <row r="92" spans="10:45" x14ac:dyDescent="0.3">
      <c r="J92" s="131" t="s">
        <v>259</v>
      </c>
      <c r="K92" s="131"/>
      <c r="L92" s="131"/>
      <c r="M92" s="131" t="s">
        <v>293</v>
      </c>
      <c r="N92" s="1503" t="s">
        <v>318</v>
      </c>
      <c r="O92" s="1484" t="s">
        <v>633</v>
      </c>
      <c r="P92" s="1484"/>
      <c r="Q92" s="1484"/>
      <c r="R92" s="429"/>
      <c r="S92" s="429"/>
      <c r="T92" s="429"/>
      <c r="U92" s="1290" t="s">
        <v>324</v>
      </c>
      <c r="V92" s="1291"/>
      <c r="W92" s="1292"/>
    </row>
    <row r="93" spans="10:45" x14ac:dyDescent="0.3">
      <c r="J93" s="131" t="s">
        <v>321</v>
      </c>
      <c r="K93" s="131"/>
      <c r="L93" s="131"/>
      <c r="M93" s="131" t="s">
        <v>634</v>
      </c>
      <c r="N93" s="1504"/>
      <c r="O93" s="131" t="s">
        <v>253</v>
      </c>
      <c r="P93" s="131" t="s">
        <v>254</v>
      </c>
      <c r="Q93" s="131" t="s">
        <v>255</v>
      </c>
      <c r="R93" s="131"/>
      <c r="S93" s="131"/>
      <c r="T93" s="131"/>
      <c r="U93" s="131" t="s">
        <v>253</v>
      </c>
      <c r="V93" s="131" t="s">
        <v>254</v>
      </c>
      <c r="W93" s="131" t="s">
        <v>255</v>
      </c>
    </row>
    <row r="94" spans="10:45" x14ac:dyDescent="0.3">
      <c r="J94" s="13">
        <v>1</v>
      </c>
      <c r="K94" s="13"/>
      <c r="L94" s="13"/>
      <c r="M94" s="13">
        <v>1</v>
      </c>
      <c r="N94" s="39">
        <f>N10</f>
        <v>292.31359999999995</v>
      </c>
      <c r="O94" s="133">
        <f>X10</f>
        <v>0.70799999999999996</v>
      </c>
      <c r="P94" s="133">
        <f t="shared" ref="P94:Q100" si="93">Y10</f>
        <v>0.53525</v>
      </c>
      <c r="Q94" s="133">
        <f t="shared" si="93"/>
        <v>7.2224166666666676</v>
      </c>
      <c r="R94" s="133"/>
      <c r="S94" s="133"/>
      <c r="T94" s="133"/>
      <c r="U94" s="133">
        <f>AF10</f>
        <v>5.5750000000000001E-2</v>
      </c>
      <c r="V94" s="133">
        <f t="shared" ref="V94:W98" si="94">AG10</f>
        <v>0.17</v>
      </c>
      <c r="W94" s="133">
        <f t="shared" si="94"/>
        <v>6.55</v>
      </c>
    </row>
    <row r="95" spans="10:45" x14ac:dyDescent="0.3">
      <c r="J95" s="13">
        <v>2</v>
      </c>
      <c r="K95" s="13"/>
      <c r="L95" s="13"/>
      <c r="M95" s="13">
        <v>2</v>
      </c>
      <c r="N95" s="39">
        <f>N11</f>
        <v>300.14215000000002</v>
      </c>
      <c r="O95" s="133">
        <f t="shared" ref="O95:O98" si="95">X11</f>
        <v>0.68400000000000005</v>
      </c>
      <c r="P95" s="133">
        <f t="shared" si="93"/>
        <v>0.79333333333333333</v>
      </c>
      <c r="Q95" s="133">
        <f t="shared" si="93"/>
        <v>9.051111111111112</v>
      </c>
      <c r="R95" s="133"/>
      <c r="S95" s="133"/>
      <c r="T95" s="133"/>
      <c r="U95" s="133">
        <f t="shared" ref="U95:U98" si="96">AF11</f>
        <v>5.5749999999999994E-2</v>
      </c>
      <c r="V95" s="133">
        <f t="shared" si="94"/>
        <v>0.25</v>
      </c>
      <c r="W95" s="133">
        <f t="shared" si="94"/>
        <v>8.3524999999999991</v>
      </c>
    </row>
    <row r="96" spans="10:45" x14ac:dyDescent="0.3">
      <c r="J96" s="13">
        <v>3</v>
      </c>
      <c r="K96" s="13"/>
      <c r="L96" s="13"/>
      <c r="M96" s="13">
        <v>3</v>
      </c>
      <c r="N96" s="39">
        <f>O12</f>
        <v>326.97083025000006</v>
      </c>
      <c r="O96" s="133">
        <f t="shared" si="95"/>
        <v>0.93455555555555547</v>
      </c>
      <c r="P96" s="133">
        <f t="shared" si="93"/>
        <v>0.65888888888888886</v>
      </c>
      <c r="Q96" s="133">
        <f t="shared" si="93"/>
        <v>9.0688888888888908</v>
      </c>
      <c r="R96" s="133"/>
      <c r="S96" s="133"/>
      <c r="T96" s="133"/>
      <c r="U96" s="133">
        <f t="shared" si="96"/>
        <v>9.816666666666668E-2</v>
      </c>
      <c r="V96" s="133">
        <f t="shared" si="94"/>
        <v>0.23333333333333331</v>
      </c>
      <c r="W96" s="133">
        <f t="shared" si="94"/>
        <v>8.9633333333333329</v>
      </c>
    </row>
    <row r="97" spans="10:23" x14ac:dyDescent="0.3">
      <c r="J97" s="13">
        <v>4</v>
      </c>
      <c r="K97" s="13"/>
      <c r="L97" s="13"/>
      <c r="M97" s="13">
        <v>4</v>
      </c>
      <c r="N97" s="39">
        <f t="shared" ref="N97:N98" si="97">O13</f>
        <v>316.93530000000004</v>
      </c>
      <c r="O97" s="133">
        <f t="shared" si="95"/>
        <v>0.92891666666666661</v>
      </c>
      <c r="P97" s="133">
        <f t="shared" si="93"/>
        <v>0.73249999999999993</v>
      </c>
      <c r="Q97" s="133">
        <f t="shared" si="93"/>
        <v>9.1508333333333347</v>
      </c>
      <c r="R97" s="133"/>
      <c r="S97" s="133"/>
      <c r="T97" s="133"/>
      <c r="U97" s="133">
        <f t="shared" si="96"/>
        <v>0.10916666666666668</v>
      </c>
      <c r="V97" s="133">
        <f t="shared" si="94"/>
        <v>0.24</v>
      </c>
      <c r="W97" s="133">
        <f t="shared" si="94"/>
        <v>5.1633333333333331</v>
      </c>
    </row>
    <row r="98" spans="10:23" x14ac:dyDescent="0.3">
      <c r="J98" s="13">
        <v>5</v>
      </c>
      <c r="K98" s="13"/>
      <c r="L98" s="13"/>
      <c r="M98" s="13">
        <v>5</v>
      </c>
      <c r="N98" s="39">
        <f t="shared" si="97"/>
        <v>266.98580000000004</v>
      </c>
      <c r="O98" s="133">
        <f t="shared" si="95"/>
        <v>0.58733333333333337</v>
      </c>
      <c r="P98" s="133">
        <f t="shared" si="93"/>
        <v>0.49666666666666665</v>
      </c>
      <c r="Q98" s="133">
        <f t="shared" si="93"/>
        <v>9.0411111111111087</v>
      </c>
      <c r="R98" s="133"/>
      <c r="S98" s="133"/>
      <c r="T98" s="133"/>
      <c r="U98" s="133">
        <f t="shared" si="96"/>
        <v>0.12466666666666666</v>
      </c>
      <c r="V98" s="133">
        <f t="shared" si="94"/>
        <v>0.37833333333333335</v>
      </c>
      <c r="W98" s="133">
        <f t="shared" si="94"/>
        <v>7.5183333333333335</v>
      </c>
    </row>
    <row r="99" spans="10:23" x14ac:dyDescent="0.3">
      <c r="J99" s="13">
        <v>6</v>
      </c>
      <c r="K99" s="13"/>
      <c r="L99" s="13"/>
      <c r="M99" s="13">
        <v>6</v>
      </c>
      <c r="N99" s="39">
        <f>O15</f>
        <v>277.03691250000003</v>
      </c>
      <c r="O99" s="133">
        <f>X15</f>
        <v>0.57608333333333328</v>
      </c>
      <c r="P99" s="133">
        <f t="shared" si="93"/>
        <v>0.66833333333333333</v>
      </c>
      <c r="Q99" s="133">
        <f t="shared" si="93"/>
        <v>7.58</v>
      </c>
      <c r="R99" s="133"/>
      <c r="S99" s="133"/>
      <c r="T99" s="133"/>
      <c r="U99" s="133"/>
      <c r="V99" s="133"/>
      <c r="W99" s="133"/>
    </row>
    <row r="100" spans="10:23" x14ac:dyDescent="0.3">
      <c r="J100" s="13">
        <v>7</v>
      </c>
      <c r="K100" s="13"/>
      <c r="L100" s="13"/>
      <c r="M100" s="13">
        <v>7</v>
      </c>
      <c r="N100" s="39">
        <f>O16</f>
        <v>246.07747500000002</v>
      </c>
      <c r="O100" s="133">
        <f>X16</f>
        <v>0.53555555555555556</v>
      </c>
      <c r="P100" s="133">
        <f t="shared" si="93"/>
        <v>0.53555555555555556</v>
      </c>
      <c r="Q100" s="133">
        <f t="shared" si="93"/>
        <v>9.8144444444444439</v>
      </c>
      <c r="R100" s="133"/>
      <c r="S100" s="133"/>
      <c r="T100" s="133"/>
      <c r="U100" s="133"/>
      <c r="V100" s="133"/>
      <c r="W100" s="133"/>
    </row>
    <row r="101" spans="10:23" x14ac:dyDescent="0.3">
      <c r="J101" s="14" t="s">
        <v>322</v>
      </c>
      <c r="K101" s="14"/>
      <c r="L101" s="14"/>
      <c r="M101" s="14"/>
      <c r="N101" s="234">
        <f>AVERAGE(N94:N100)</f>
        <v>289.49458110714284</v>
      </c>
      <c r="O101" s="242">
        <f>AVERAGE(O94:O100)</f>
        <v>0.70777777777777773</v>
      </c>
      <c r="P101" s="242">
        <f t="shared" ref="P101:Q101" si="98">AVERAGE(P94:P100)</f>
        <v>0.63150396825396826</v>
      </c>
      <c r="Q101" s="242">
        <f t="shared" si="98"/>
        <v>8.7041150793650797</v>
      </c>
      <c r="R101" s="242"/>
      <c r="S101" s="242"/>
      <c r="T101" s="242"/>
      <c r="U101" s="242">
        <f>AVERAGE(U94:U98)</f>
        <v>8.8700000000000001E-2</v>
      </c>
      <c r="V101" s="242">
        <f t="shared" ref="V101:W101" si="99">AVERAGE(V94:V98)</f>
        <v>0.25433333333333336</v>
      </c>
      <c r="W101" s="242">
        <f t="shared" si="99"/>
        <v>7.3094999999999999</v>
      </c>
    </row>
    <row r="102" spans="10:23" x14ac:dyDescent="0.3">
      <c r="J102" s="14" t="s">
        <v>323</v>
      </c>
      <c r="K102" s="14"/>
      <c r="L102" s="14"/>
      <c r="M102" s="14"/>
      <c r="N102" s="234">
        <f>SUM(N94:N100)</f>
        <v>2026.46206775</v>
      </c>
      <c r="O102" s="14"/>
      <c r="P102" s="14"/>
      <c r="Q102" s="14"/>
      <c r="R102" s="14"/>
      <c r="S102" s="14"/>
      <c r="T102" s="14"/>
      <c r="U102" s="14"/>
      <c r="V102" s="14"/>
      <c r="W102" s="14"/>
    </row>
  </sheetData>
  <mergeCells count="56">
    <mergeCell ref="N92:N93"/>
    <mergeCell ref="U92:W92"/>
    <mergeCell ref="O92:Q92"/>
    <mergeCell ref="I7:I9"/>
    <mergeCell ref="E2:AF2"/>
    <mergeCell ref="E3:AF3"/>
    <mergeCell ref="AA7:AC7"/>
    <mergeCell ref="J7:J9"/>
    <mergeCell ref="M7:M9"/>
    <mergeCell ref="N7:N9"/>
    <mergeCell ref="V7:V9"/>
    <mergeCell ref="E4:AF4"/>
    <mergeCell ref="X7:Z7"/>
    <mergeCell ref="X8:Z8"/>
    <mergeCell ref="P7:P9"/>
    <mergeCell ref="AD7:AD9"/>
    <mergeCell ref="AA8:AC8"/>
    <mergeCell ref="AE7:AE9"/>
    <mergeCell ref="B7:B9"/>
    <mergeCell ref="E7:E9"/>
    <mergeCell ref="F7:F9"/>
    <mergeCell ref="G7:G9"/>
    <mergeCell ref="H7:H9"/>
    <mergeCell ref="K7:K9"/>
    <mergeCell ref="L7:L9"/>
    <mergeCell ref="AI8:AK8"/>
    <mergeCell ref="AF7:AK7"/>
    <mergeCell ref="BD7:BF7"/>
    <mergeCell ref="BD8:BF8"/>
    <mergeCell ref="AO7:AQ7"/>
    <mergeCell ref="AO8:AQ8"/>
    <mergeCell ref="AZ7:BB7"/>
    <mergeCell ref="AZ8:BB8"/>
    <mergeCell ref="AL7:AN7"/>
    <mergeCell ref="AL8:AN8"/>
    <mergeCell ref="AT7:AV8"/>
    <mergeCell ref="AY7:AY8"/>
    <mergeCell ref="AF8:AH8"/>
    <mergeCell ref="AW7:AW9"/>
    <mergeCell ref="AF69:AH69"/>
    <mergeCell ref="AD68:AH68"/>
    <mergeCell ref="AD69:AD70"/>
    <mergeCell ref="AE69:AE70"/>
    <mergeCell ref="AO65:AR65"/>
    <mergeCell ref="AU80:BD80"/>
    <mergeCell ref="AU65:AW65"/>
    <mergeCell ref="AU66:AW66"/>
    <mergeCell ref="AY65:BD65"/>
    <mergeCell ref="AY66:BA66"/>
    <mergeCell ref="BB66:BD66"/>
    <mergeCell ref="BG7:BI7"/>
    <mergeCell ref="BG8:BI8"/>
    <mergeCell ref="BJ8:BL8"/>
    <mergeCell ref="BJ7:BL7"/>
    <mergeCell ref="BE66:BG66"/>
    <mergeCell ref="BE65:BG65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M15" sqref="M15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2" customWidth="1"/>
    <col min="7" max="7" width="9.77734375" style="12" bestFit="1" customWidth="1"/>
    <col min="8" max="8" width="10.6640625" style="12" bestFit="1" customWidth="1"/>
    <col min="9" max="9" width="12.33203125" style="1" customWidth="1"/>
    <col min="10" max="10" width="16.44140625" style="12" customWidth="1"/>
    <col min="11" max="11" width="18.109375" style="1" bestFit="1" customWidth="1"/>
    <col min="12" max="12" width="21.21875" style="1" bestFit="1" customWidth="1"/>
    <col min="13" max="13" width="65.109375" style="437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3" t="s">
        <v>70</v>
      </c>
      <c r="C4" s="103" t="s">
        <v>242</v>
      </c>
      <c r="D4" s="103" t="s">
        <v>54</v>
      </c>
      <c r="E4" s="103" t="s">
        <v>133</v>
      </c>
      <c r="F4" s="103" t="s">
        <v>134</v>
      </c>
      <c r="G4" s="103" t="s">
        <v>135</v>
      </c>
      <c r="H4" s="103" t="s">
        <v>136</v>
      </c>
      <c r="I4" s="103" t="s">
        <v>137</v>
      </c>
      <c r="J4" s="103" t="s">
        <v>138</v>
      </c>
      <c r="K4" s="103" t="s">
        <v>141</v>
      </c>
      <c r="L4" s="103" t="s">
        <v>311</v>
      </c>
      <c r="M4" s="103" t="s">
        <v>139</v>
      </c>
      <c r="Q4" s="1512" t="s">
        <v>473</v>
      </c>
      <c r="R4" s="1513"/>
      <c r="S4" s="1513"/>
      <c r="T4" s="1514"/>
    </row>
    <row r="5" spans="2:21" ht="15" thickBot="1" x14ac:dyDescent="0.35">
      <c r="B5" s="13">
        <v>1</v>
      </c>
      <c r="C5" s="13">
        <v>1</v>
      </c>
      <c r="D5" s="13">
        <v>2</v>
      </c>
      <c r="E5" s="13" t="s">
        <v>140</v>
      </c>
      <c r="F5" s="73">
        <v>46266</v>
      </c>
      <c r="G5" s="102">
        <v>6.9444444444444447E-4</v>
      </c>
      <c r="H5" s="102">
        <v>4.2361111111111113E-2</v>
      </c>
      <c r="I5" s="73"/>
      <c r="J5" s="231">
        <f>(H5-G5)*1440</f>
        <v>60.000000000000007</v>
      </c>
      <c r="K5" s="13" t="s">
        <v>142</v>
      </c>
      <c r="L5" s="229">
        <f>J5/60</f>
        <v>1.0000000000000002</v>
      </c>
      <c r="M5" s="434" t="s">
        <v>469</v>
      </c>
      <c r="Q5" s="1515"/>
      <c r="R5" s="1516"/>
      <c r="S5" s="1516"/>
      <c r="T5" s="1517"/>
    </row>
    <row r="6" spans="2:21" x14ac:dyDescent="0.3">
      <c r="B6" s="13">
        <v>2</v>
      </c>
      <c r="C6" s="13">
        <v>1</v>
      </c>
      <c r="D6" s="13">
        <v>2</v>
      </c>
      <c r="E6" s="13" t="s">
        <v>140</v>
      </c>
      <c r="F6" s="73">
        <v>46267</v>
      </c>
      <c r="G6" s="102">
        <v>6.9444444444444447E-4</v>
      </c>
      <c r="H6" s="102">
        <v>0.99930555555555556</v>
      </c>
      <c r="I6" s="62"/>
      <c r="J6" s="231">
        <f>(H6-G6)*1440</f>
        <v>1438</v>
      </c>
      <c r="K6" s="13"/>
      <c r="L6" s="229">
        <f t="shared" ref="L6:L33" si="0">J6/60</f>
        <v>23.966666666666665</v>
      </c>
      <c r="M6" s="208" t="s">
        <v>470</v>
      </c>
      <c r="Q6" s="12"/>
      <c r="R6" s="12"/>
      <c r="S6" s="12"/>
      <c r="T6" s="12"/>
    </row>
    <row r="7" spans="2:21" ht="28.8" x14ac:dyDescent="0.3">
      <c r="B7" s="13">
        <v>2</v>
      </c>
      <c r="C7" s="73" t="s">
        <v>474</v>
      </c>
      <c r="D7" s="13" t="s">
        <v>472</v>
      </c>
      <c r="E7" s="13" t="s">
        <v>140</v>
      </c>
      <c r="F7" s="73">
        <v>46268</v>
      </c>
      <c r="G7" s="102">
        <v>6.9444444444444447E-4</v>
      </c>
      <c r="H7" s="102">
        <v>0.99930555555555556</v>
      </c>
      <c r="I7" s="62"/>
      <c r="J7" s="231">
        <f t="shared" ref="J7:J33" si="1">(H7-G7)*1440</f>
        <v>1438</v>
      </c>
      <c r="K7" s="39"/>
      <c r="L7" s="229">
        <f t="shared" si="0"/>
        <v>23.966666666666665</v>
      </c>
      <c r="M7" s="434" t="s">
        <v>475</v>
      </c>
      <c r="N7" s="136"/>
      <c r="Q7" s="107" t="s">
        <v>147</v>
      </c>
      <c r="R7" s="106" t="s">
        <v>138</v>
      </c>
      <c r="S7" s="106" t="s">
        <v>146</v>
      </c>
      <c r="T7" s="106" t="s">
        <v>148</v>
      </c>
      <c r="U7" s="106" t="s">
        <v>149</v>
      </c>
    </row>
    <row r="8" spans="2:21" ht="37.200000000000003" customHeight="1" x14ac:dyDescent="0.3">
      <c r="B8" s="13">
        <v>3</v>
      </c>
      <c r="C8" s="73" t="s">
        <v>474</v>
      </c>
      <c r="D8" s="13">
        <v>2</v>
      </c>
      <c r="E8" s="13" t="s">
        <v>140</v>
      </c>
      <c r="F8" s="73">
        <v>46269</v>
      </c>
      <c r="G8" s="102">
        <v>6.9444444444444447E-4</v>
      </c>
      <c r="H8" s="102">
        <v>0.95833333333333337</v>
      </c>
      <c r="I8" s="62"/>
      <c r="J8" s="231">
        <f t="shared" si="1"/>
        <v>1379</v>
      </c>
      <c r="K8" s="13"/>
      <c r="L8" s="229">
        <f t="shared" si="0"/>
        <v>22.983333333333334</v>
      </c>
      <c r="M8" s="434" t="s">
        <v>501</v>
      </c>
      <c r="Q8" s="6" t="s">
        <v>140</v>
      </c>
      <c r="R8" s="13">
        <f>SUMIFS(J5:J27,E5:E27,"Normal Operation")</f>
        <v>4315</v>
      </c>
      <c r="S8" s="39">
        <f>R8/60</f>
        <v>71.916666666666671</v>
      </c>
      <c r="T8" s="39">
        <f>S8/24</f>
        <v>2.9965277777777781</v>
      </c>
      <c r="U8" s="38">
        <f>S8/S11</f>
        <v>0.98628571428571432</v>
      </c>
    </row>
    <row r="9" spans="2:21" x14ac:dyDescent="0.3">
      <c r="B9" s="13">
        <v>4</v>
      </c>
      <c r="C9" s="13">
        <v>2</v>
      </c>
      <c r="D9" s="13">
        <v>2</v>
      </c>
      <c r="E9" s="13" t="s">
        <v>502</v>
      </c>
      <c r="F9" s="73">
        <v>46269</v>
      </c>
      <c r="G9" s="102">
        <v>6.9444444444444447E-4</v>
      </c>
      <c r="H9" s="108">
        <v>4.2361111111111113E-2</v>
      </c>
      <c r="I9" s="6"/>
      <c r="J9" s="231">
        <f t="shared" si="1"/>
        <v>60.000000000000007</v>
      </c>
      <c r="K9" s="13"/>
      <c r="L9" s="229">
        <f t="shared" si="0"/>
        <v>1.0000000000000002</v>
      </c>
      <c r="M9" s="208" t="s">
        <v>503</v>
      </c>
      <c r="Q9" s="6" t="s">
        <v>143</v>
      </c>
      <c r="R9" s="13">
        <f>SUMIFS(J5:J27,E5:E27,"Downtime Planed")</f>
        <v>0</v>
      </c>
      <c r="S9" s="13">
        <f t="shared" ref="S9" si="2">R9/60</f>
        <v>0</v>
      </c>
      <c r="T9" s="39">
        <f t="shared" ref="T9" si="3">S9/24</f>
        <v>0</v>
      </c>
      <c r="U9" s="13"/>
    </row>
    <row r="10" spans="2:21" x14ac:dyDescent="0.3">
      <c r="B10" s="13">
        <v>5</v>
      </c>
      <c r="C10" s="73"/>
      <c r="D10" s="13">
        <v>3</v>
      </c>
      <c r="E10" s="13"/>
      <c r="F10" s="230"/>
      <c r="G10" s="102"/>
      <c r="H10" s="102"/>
      <c r="I10" s="6"/>
      <c r="J10" s="231">
        <f t="shared" si="1"/>
        <v>0</v>
      </c>
      <c r="K10" s="13"/>
      <c r="L10" s="229">
        <f t="shared" si="0"/>
        <v>0</v>
      </c>
      <c r="M10" s="208"/>
      <c r="Q10" s="6" t="s">
        <v>145</v>
      </c>
      <c r="R10" s="13">
        <f>SUMIFS(J5:J33,E5:E33,"Unplaned Downtime")</f>
        <v>60.000000000000007</v>
      </c>
      <c r="S10" s="39">
        <f>R10/60</f>
        <v>1.0000000000000002</v>
      </c>
      <c r="T10" s="39">
        <f>S10/24</f>
        <v>4.1666666666666678E-2</v>
      </c>
      <c r="U10" s="13"/>
    </row>
    <row r="11" spans="2:21" x14ac:dyDescent="0.3">
      <c r="B11" s="13">
        <v>6</v>
      </c>
      <c r="C11" s="73"/>
      <c r="D11" s="13">
        <v>3</v>
      </c>
      <c r="E11" s="13"/>
      <c r="F11" s="230"/>
      <c r="G11" s="102"/>
      <c r="H11" s="102"/>
      <c r="I11" s="6"/>
      <c r="J11" s="231">
        <f t="shared" si="1"/>
        <v>0</v>
      </c>
      <c r="K11" s="13"/>
      <c r="L11" s="229">
        <f t="shared" si="0"/>
        <v>0</v>
      </c>
      <c r="M11" s="208"/>
      <c r="Q11" s="208" t="s">
        <v>312</v>
      </c>
      <c r="R11" s="13"/>
      <c r="S11" s="39">
        <f>SUM(S8:S10)</f>
        <v>72.916666666666671</v>
      </c>
      <c r="T11" s="39">
        <f>S11/24</f>
        <v>3.0381944444444446</v>
      </c>
      <c r="U11" s="13"/>
    </row>
    <row r="12" spans="2:21" x14ac:dyDescent="0.3">
      <c r="B12" s="13">
        <v>7</v>
      </c>
      <c r="C12" s="73"/>
      <c r="D12" s="13">
        <v>3</v>
      </c>
      <c r="E12" s="13"/>
      <c r="F12" s="230"/>
      <c r="G12" s="102"/>
      <c r="H12" s="102"/>
      <c r="I12" s="6"/>
      <c r="J12" s="231">
        <f t="shared" si="1"/>
        <v>0</v>
      </c>
      <c r="K12" s="13"/>
      <c r="L12" s="229">
        <f t="shared" si="0"/>
        <v>0</v>
      </c>
      <c r="M12" s="208"/>
    </row>
    <row r="13" spans="2:21" x14ac:dyDescent="0.3">
      <c r="B13" s="13">
        <v>8</v>
      </c>
      <c r="C13" s="73"/>
      <c r="D13" s="13">
        <v>2</v>
      </c>
      <c r="E13" s="13"/>
      <c r="F13" s="73"/>
      <c r="G13" s="102"/>
      <c r="H13" s="102"/>
      <c r="I13" s="6"/>
      <c r="J13" s="231">
        <f t="shared" si="1"/>
        <v>0</v>
      </c>
      <c r="K13" s="13"/>
      <c r="L13" s="229">
        <f t="shared" si="0"/>
        <v>0</v>
      </c>
      <c r="M13" s="208"/>
    </row>
    <row r="14" spans="2:21" x14ac:dyDescent="0.3">
      <c r="B14" s="13">
        <v>10</v>
      </c>
      <c r="C14" s="73"/>
      <c r="D14" s="13">
        <v>2</v>
      </c>
      <c r="E14" s="13"/>
      <c r="F14" s="73"/>
      <c r="G14" s="102"/>
      <c r="H14" s="102"/>
      <c r="I14" s="6"/>
      <c r="J14" s="231">
        <f t="shared" si="1"/>
        <v>0</v>
      </c>
      <c r="K14" s="13"/>
      <c r="L14" s="229">
        <f t="shared" si="0"/>
        <v>0</v>
      </c>
      <c r="M14" s="208"/>
    </row>
    <row r="15" spans="2:21" x14ac:dyDescent="0.3">
      <c r="B15" s="13">
        <v>11</v>
      </c>
      <c r="C15" s="73"/>
      <c r="D15" s="13">
        <v>2</v>
      </c>
      <c r="E15" s="13"/>
      <c r="F15" s="73"/>
      <c r="G15" s="102"/>
      <c r="H15" s="102"/>
      <c r="I15" s="6"/>
      <c r="J15" s="231">
        <f t="shared" si="1"/>
        <v>0</v>
      </c>
      <c r="K15" s="13"/>
      <c r="L15" s="229">
        <f t="shared" si="0"/>
        <v>0</v>
      </c>
      <c r="M15" s="208"/>
    </row>
    <row r="16" spans="2:21" x14ac:dyDescent="0.3">
      <c r="B16" s="13">
        <v>12</v>
      </c>
      <c r="C16" s="73"/>
      <c r="D16" s="13">
        <v>3</v>
      </c>
      <c r="E16" s="13"/>
      <c r="F16" s="73"/>
      <c r="G16" s="102"/>
      <c r="H16" s="102"/>
      <c r="I16" s="6"/>
      <c r="J16" s="231">
        <f t="shared" si="1"/>
        <v>0</v>
      </c>
      <c r="K16" s="13"/>
      <c r="L16" s="229">
        <f t="shared" si="0"/>
        <v>0</v>
      </c>
      <c r="M16" s="208"/>
    </row>
    <row r="17" spans="2:17" x14ac:dyDescent="0.3">
      <c r="B17" s="13">
        <v>13</v>
      </c>
      <c r="C17" s="73"/>
      <c r="D17" s="13">
        <v>3</v>
      </c>
      <c r="E17" s="13"/>
      <c r="F17" s="102"/>
      <c r="G17" s="102"/>
      <c r="H17" s="102"/>
      <c r="I17" s="6"/>
      <c r="J17" s="231">
        <f t="shared" si="1"/>
        <v>0</v>
      </c>
      <c r="K17" s="13"/>
      <c r="L17" s="229">
        <f t="shared" si="0"/>
        <v>0</v>
      </c>
      <c r="M17" s="208"/>
    </row>
    <row r="18" spans="2:17" x14ac:dyDescent="0.3">
      <c r="B18" s="13">
        <v>14</v>
      </c>
      <c r="C18" s="73"/>
      <c r="D18" s="13">
        <v>3</v>
      </c>
      <c r="E18" s="13"/>
      <c r="F18" s="73"/>
      <c r="G18" s="102"/>
      <c r="H18" s="102"/>
      <c r="I18" s="6"/>
      <c r="J18" s="231">
        <f t="shared" si="1"/>
        <v>0</v>
      </c>
      <c r="K18" s="13"/>
      <c r="L18" s="229">
        <f t="shared" si="0"/>
        <v>0</v>
      </c>
      <c r="M18" s="208"/>
    </row>
    <row r="19" spans="2:17" s="12" customFormat="1" x14ac:dyDescent="0.3">
      <c r="B19" s="13">
        <v>15</v>
      </c>
      <c r="C19" s="73"/>
      <c r="D19" s="13">
        <v>3</v>
      </c>
      <c r="E19" s="13"/>
      <c r="F19" s="230"/>
      <c r="G19" s="102"/>
      <c r="H19" s="102"/>
      <c r="I19" s="13"/>
      <c r="J19" s="231">
        <f t="shared" si="1"/>
        <v>0</v>
      </c>
      <c r="K19" s="13"/>
      <c r="L19" s="229">
        <f t="shared" si="0"/>
        <v>0</v>
      </c>
      <c r="M19" s="208"/>
      <c r="Q19" s="43"/>
    </row>
    <row r="20" spans="2:17" x14ac:dyDescent="0.3">
      <c r="B20" s="13">
        <v>16</v>
      </c>
      <c r="C20" s="73"/>
      <c r="D20" s="13">
        <v>3</v>
      </c>
      <c r="E20" s="13"/>
      <c r="F20" s="73"/>
      <c r="G20" s="102"/>
      <c r="H20" s="102"/>
      <c r="I20" s="13"/>
      <c r="J20" s="231">
        <f t="shared" si="1"/>
        <v>0</v>
      </c>
      <c r="K20" s="13"/>
      <c r="L20" s="229">
        <f t="shared" si="0"/>
        <v>0</v>
      </c>
      <c r="M20" s="208"/>
      <c r="Q20" s="10"/>
    </row>
    <row r="21" spans="2:17" x14ac:dyDescent="0.3">
      <c r="B21" s="13">
        <v>18</v>
      </c>
      <c r="C21" s="73"/>
      <c r="D21" s="13">
        <v>2</v>
      </c>
      <c r="E21" s="13"/>
      <c r="F21" s="73"/>
      <c r="G21" s="102"/>
      <c r="H21" s="102"/>
      <c r="I21" s="6"/>
      <c r="J21" s="231">
        <f t="shared" si="1"/>
        <v>0</v>
      </c>
      <c r="K21" s="13"/>
      <c r="L21" s="229">
        <f t="shared" si="0"/>
        <v>0</v>
      </c>
      <c r="M21" s="208"/>
    </row>
    <row r="22" spans="2:17" x14ac:dyDescent="0.3">
      <c r="B22" s="13">
        <v>19</v>
      </c>
      <c r="C22" s="73"/>
      <c r="D22" s="13">
        <v>3</v>
      </c>
      <c r="E22" s="13"/>
      <c r="F22" s="73"/>
      <c r="G22" s="102"/>
      <c r="H22" s="102"/>
      <c r="I22" s="6"/>
      <c r="J22" s="231">
        <f t="shared" si="1"/>
        <v>0</v>
      </c>
      <c r="K22" s="13"/>
      <c r="L22" s="229">
        <f t="shared" si="0"/>
        <v>0</v>
      </c>
      <c r="M22" s="208"/>
    </row>
    <row r="23" spans="2:17" x14ac:dyDescent="0.3">
      <c r="B23" s="13">
        <v>20</v>
      </c>
      <c r="C23" s="73"/>
      <c r="D23" s="13">
        <v>3</v>
      </c>
      <c r="E23" s="13"/>
      <c r="F23" s="73"/>
      <c r="G23" s="102"/>
      <c r="H23" s="102"/>
      <c r="I23" s="6"/>
      <c r="J23" s="231">
        <f t="shared" si="1"/>
        <v>0</v>
      </c>
      <c r="K23" s="13"/>
      <c r="L23" s="229">
        <f t="shared" si="0"/>
        <v>0</v>
      </c>
      <c r="M23" s="208"/>
    </row>
    <row r="24" spans="2:17" x14ac:dyDescent="0.3">
      <c r="B24" s="13">
        <v>21</v>
      </c>
      <c r="C24" s="73"/>
      <c r="D24" s="6">
        <v>3</v>
      </c>
      <c r="E24" s="6"/>
      <c r="F24" s="73"/>
      <c r="G24" s="102"/>
      <c r="H24" s="102"/>
      <c r="I24" s="6"/>
      <c r="J24" s="231">
        <f t="shared" si="1"/>
        <v>0</v>
      </c>
      <c r="K24" s="6"/>
      <c r="L24" s="229">
        <f t="shared" si="0"/>
        <v>0</v>
      </c>
      <c r="M24" s="208"/>
    </row>
    <row r="25" spans="2:17" x14ac:dyDescent="0.3">
      <c r="B25" s="13">
        <v>22</v>
      </c>
      <c r="C25" s="73"/>
      <c r="D25" s="6"/>
      <c r="E25" s="6"/>
      <c r="F25" s="13"/>
      <c r="G25" s="13"/>
      <c r="H25" s="13"/>
      <c r="I25" s="6"/>
      <c r="J25" s="231">
        <f t="shared" si="1"/>
        <v>0</v>
      </c>
      <c r="K25" s="6"/>
      <c r="L25" s="229">
        <f t="shared" si="0"/>
        <v>0</v>
      </c>
      <c r="M25" s="208"/>
    </row>
    <row r="26" spans="2:17" x14ac:dyDescent="0.3">
      <c r="B26" s="13">
        <v>23</v>
      </c>
      <c r="C26" s="73"/>
      <c r="D26" s="6"/>
      <c r="E26" s="6"/>
      <c r="F26" s="13"/>
      <c r="G26" s="13"/>
      <c r="H26" s="13"/>
      <c r="I26" s="6"/>
      <c r="J26" s="231">
        <f t="shared" si="1"/>
        <v>0</v>
      </c>
      <c r="K26" s="6"/>
      <c r="L26" s="229">
        <f t="shared" si="0"/>
        <v>0</v>
      </c>
      <c r="M26" s="208"/>
    </row>
    <row r="27" spans="2:17" x14ac:dyDescent="0.3">
      <c r="B27" s="13">
        <v>24</v>
      </c>
      <c r="C27" s="73"/>
      <c r="D27" s="6"/>
      <c r="E27" s="6"/>
      <c r="F27" s="13"/>
      <c r="G27" s="13"/>
      <c r="H27" s="13"/>
      <c r="I27" s="6"/>
      <c r="J27" s="231">
        <f t="shared" si="1"/>
        <v>0</v>
      </c>
      <c r="K27" s="6"/>
      <c r="L27" s="229">
        <f t="shared" si="0"/>
        <v>0</v>
      </c>
      <c r="M27" s="208"/>
    </row>
    <row r="28" spans="2:17" x14ac:dyDescent="0.3">
      <c r="B28" s="13">
        <v>25</v>
      </c>
      <c r="C28" s="73"/>
      <c r="D28" s="6"/>
      <c r="E28" s="6"/>
      <c r="F28" s="13"/>
      <c r="G28" s="13"/>
      <c r="H28" s="13"/>
      <c r="I28" s="6"/>
      <c r="J28" s="231">
        <f t="shared" si="1"/>
        <v>0</v>
      </c>
      <c r="K28" s="6"/>
      <c r="L28" s="229">
        <f t="shared" si="0"/>
        <v>0</v>
      </c>
      <c r="M28" s="208"/>
    </row>
    <row r="29" spans="2:17" x14ac:dyDescent="0.3">
      <c r="B29" s="13">
        <v>26</v>
      </c>
      <c r="C29" s="73"/>
      <c r="D29" s="6"/>
      <c r="E29" s="6"/>
      <c r="F29" s="13"/>
      <c r="G29" s="13"/>
      <c r="H29" s="13"/>
      <c r="I29" s="6"/>
      <c r="J29" s="231">
        <f t="shared" si="1"/>
        <v>0</v>
      </c>
      <c r="K29" s="6"/>
      <c r="L29" s="229">
        <f t="shared" si="0"/>
        <v>0</v>
      </c>
      <c r="M29" s="208"/>
    </row>
    <row r="30" spans="2:17" x14ac:dyDescent="0.3">
      <c r="B30" s="13">
        <v>27</v>
      </c>
      <c r="C30" s="73"/>
      <c r="D30" s="6"/>
      <c r="E30" s="6"/>
      <c r="F30" s="13"/>
      <c r="G30" s="13"/>
      <c r="H30" s="13"/>
      <c r="I30" s="6"/>
      <c r="J30" s="231">
        <f t="shared" si="1"/>
        <v>0</v>
      </c>
      <c r="K30" s="6"/>
      <c r="L30" s="229">
        <f t="shared" si="0"/>
        <v>0</v>
      </c>
      <c r="M30" s="208"/>
    </row>
    <row r="31" spans="2:17" x14ac:dyDescent="0.3">
      <c r="B31" s="13">
        <v>28</v>
      </c>
      <c r="C31" s="73"/>
      <c r="D31" s="6"/>
      <c r="E31" s="6"/>
      <c r="F31" s="13"/>
      <c r="G31" s="13"/>
      <c r="H31" s="13"/>
      <c r="I31" s="6"/>
      <c r="J31" s="231">
        <f t="shared" si="1"/>
        <v>0</v>
      </c>
      <c r="K31" s="6"/>
      <c r="L31" s="229">
        <f t="shared" si="0"/>
        <v>0</v>
      </c>
      <c r="M31" s="208"/>
    </row>
    <row r="32" spans="2:17" x14ac:dyDescent="0.3">
      <c r="B32" s="13">
        <v>29</v>
      </c>
      <c r="C32" s="73"/>
      <c r="D32" s="6"/>
      <c r="E32" s="6"/>
      <c r="F32" s="13"/>
      <c r="G32" s="13"/>
      <c r="H32" s="13"/>
      <c r="I32" s="6"/>
      <c r="J32" s="231">
        <f t="shared" si="1"/>
        <v>0</v>
      </c>
      <c r="K32" s="6"/>
      <c r="L32" s="229">
        <f t="shared" si="0"/>
        <v>0</v>
      </c>
      <c r="M32" s="208"/>
    </row>
    <row r="33" spans="2:13" x14ac:dyDescent="0.3">
      <c r="B33" s="13">
        <v>30</v>
      </c>
      <c r="C33" s="73"/>
      <c r="D33" s="6"/>
      <c r="E33" s="6"/>
      <c r="F33" s="13"/>
      <c r="G33" s="13"/>
      <c r="H33" s="13"/>
      <c r="I33" s="6"/>
      <c r="J33" s="231">
        <f t="shared" si="1"/>
        <v>0</v>
      </c>
      <c r="K33" s="6"/>
      <c r="L33" s="229">
        <f t="shared" si="0"/>
        <v>0</v>
      </c>
      <c r="M33" s="208"/>
    </row>
  </sheetData>
  <mergeCells count="1">
    <mergeCell ref="Q4:T5"/>
  </mergeCells>
  <phoneticPr fontId="91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0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2"/>
      <c r="H2" s="1"/>
      <c r="I2" s="1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538" t="s">
        <v>0</v>
      </c>
      <c r="B4" s="1540" t="s">
        <v>50</v>
      </c>
      <c r="C4" s="1540"/>
      <c r="D4" s="1540"/>
      <c r="E4" s="1540"/>
      <c r="F4" s="99"/>
      <c r="G4" s="54"/>
      <c r="H4" s="54"/>
      <c r="I4" s="104"/>
      <c r="J4" s="104"/>
      <c r="K4" s="104"/>
      <c r="L4" s="1526" t="s">
        <v>239</v>
      </c>
      <c r="M4" s="1524"/>
      <c r="N4" s="1525"/>
      <c r="O4" s="1526" t="s">
        <v>235</v>
      </c>
      <c r="P4" s="1524"/>
      <c r="Q4" s="1525"/>
      <c r="R4" s="1526" t="s">
        <v>236</v>
      </c>
      <c r="S4" s="1524"/>
      <c r="T4" s="1525"/>
      <c r="U4" s="1526" t="s">
        <v>237</v>
      </c>
      <c r="V4" s="1524"/>
      <c r="W4" s="1525"/>
      <c r="X4" s="1526" t="s">
        <v>238</v>
      </c>
      <c r="Y4" s="1524"/>
      <c r="Z4" s="1525"/>
      <c r="AA4" s="1526" t="s">
        <v>51</v>
      </c>
      <c r="AB4" s="1524"/>
      <c r="AC4" s="1525"/>
      <c r="AD4" s="1526" t="s">
        <v>52</v>
      </c>
      <c r="AE4" s="1524"/>
      <c r="AF4" s="1525"/>
      <c r="AG4" s="1518">
        <v>0.83333333333333337</v>
      </c>
      <c r="AH4" s="1524"/>
      <c r="AI4" s="1525"/>
      <c r="AJ4" s="1518">
        <v>0.91666666666666663</v>
      </c>
      <c r="AK4" s="1519"/>
      <c r="AL4" s="1520"/>
      <c r="AM4" s="1521">
        <v>0</v>
      </c>
      <c r="AN4" s="1522"/>
      <c r="AO4" s="1523"/>
      <c r="AP4" s="1518">
        <v>8.3333333333333329E-2</v>
      </c>
      <c r="AQ4" s="1519"/>
      <c r="AR4" s="1520"/>
      <c r="AS4" s="1518">
        <v>0.16666666666666666</v>
      </c>
      <c r="AT4" s="1519"/>
      <c r="AU4" s="1520"/>
      <c r="AV4" s="59" t="s">
        <v>53</v>
      </c>
      <c r="AW4" s="44"/>
    </row>
    <row r="5" spans="1:49" x14ac:dyDescent="0.3">
      <c r="A5" s="1538"/>
      <c r="B5" s="56" t="s">
        <v>58</v>
      </c>
      <c r="C5" s="56" t="s">
        <v>59</v>
      </c>
      <c r="D5" s="57" t="s">
        <v>128</v>
      </c>
      <c r="E5" s="57" t="s">
        <v>129</v>
      </c>
      <c r="F5" s="100" t="s">
        <v>130</v>
      </c>
      <c r="G5" s="55" t="s">
        <v>54</v>
      </c>
      <c r="H5" s="54" t="s">
        <v>226</v>
      </c>
      <c r="I5" s="54" t="s">
        <v>144</v>
      </c>
      <c r="J5" s="54" t="s">
        <v>224</v>
      </c>
      <c r="K5" s="54" t="s">
        <v>232</v>
      </c>
      <c r="L5" s="58" t="s">
        <v>55</v>
      </c>
      <c r="M5" s="58" t="s">
        <v>33</v>
      </c>
      <c r="N5" s="58" t="s">
        <v>225</v>
      </c>
      <c r="O5" s="58" t="s">
        <v>55</v>
      </c>
      <c r="P5" s="58" t="s">
        <v>33</v>
      </c>
      <c r="Q5" s="58" t="s">
        <v>225</v>
      </c>
      <c r="R5" s="58" t="s">
        <v>55</v>
      </c>
      <c r="S5" s="58" t="s">
        <v>33</v>
      </c>
      <c r="T5" s="58" t="s">
        <v>225</v>
      </c>
      <c r="U5" s="58" t="s">
        <v>55</v>
      </c>
      <c r="V5" s="58" t="s">
        <v>33</v>
      </c>
      <c r="W5" s="58" t="s">
        <v>225</v>
      </c>
      <c r="X5" s="58" t="s">
        <v>55</v>
      </c>
      <c r="Y5" s="58" t="s">
        <v>33</v>
      </c>
      <c r="Z5" s="58" t="s">
        <v>225</v>
      </c>
      <c r="AA5" s="58" t="s">
        <v>55</v>
      </c>
      <c r="AB5" s="58" t="s">
        <v>33</v>
      </c>
      <c r="AC5" s="58" t="s">
        <v>225</v>
      </c>
      <c r="AD5" s="58" t="s">
        <v>55</v>
      </c>
      <c r="AE5" s="58" t="s">
        <v>33</v>
      </c>
      <c r="AF5" s="58" t="s">
        <v>225</v>
      </c>
      <c r="AG5" s="58" t="s">
        <v>55</v>
      </c>
      <c r="AH5" s="58" t="s">
        <v>33</v>
      </c>
      <c r="AI5" s="58" t="s">
        <v>225</v>
      </c>
      <c r="AJ5" s="58" t="s">
        <v>55</v>
      </c>
      <c r="AK5" s="58" t="s">
        <v>33</v>
      </c>
      <c r="AL5" s="58" t="s">
        <v>225</v>
      </c>
      <c r="AM5" s="58" t="s">
        <v>55</v>
      </c>
      <c r="AN5" s="58" t="s">
        <v>33</v>
      </c>
      <c r="AO5" s="58" t="s">
        <v>225</v>
      </c>
      <c r="AP5" s="58" t="s">
        <v>55</v>
      </c>
      <c r="AQ5" s="58" t="s">
        <v>33</v>
      </c>
      <c r="AR5" s="58" t="s">
        <v>225</v>
      </c>
      <c r="AS5" s="58" t="s">
        <v>55</v>
      </c>
      <c r="AT5" s="58" t="s">
        <v>33</v>
      </c>
      <c r="AU5" s="58" t="s">
        <v>225</v>
      </c>
      <c r="AV5" s="45" t="s">
        <v>56</v>
      </c>
      <c r="AW5" s="45" t="s">
        <v>57</v>
      </c>
    </row>
    <row r="6" spans="1:49" x14ac:dyDescent="0.3">
      <c r="A6" s="1544">
        <v>46147</v>
      </c>
      <c r="B6" s="1539"/>
      <c r="C6" s="49" t="s">
        <v>169</v>
      </c>
      <c r="D6" s="49" t="s">
        <v>132</v>
      </c>
      <c r="E6" s="101"/>
      <c r="F6" s="98" t="s">
        <v>227</v>
      </c>
      <c r="G6" s="46">
        <v>1</v>
      </c>
      <c r="H6" s="173"/>
      <c r="I6" s="47"/>
      <c r="J6" s="47"/>
      <c r="K6" s="47"/>
      <c r="L6" s="47"/>
      <c r="M6" s="47"/>
      <c r="N6" s="47"/>
      <c r="O6" s="47"/>
      <c r="P6" s="172"/>
      <c r="Q6" s="172"/>
      <c r="R6" s="47"/>
      <c r="S6" s="47"/>
      <c r="T6" s="47"/>
      <c r="U6" s="47"/>
      <c r="V6" s="47"/>
      <c r="W6" s="47"/>
      <c r="X6" s="47"/>
      <c r="Y6" s="172"/>
      <c r="Z6" s="172"/>
      <c r="AA6" s="47">
        <v>11</v>
      </c>
      <c r="AB6" s="172">
        <v>0.38</v>
      </c>
      <c r="AC6" s="47">
        <v>200</v>
      </c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1553" t="s">
        <v>231</v>
      </c>
      <c r="AW6" s="1554"/>
    </row>
    <row r="7" spans="1:49" x14ac:dyDescent="0.3">
      <c r="A7" s="1544"/>
      <c r="B7" s="1528"/>
      <c r="C7" s="49"/>
      <c r="D7" s="49"/>
      <c r="E7" s="6"/>
      <c r="F7" s="6"/>
      <c r="G7" s="46">
        <v>2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1553"/>
      <c r="AW7" s="1555"/>
    </row>
    <row r="8" spans="1:49" x14ac:dyDescent="0.3">
      <c r="A8" s="1544"/>
      <c r="B8" s="1528"/>
      <c r="C8" s="49"/>
      <c r="D8" s="49"/>
      <c r="E8" s="6"/>
      <c r="F8" s="6"/>
      <c r="G8" s="46">
        <v>3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1553"/>
      <c r="AW8" s="1555"/>
    </row>
    <row r="9" spans="1:49" ht="15" thickBot="1" x14ac:dyDescent="0.35">
      <c r="A9" s="1539"/>
      <c r="B9" s="1528"/>
      <c r="C9" s="177"/>
      <c r="D9" s="177"/>
      <c r="E9" s="178"/>
      <c r="F9" s="178"/>
      <c r="G9" s="179">
        <v>4</v>
      </c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554"/>
      <c r="AW9" s="1556"/>
    </row>
    <row r="10" spans="1:49" x14ac:dyDescent="0.3">
      <c r="A10" s="1541">
        <v>46148</v>
      </c>
      <c r="B10" s="1527" t="s">
        <v>228</v>
      </c>
      <c r="C10" s="183" t="s">
        <v>169</v>
      </c>
      <c r="D10" s="184" t="s">
        <v>229</v>
      </c>
      <c r="E10" s="185"/>
      <c r="F10" s="186"/>
      <c r="G10" s="187">
        <v>1</v>
      </c>
      <c r="H10" s="188">
        <f>(1.5*1000)/I10</f>
        <v>2.7777777777777777</v>
      </c>
      <c r="I10" s="189">
        <v>540</v>
      </c>
      <c r="J10" s="189">
        <v>258</v>
      </c>
      <c r="K10" s="189"/>
      <c r="L10" s="189"/>
      <c r="M10" s="189"/>
      <c r="N10" s="189"/>
      <c r="O10" s="187"/>
      <c r="P10" s="187"/>
      <c r="Q10" s="187"/>
      <c r="R10" s="187"/>
      <c r="S10" s="187"/>
      <c r="T10" s="187"/>
      <c r="U10" s="187">
        <v>11</v>
      </c>
      <c r="V10" s="187"/>
      <c r="W10" s="187">
        <v>170</v>
      </c>
      <c r="X10" s="47">
        <v>11.1</v>
      </c>
      <c r="Y10" s="172">
        <v>0.38</v>
      </c>
      <c r="Z10" s="187"/>
      <c r="AA10" s="187">
        <v>11</v>
      </c>
      <c r="AB10" s="187"/>
      <c r="AC10" s="187">
        <v>170</v>
      </c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557" t="s">
        <v>240</v>
      </c>
      <c r="AW10" s="1560" t="s">
        <v>230</v>
      </c>
    </row>
    <row r="11" spans="1:49" x14ac:dyDescent="0.3">
      <c r="A11" s="1542"/>
      <c r="B11" s="1528"/>
      <c r="C11" s="49"/>
      <c r="D11" s="49"/>
      <c r="E11" s="101"/>
      <c r="F11" s="98"/>
      <c r="G11" s="46">
        <v>2</v>
      </c>
      <c r="H11" s="47"/>
      <c r="I11" s="47"/>
      <c r="J11" s="47"/>
      <c r="K11" s="47"/>
      <c r="L11" s="47"/>
      <c r="M11" s="47"/>
      <c r="N11" s="47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1558"/>
      <c r="AW11" s="1561"/>
    </row>
    <row r="12" spans="1:49" x14ac:dyDescent="0.3">
      <c r="A12" s="1542"/>
      <c r="B12" s="1528"/>
      <c r="C12" s="49"/>
      <c r="D12" s="49"/>
      <c r="E12" s="101"/>
      <c r="F12" s="98"/>
      <c r="G12" s="46">
        <v>3</v>
      </c>
      <c r="H12" s="18"/>
      <c r="I12" s="18"/>
      <c r="J12" s="18"/>
      <c r="K12" s="18"/>
      <c r="L12" s="18"/>
      <c r="M12" s="18"/>
      <c r="N12" s="18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1558"/>
      <c r="AW12" s="1561"/>
    </row>
    <row r="13" spans="1:49" ht="15" thickBot="1" x14ac:dyDescent="0.35">
      <c r="A13" s="1543"/>
      <c r="B13" s="1528"/>
      <c r="C13" s="190"/>
      <c r="D13" s="190"/>
      <c r="E13" s="191"/>
      <c r="F13" s="192"/>
      <c r="G13" s="193">
        <v>4</v>
      </c>
      <c r="H13" s="194"/>
      <c r="I13" s="194"/>
      <c r="J13" s="194"/>
      <c r="K13" s="194"/>
      <c r="L13" s="194"/>
      <c r="M13" s="194"/>
      <c r="N13" s="194"/>
      <c r="O13" s="193"/>
      <c r="P13" s="193"/>
      <c r="Q13" s="193"/>
      <c r="R13" s="193"/>
      <c r="S13" s="193"/>
      <c r="T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559"/>
      <c r="AW13" s="1562"/>
    </row>
    <row r="14" spans="1:49" ht="15" thickBot="1" x14ac:dyDescent="0.35">
      <c r="A14" s="1541">
        <v>46149</v>
      </c>
      <c r="B14" s="168" t="s">
        <v>274</v>
      </c>
      <c r="C14" s="183"/>
      <c r="D14" s="196"/>
      <c r="E14" s="164"/>
      <c r="F14" s="24"/>
      <c r="G14" s="187">
        <v>1</v>
      </c>
      <c r="H14" s="188">
        <f>(1.5*1000)/I14</f>
        <v>2.7777777777777777</v>
      </c>
      <c r="I14" s="189">
        <v>540</v>
      </c>
      <c r="J14" s="189">
        <v>258</v>
      </c>
      <c r="K14" s="188">
        <f>J14*((1-38%)/38%)</f>
        <v>420.9473684210526</v>
      </c>
      <c r="L14" s="188"/>
      <c r="M14" s="188"/>
      <c r="N14" s="188"/>
      <c r="O14" s="187"/>
      <c r="P14" s="187"/>
      <c r="Q14" s="187"/>
      <c r="R14" s="187">
        <v>11</v>
      </c>
      <c r="S14" s="187"/>
      <c r="T14" s="187">
        <v>180</v>
      </c>
      <c r="U14" s="187">
        <v>11</v>
      </c>
      <c r="V14" s="187"/>
      <c r="W14" s="187">
        <v>180</v>
      </c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557" t="s">
        <v>241</v>
      </c>
      <c r="AW14" s="1563"/>
    </row>
    <row r="15" spans="1:49" x14ac:dyDescent="0.3">
      <c r="A15" s="1542"/>
      <c r="B15" s="168" t="s">
        <v>233</v>
      </c>
      <c r="C15" s="49" t="s">
        <v>169</v>
      </c>
      <c r="D15" s="97" t="s">
        <v>234</v>
      </c>
      <c r="E15" s="6"/>
      <c r="F15" s="13"/>
      <c r="G15" s="46">
        <v>2</v>
      </c>
      <c r="H15" s="173">
        <f>1200/I15</f>
        <v>2.2222222222222223</v>
      </c>
      <c r="I15" s="47">
        <v>540</v>
      </c>
      <c r="J15" s="47">
        <v>265</v>
      </c>
      <c r="K15" s="188">
        <f>J15*((1-39%)/39%)</f>
        <v>414.4871794871795</v>
      </c>
      <c r="L15" s="203"/>
      <c r="M15" s="203"/>
      <c r="N15" s="203"/>
      <c r="O15" s="46">
        <v>11</v>
      </c>
      <c r="P15" s="202">
        <v>0.39</v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1558"/>
      <c r="AW15" s="1564"/>
    </row>
    <row r="16" spans="1:49" x14ac:dyDescent="0.3">
      <c r="A16" s="1542"/>
      <c r="B16" s="168"/>
      <c r="C16" s="49"/>
      <c r="D16" s="97"/>
      <c r="E16" s="6"/>
      <c r="F16" s="13"/>
      <c r="G16" s="46">
        <v>3</v>
      </c>
      <c r="H16" s="48"/>
      <c r="I16" s="48"/>
      <c r="J16" s="48"/>
      <c r="K16" s="48"/>
      <c r="L16" s="48"/>
      <c r="M16" s="48"/>
      <c r="N16" s="48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1558"/>
      <c r="AW16" s="1564"/>
    </row>
    <row r="17" spans="1:49" ht="15" thickBot="1" x14ac:dyDescent="0.35">
      <c r="A17" s="1543"/>
      <c r="B17" s="168"/>
      <c r="C17" s="190"/>
      <c r="D17" s="197"/>
      <c r="E17" s="198"/>
      <c r="F17" s="28"/>
      <c r="G17" s="193">
        <v>4</v>
      </c>
      <c r="H17" s="199"/>
      <c r="I17" s="199"/>
      <c r="J17" s="199"/>
      <c r="K17" s="199"/>
      <c r="L17" s="199"/>
      <c r="M17" s="199"/>
      <c r="N17" s="199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558"/>
      <c r="AW17" s="1565"/>
    </row>
    <row r="18" spans="1:49" x14ac:dyDescent="0.3">
      <c r="A18" s="1545">
        <v>46150</v>
      </c>
      <c r="B18" s="168" t="s">
        <v>275</v>
      </c>
      <c r="C18" s="180"/>
      <c r="D18" s="181"/>
      <c r="E18" s="35"/>
      <c r="F18" s="34"/>
      <c r="G18" s="182">
        <v>1</v>
      </c>
      <c r="H18" s="195"/>
      <c r="I18" s="195"/>
      <c r="J18" s="195"/>
      <c r="K18" s="195"/>
      <c r="L18" s="195"/>
      <c r="M18" s="195"/>
      <c r="N18" s="195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217" t="s">
        <v>285</v>
      </c>
      <c r="AW18" s="1552"/>
    </row>
    <row r="19" spans="1:49" x14ac:dyDescent="0.3">
      <c r="A19" s="1544"/>
      <c r="B19" s="168" t="s">
        <v>276</v>
      </c>
      <c r="C19" s="49"/>
      <c r="D19" s="97"/>
      <c r="E19" s="6"/>
      <c r="F19" s="13"/>
      <c r="G19" s="46">
        <v>2</v>
      </c>
      <c r="H19" s="48"/>
      <c r="I19" s="48"/>
      <c r="J19" s="48"/>
      <c r="K19" s="48"/>
      <c r="L19" s="48"/>
      <c r="M19" s="48"/>
      <c r="N19" s="48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217" t="s">
        <v>286</v>
      </c>
      <c r="AW19" s="1551"/>
    </row>
    <row r="20" spans="1:49" x14ac:dyDescent="0.3">
      <c r="A20" s="1544"/>
      <c r="B20" s="168"/>
      <c r="C20" s="49"/>
      <c r="D20" s="97"/>
      <c r="E20" s="6"/>
      <c r="F20" s="13"/>
      <c r="G20" s="46">
        <v>3</v>
      </c>
      <c r="H20" s="48"/>
      <c r="I20" s="48"/>
      <c r="J20" s="48"/>
      <c r="K20" s="48"/>
      <c r="L20" s="48"/>
      <c r="M20" s="48"/>
      <c r="N20" s="48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217"/>
      <c r="AW20" s="1551"/>
    </row>
    <row r="21" spans="1:49" x14ac:dyDescent="0.3">
      <c r="A21" s="1544"/>
      <c r="B21" s="53"/>
      <c r="C21" s="49"/>
      <c r="D21" s="97"/>
      <c r="E21" s="6"/>
      <c r="F21" s="13"/>
      <c r="G21" s="46">
        <v>4</v>
      </c>
      <c r="H21" s="48"/>
      <c r="I21" s="48"/>
      <c r="J21" s="48"/>
      <c r="K21" s="48"/>
      <c r="L21" s="48"/>
      <c r="M21" s="48"/>
      <c r="N21" s="48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217"/>
      <c r="AW21" s="1551"/>
    </row>
    <row r="22" spans="1:49" x14ac:dyDescent="0.3">
      <c r="A22" s="1544">
        <v>46151</v>
      </c>
      <c r="B22" s="51"/>
      <c r="C22" s="49"/>
      <c r="D22" s="1529"/>
      <c r="E22" s="1535"/>
      <c r="F22" s="95"/>
      <c r="G22" s="46">
        <v>5</v>
      </c>
      <c r="H22" s="48"/>
      <c r="I22" s="48"/>
      <c r="J22" s="48"/>
      <c r="K22" s="48"/>
      <c r="L22" s="48"/>
      <c r="M22" s="48"/>
      <c r="N22" s="48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6"/>
      <c r="AW22" s="1551"/>
    </row>
    <row r="23" spans="1:49" x14ac:dyDescent="0.3">
      <c r="A23" s="1544"/>
      <c r="B23" s="52"/>
      <c r="C23" s="49"/>
      <c r="D23" s="1530"/>
      <c r="E23" s="1536"/>
      <c r="F23" s="96"/>
      <c r="G23" s="46">
        <v>6</v>
      </c>
      <c r="H23" s="48"/>
      <c r="I23" s="48"/>
      <c r="J23" s="48"/>
      <c r="K23" s="48"/>
      <c r="L23" s="48"/>
      <c r="M23" s="48"/>
      <c r="N23" s="48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6"/>
      <c r="AW23" s="1551"/>
    </row>
    <row r="24" spans="1:49" x14ac:dyDescent="0.3">
      <c r="A24" s="1544"/>
      <c r="B24" s="52"/>
      <c r="C24" s="49"/>
      <c r="D24" s="1530"/>
      <c r="E24" s="1536"/>
      <c r="F24" s="96"/>
      <c r="G24" s="46">
        <v>7</v>
      </c>
      <c r="H24" s="48"/>
      <c r="I24" s="48"/>
      <c r="J24" s="48"/>
      <c r="K24" s="48"/>
      <c r="L24" s="48"/>
      <c r="M24" s="48"/>
      <c r="N24" s="48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6"/>
      <c r="AW24" s="1551"/>
    </row>
    <row r="25" spans="1:49" ht="15" thickBot="1" x14ac:dyDescent="0.35">
      <c r="A25" s="1544"/>
      <c r="B25" s="53"/>
      <c r="C25" s="49"/>
      <c r="D25" s="1531"/>
      <c r="E25" s="1537"/>
      <c r="F25" s="34"/>
      <c r="G25" s="46">
        <v>8</v>
      </c>
      <c r="H25" s="48"/>
      <c r="I25" s="48"/>
      <c r="J25" s="48"/>
      <c r="K25" s="48"/>
      <c r="L25" s="48"/>
      <c r="M25" s="48"/>
      <c r="N25" s="48"/>
      <c r="O25" s="46"/>
      <c r="P25" s="46"/>
      <c r="Q25" s="46"/>
      <c r="R25" s="46"/>
      <c r="S25" s="46"/>
      <c r="T25" s="46"/>
      <c r="U25" s="46"/>
      <c r="V25" s="46"/>
      <c r="W25" s="193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97"/>
      <c r="AW25" s="1549"/>
    </row>
    <row r="26" spans="1:49" x14ac:dyDescent="0.3">
      <c r="A26" s="1544">
        <v>46152</v>
      </c>
      <c r="B26" s="51"/>
      <c r="C26" s="49"/>
      <c r="D26" s="1529"/>
      <c r="E26" s="1535"/>
      <c r="F26" s="95"/>
      <c r="G26" s="46">
        <v>1</v>
      </c>
      <c r="H26" s="18"/>
      <c r="I26" s="18"/>
      <c r="J26" s="18"/>
      <c r="K26" s="18"/>
      <c r="L26" s="18"/>
      <c r="M26" s="18"/>
      <c r="N26" s="18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1552"/>
      <c r="AW26" s="1552"/>
    </row>
    <row r="27" spans="1:49" x14ac:dyDescent="0.3">
      <c r="A27" s="1544"/>
      <c r="B27" s="52"/>
      <c r="C27" s="49"/>
      <c r="D27" s="1530"/>
      <c r="E27" s="1536"/>
      <c r="F27" s="96"/>
      <c r="G27" s="46">
        <v>2</v>
      </c>
      <c r="H27" s="18"/>
      <c r="I27" s="18"/>
      <c r="J27" s="18"/>
      <c r="K27" s="18"/>
      <c r="L27" s="18"/>
      <c r="M27" s="18"/>
      <c r="N27" s="18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1551"/>
      <c r="AW27" s="1551"/>
    </row>
    <row r="28" spans="1:49" x14ac:dyDescent="0.3">
      <c r="A28" s="1544"/>
      <c r="B28" s="52"/>
      <c r="C28" s="49"/>
      <c r="D28" s="1530"/>
      <c r="E28" s="1536"/>
      <c r="F28" s="96"/>
      <c r="G28" s="46">
        <v>3</v>
      </c>
      <c r="H28" s="47"/>
      <c r="I28" s="47"/>
      <c r="J28" s="47"/>
      <c r="K28" s="47"/>
      <c r="L28" s="47"/>
      <c r="M28" s="47"/>
      <c r="N28" s="47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1551"/>
      <c r="AW28" s="1551"/>
    </row>
    <row r="29" spans="1:49" x14ac:dyDescent="0.3">
      <c r="A29" s="1544"/>
      <c r="B29" s="53"/>
      <c r="C29" s="49"/>
      <c r="D29" s="1531"/>
      <c r="E29" s="1537"/>
      <c r="F29" s="34"/>
      <c r="G29" s="46">
        <v>4</v>
      </c>
      <c r="H29" s="47"/>
      <c r="I29" s="47"/>
      <c r="J29" s="47"/>
      <c r="K29" s="47"/>
      <c r="L29" s="47"/>
      <c r="M29" s="47"/>
      <c r="N29" s="47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1551"/>
      <c r="AW29" s="1551"/>
    </row>
    <row r="30" spans="1:49" x14ac:dyDescent="0.3">
      <c r="A30" s="1544">
        <v>46153</v>
      </c>
      <c r="B30" s="51"/>
      <c r="C30" s="49"/>
      <c r="D30" s="1529"/>
      <c r="E30" s="1535"/>
      <c r="F30" s="95"/>
      <c r="G30" s="46">
        <v>5</v>
      </c>
      <c r="H30" s="47"/>
      <c r="I30" s="47"/>
      <c r="J30" s="47"/>
      <c r="K30" s="47"/>
      <c r="L30" s="47"/>
      <c r="M30" s="47"/>
      <c r="N30" s="47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1551"/>
      <c r="AW30" s="1551"/>
    </row>
    <row r="31" spans="1:49" x14ac:dyDescent="0.3">
      <c r="A31" s="1544"/>
      <c r="B31" s="52"/>
      <c r="C31" s="49"/>
      <c r="D31" s="1530"/>
      <c r="E31" s="1536"/>
      <c r="F31" s="96"/>
      <c r="G31" s="46">
        <v>6</v>
      </c>
      <c r="H31" s="48"/>
      <c r="I31" s="48"/>
      <c r="J31" s="48"/>
      <c r="K31" s="48"/>
      <c r="L31" s="48"/>
      <c r="M31" s="48"/>
      <c r="N31" s="48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1551"/>
      <c r="AW31" s="1551"/>
    </row>
    <row r="32" spans="1:49" x14ac:dyDescent="0.3">
      <c r="A32" s="1544"/>
      <c r="B32" s="52"/>
      <c r="C32" s="49"/>
      <c r="D32" s="1530"/>
      <c r="E32" s="1536"/>
      <c r="F32" s="96"/>
      <c r="G32" s="46">
        <v>7</v>
      </c>
      <c r="H32" s="48"/>
      <c r="I32" s="48"/>
      <c r="J32" s="48"/>
      <c r="K32" s="48"/>
      <c r="L32" s="48"/>
      <c r="M32" s="48"/>
      <c r="N32" s="48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1551"/>
      <c r="AW32" s="1551"/>
    </row>
    <row r="33" spans="1:49" x14ac:dyDescent="0.3">
      <c r="A33" s="1544"/>
      <c r="B33" s="53"/>
      <c r="C33" s="49"/>
      <c r="D33" s="1531"/>
      <c r="E33" s="1537"/>
      <c r="F33" s="34"/>
      <c r="G33" s="46">
        <v>8</v>
      </c>
      <c r="H33" s="48"/>
      <c r="I33" s="48"/>
      <c r="J33" s="48"/>
      <c r="K33" s="48"/>
      <c r="L33" s="48"/>
      <c r="M33" s="48"/>
      <c r="N33" s="48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1549"/>
      <c r="AW33" s="1549"/>
    </row>
    <row r="34" spans="1:49" x14ac:dyDescent="0.3">
      <c r="A34" s="1544">
        <v>46154</v>
      </c>
      <c r="B34" s="51"/>
      <c r="C34" s="49"/>
      <c r="D34" s="1529"/>
      <c r="E34" s="1535"/>
      <c r="F34" s="95"/>
      <c r="G34" s="46">
        <v>1</v>
      </c>
      <c r="H34" s="47"/>
      <c r="I34" s="47"/>
      <c r="J34" s="47"/>
      <c r="K34" s="47"/>
      <c r="L34" s="47"/>
      <c r="M34" s="47"/>
      <c r="N34" s="47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1552"/>
      <c r="AW34" s="1552"/>
    </row>
    <row r="35" spans="1:49" x14ac:dyDescent="0.3">
      <c r="A35" s="1544"/>
      <c r="B35" s="52"/>
      <c r="C35" s="49"/>
      <c r="D35" s="1530"/>
      <c r="E35" s="1536"/>
      <c r="F35" s="96"/>
      <c r="G35" s="46">
        <v>2</v>
      </c>
      <c r="H35" s="47"/>
      <c r="I35" s="47"/>
      <c r="J35" s="47"/>
      <c r="K35" s="47"/>
      <c r="L35" s="47"/>
      <c r="M35" s="47"/>
      <c r="N35" s="47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1551"/>
      <c r="AW35" s="1551"/>
    </row>
    <row r="36" spans="1:49" x14ac:dyDescent="0.3">
      <c r="A36" s="1544"/>
      <c r="B36" s="52"/>
      <c r="C36" s="49"/>
      <c r="D36" s="1530"/>
      <c r="E36" s="1536"/>
      <c r="F36" s="96"/>
      <c r="G36" s="46">
        <v>3</v>
      </c>
      <c r="H36" s="47"/>
      <c r="I36" s="47"/>
      <c r="J36" s="47"/>
      <c r="K36" s="47"/>
      <c r="L36" s="47"/>
      <c r="M36" s="47"/>
      <c r="N36" s="47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1551"/>
      <c r="AW36" s="1551"/>
    </row>
    <row r="37" spans="1:49" x14ac:dyDescent="0.3">
      <c r="A37" s="1544"/>
      <c r="B37" s="53"/>
      <c r="C37" s="49"/>
      <c r="D37" s="1531"/>
      <c r="E37" s="1537"/>
      <c r="F37" s="34"/>
      <c r="G37" s="46">
        <v>4</v>
      </c>
      <c r="H37" s="48"/>
      <c r="I37" s="48"/>
      <c r="J37" s="48"/>
      <c r="K37" s="48"/>
      <c r="L37" s="48"/>
      <c r="M37" s="48"/>
      <c r="N37" s="48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1551"/>
      <c r="AW37" s="1551"/>
    </row>
    <row r="38" spans="1:49" x14ac:dyDescent="0.3">
      <c r="A38" s="1544">
        <v>46155</v>
      </c>
      <c r="B38" s="51"/>
      <c r="C38" s="49"/>
      <c r="D38" s="1529"/>
      <c r="E38" s="1535"/>
      <c r="F38" s="95"/>
      <c r="G38" s="46">
        <v>5</v>
      </c>
      <c r="H38" s="48"/>
      <c r="I38" s="48"/>
      <c r="J38" s="48"/>
      <c r="K38" s="48"/>
      <c r="L38" s="48"/>
      <c r="M38" s="48"/>
      <c r="N38" s="48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1551"/>
      <c r="AW38" s="1551"/>
    </row>
    <row r="39" spans="1:49" x14ac:dyDescent="0.3">
      <c r="A39" s="1544"/>
      <c r="B39" s="52"/>
      <c r="C39" s="49"/>
      <c r="D39" s="1530"/>
      <c r="E39" s="1536"/>
      <c r="F39" s="96"/>
      <c r="G39" s="46">
        <v>6</v>
      </c>
      <c r="H39" s="48"/>
      <c r="I39" s="48"/>
      <c r="J39" s="48"/>
      <c r="K39" s="48"/>
      <c r="L39" s="48"/>
      <c r="M39" s="48"/>
      <c r="N39" s="48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1551"/>
      <c r="AW39" s="1551"/>
    </row>
    <row r="40" spans="1:49" x14ac:dyDescent="0.3">
      <c r="A40" s="1544"/>
      <c r="B40" s="52"/>
      <c r="C40" s="49"/>
      <c r="D40" s="1530"/>
      <c r="E40" s="1536"/>
      <c r="F40" s="96"/>
      <c r="G40" s="46">
        <v>7</v>
      </c>
      <c r="H40" s="48"/>
      <c r="I40" s="48"/>
      <c r="J40" s="48"/>
      <c r="K40" s="48"/>
      <c r="L40" s="48"/>
      <c r="M40" s="48"/>
      <c r="N40" s="48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1551"/>
      <c r="AW40" s="1551"/>
    </row>
    <row r="41" spans="1:49" x14ac:dyDescent="0.3">
      <c r="A41" s="1544"/>
      <c r="B41" s="53"/>
      <c r="C41" s="49"/>
      <c r="D41" s="1531"/>
      <c r="E41" s="1537"/>
      <c r="F41" s="34"/>
      <c r="G41" s="46">
        <v>8</v>
      </c>
      <c r="H41" s="48"/>
      <c r="I41" s="48"/>
      <c r="J41" s="48"/>
      <c r="K41" s="48"/>
      <c r="L41" s="48"/>
      <c r="M41" s="48"/>
      <c r="N41" s="48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1549"/>
      <c r="AW41" s="1549"/>
    </row>
    <row r="42" spans="1:49" x14ac:dyDescent="0.3">
      <c r="A42" s="1544">
        <v>46156</v>
      </c>
      <c r="B42" s="51"/>
      <c r="C42" s="49"/>
      <c r="D42" s="1529"/>
      <c r="E42" s="1535"/>
      <c r="F42" s="95"/>
      <c r="G42" s="46">
        <v>1</v>
      </c>
      <c r="H42" s="47"/>
      <c r="I42" s="47"/>
      <c r="J42" s="47"/>
      <c r="K42" s="47"/>
      <c r="L42" s="47"/>
      <c r="M42" s="47"/>
      <c r="N42" s="47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1552"/>
      <c r="AW42" s="1552"/>
    </row>
    <row r="43" spans="1:49" x14ac:dyDescent="0.3">
      <c r="A43" s="1544"/>
      <c r="B43" s="52"/>
      <c r="C43" s="49"/>
      <c r="D43" s="1530"/>
      <c r="E43" s="1536"/>
      <c r="F43" s="96"/>
      <c r="G43" s="46">
        <v>2</v>
      </c>
      <c r="H43" s="47"/>
      <c r="I43" s="47"/>
      <c r="J43" s="47"/>
      <c r="K43" s="47"/>
      <c r="L43" s="47"/>
      <c r="M43" s="47"/>
      <c r="N43" s="47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1551"/>
      <c r="AW43" s="1551"/>
    </row>
    <row r="44" spans="1:49" x14ac:dyDescent="0.3">
      <c r="A44" s="1544"/>
      <c r="B44" s="52"/>
      <c r="C44" s="49"/>
      <c r="D44" s="1530"/>
      <c r="E44" s="1536"/>
      <c r="F44" s="96"/>
      <c r="G44" s="46">
        <v>3</v>
      </c>
      <c r="H44" s="47"/>
      <c r="I44" s="47"/>
      <c r="J44" s="47"/>
      <c r="K44" s="47"/>
      <c r="L44" s="47"/>
      <c r="M44" s="47"/>
      <c r="N44" s="47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1551"/>
      <c r="AW44" s="1551"/>
    </row>
    <row r="45" spans="1:49" x14ac:dyDescent="0.3">
      <c r="A45" s="1544"/>
      <c r="B45" s="53"/>
      <c r="C45" s="49"/>
      <c r="D45" s="1531"/>
      <c r="E45" s="1537"/>
      <c r="F45" s="34"/>
      <c r="G45" s="46">
        <v>4</v>
      </c>
      <c r="H45" s="48"/>
      <c r="I45" s="48"/>
      <c r="J45" s="48"/>
      <c r="K45" s="48"/>
      <c r="L45" s="48"/>
      <c r="M45" s="48"/>
      <c r="N45" s="48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1551"/>
      <c r="AW45" s="1551"/>
    </row>
    <row r="46" spans="1:49" x14ac:dyDescent="0.3">
      <c r="A46" s="1544">
        <v>46157</v>
      </c>
      <c r="B46" s="51"/>
      <c r="C46" s="49"/>
      <c r="D46" s="1532" t="s">
        <v>157</v>
      </c>
      <c r="E46" s="1535"/>
      <c r="F46" s="95" t="s">
        <v>158</v>
      </c>
      <c r="G46" s="46">
        <v>5</v>
      </c>
      <c r="H46" s="48"/>
      <c r="I46" s="48"/>
      <c r="J46" s="48"/>
      <c r="K46" s="48"/>
      <c r="L46" s="48"/>
      <c r="M46" s="48"/>
      <c r="N46" s="48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1551"/>
      <c r="AW46" s="1551"/>
    </row>
    <row r="47" spans="1:49" x14ac:dyDescent="0.3">
      <c r="A47" s="1544"/>
      <c r="B47" s="52"/>
      <c r="C47" s="49"/>
      <c r="D47" s="1533"/>
      <c r="E47" s="1536"/>
      <c r="F47" s="96"/>
      <c r="G47" s="46">
        <v>6</v>
      </c>
      <c r="H47" s="48"/>
      <c r="I47" s="48"/>
      <c r="J47" s="48"/>
      <c r="K47" s="48"/>
      <c r="L47" s="48"/>
      <c r="M47" s="48"/>
      <c r="N47" s="48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1551"/>
      <c r="AW47" s="1551"/>
    </row>
    <row r="48" spans="1:49" x14ac:dyDescent="0.3">
      <c r="A48" s="1544"/>
      <c r="B48" s="52"/>
      <c r="C48" s="49"/>
      <c r="D48" s="1533"/>
      <c r="E48" s="1536"/>
      <c r="F48" s="96"/>
      <c r="G48" s="46">
        <v>7</v>
      </c>
      <c r="H48" s="48"/>
      <c r="I48" s="48"/>
      <c r="J48" s="48"/>
      <c r="K48" s="48"/>
      <c r="L48" s="48"/>
      <c r="M48" s="48"/>
      <c r="N48" s="48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1551"/>
      <c r="AW48" s="1551"/>
    </row>
    <row r="49" spans="1:49" x14ac:dyDescent="0.3">
      <c r="A49" s="1544"/>
      <c r="B49" s="53"/>
      <c r="C49" s="49"/>
      <c r="D49" s="1534"/>
      <c r="E49" s="1537"/>
      <c r="F49" s="34"/>
      <c r="G49" s="46">
        <v>8</v>
      </c>
      <c r="H49" s="48"/>
      <c r="I49" s="48"/>
      <c r="J49" s="48"/>
      <c r="K49" s="48"/>
      <c r="L49" s="48"/>
      <c r="M49" s="48"/>
      <c r="N49" s="48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1549"/>
      <c r="AW49" s="1549"/>
    </row>
    <row r="50" spans="1:49" x14ac:dyDescent="0.3">
      <c r="A50" s="1544">
        <v>46158</v>
      </c>
      <c r="B50" s="51"/>
      <c r="C50" s="49"/>
      <c r="D50" s="1529"/>
      <c r="E50" s="1535"/>
      <c r="F50" s="95"/>
      <c r="G50" s="46">
        <v>1</v>
      </c>
      <c r="H50" s="47"/>
      <c r="I50" s="47"/>
      <c r="J50" s="47"/>
      <c r="K50" s="47"/>
      <c r="L50" s="47"/>
      <c r="M50" s="47"/>
      <c r="N50" s="47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1552"/>
      <c r="AW50" s="1552"/>
    </row>
    <row r="51" spans="1:49" x14ac:dyDescent="0.3">
      <c r="A51" s="1544"/>
      <c r="B51" s="52"/>
      <c r="C51" s="49"/>
      <c r="D51" s="1530"/>
      <c r="E51" s="1536"/>
      <c r="F51" s="96"/>
      <c r="G51" s="46">
        <v>2</v>
      </c>
      <c r="H51" s="47"/>
      <c r="I51" s="47"/>
      <c r="J51" s="47"/>
      <c r="K51" s="47"/>
      <c r="L51" s="47"/>
      <c r="M51" s="47"/>
      <c r="N51" s="47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1551"/>
      <c r="AW51" s="1551"/>
    </row>
    <row r="52" spans="1:49" x14ac:dyDescent="0.3">
      <c r="A52" s="1544"/>
      <c r="B52" s="52"/>
      <c r="C52" s="49"/>
      <c r="D52" s="1530"/>
      <c r="E52" s="1536"/>
      <c r="F52" s="96"/>
      <c r="G52" s="46">
        <v>3</v>
      </c>
      <c r="H52" s="47"/>
      <c r="I52" s="47"/>
      <c r="J52" s="47"/>
      <c r="K52" s="47"/>
      <c r="L52" s="47"/>
      <c r="M52" s="47"/>
      <c r="N52" s="47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1551"/>
      <c r="AW52" s="1551"/>
    </row>
    <row r="53" spans="1:49" x14ac:dyDescent="0.3">
      <c r="A53" s="1544"/>
      <c r="B53" s="53"/>
      <c r="C53" s="49"/>
      <c r="D53" s="1531"/>
      <c r="E53" s="1537"/>
      <c r="F53" s="34"/>
      <c r="G53" s="46">
        <v>4</v>
      </c>
      <c r="H53" s="48"/>
      <c r="I53" s="48"/>
      <c r="J53" s="48"/>
      <c r="K53" s="48"/>
      <c r="L53" s="48"/>
      <c r="M53" s="48"/>
      <c r="N53" s="48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1551"/>
      <c r="AW53" s="1551"/>
    </row>
    <row r="54" spans="1:49" x14ac:dyDescent="0.3">
      <c r="A54" s="1544">
        <v>46159</v>
      </c>
      <c r="B54" s="51"/>
      <c r="C54" s="49"/>
      <c r="D54" s="97"/>
      <c r="E54" s="1546" t="s">
        <v>156</v>
      </c>
      <c r="F54" s="95" t="s">
        <v>159</v>
      </c>
      <c r="G54" s="46">
        <v>5</v>
      </c>
      <c r="H54" s="48"/>
      <c r="I54" s="48"/>
      <c r="J54" s="48"/>
      <c r="K54" s="48"/>
      <c r="L54" s="48"/>
      <c r="M54" s="48"/>
      <c r="N54" s="48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1551"/>
      <c r="AW54" s="1551"/>
    </row>
    <row r="55" spans="1:49" x14ac:dyDescent="0.3">
      <c r="A55" s="1544"/>
      <c r="B55" s="52"/>
      <c r="C55" s="49"/>
      <c r="D55" s="97"/>
      <c r="E55" s="1547"/>
      <c r="F55" s="96"/>
      <c r="G55" s="46">
        <v>6</v>
      </c>
      <c r="H55" s="48"/>
      <c r="I55" s="48"/>
      <c r="J55" s="48"/>
      <c r="K55" s="48"/>
      <c r="L55" s="48"/>
      <c r="M55" s="48"/>
      <c r="N55" s="48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1551"/>
      <c r="AW55" s="1551"/>
    </row>
    <row r="56" spans="1:49" x14ac:dyDescent="0.3">
      <c r="A56" s="1544"/>
      <c r="B56" s="52"/>
      <c r="C56" s="49"/>
      <c r="D56" s="97"/>
      <c r="E56" s="1547"/>
      <c r="F56" s="96"/>
      <c r="G56" s="46">
        <v>7</v>
      </c>
      <c r="H56" s="48"/>
      <c r="I56" s="48"/>
      <c r="J56" s="48"/>
      <c r="K56" s="48"/>
      <c r="L56" s="48"/>
      <c r="M56" s="48"/>
      <c r="N56" s="48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1551"/>
      <c r="AW56" s="1551"/>
    </row>
    <row r="57" spans="1:49" x14ac:dyDescent="0.3">
      <c r="A57" s="1544"/>
      <c r="B57" s="53"/>
      <c r="C57" s="49"/>
      <c r="D57" s="97"/>
      <c r="E57" s="1548"/>
      <c r="F57" s="34"/>
      <c r="G57" s="46">
        <v>8</v>
      </c>
      <c r="H57" s="48"/>
      <c r="I57" s="48"/>
      <c r="J57" s="48"/>
      <c r="K57" s="48"/>
      <c r="L57" s="48"/>
      <c r="M57" s="48"/>
      <c r="N57" s="48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1549"/>
      <c r="AW57" s="1549"/>
    </row>
    <row r="58" spans="1:49" x14ac:dyDescent="0.3">
      <c r="A58" s="1544">
        <v>46160</v>
      </c>
      <c r="B58" s="51"/>
      <c r="C58" s="49"/>
      <c r="D58" s="97"/>
      <c r="E58" s="6"/>
      <c r="F58" s="95"/>
      <c r="G58" s="46">
        <v>1</v>
      </c>
      <c r="H58" s="47"/>
      <c r="I58" s="47"/>
      <c r="J58" s="47"/>
      <c r="K58" s="47"/>
      <c r="L58" s="47"/>
      <c r="M58" s="47"/>
      <c r="N58" s="47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1552"/>
      <c r="AW58" s="1552"/>
    </row>
    <row r="59" spans="1:49" x14ac:dyDescent="0.3">
      <c r="A59" s="1544"/>
      <c r="B59" s="52"/>
      <c r="C59" s="49"/>
      <c r="D59" s="97"/>
      <c r="E59" s="6"/>
      <c r="F59" s="96"/>
      <c r="G59" s="46">
        <v>2</v>
      </c>
      <c r="H59" s="47"/>
      <c r="I59" s="47"/>
      <c r="J59" s="47"/>
      <c r="K59" s="47"/>
      <c r="L59" s="47"/>
      <c r="M59" s="47"/>
      <c r="N59" s="47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1551"/>
      <c r="AW59" s="1551"/>
    </row>
    <row r="60" spans="1:49" x14ac:dyDescent="0.3">
      <c r="A60" s="1544"/>
      <c r="B60" s="52"/>
      <c r="C60" s="49"/>
      <c r="D60" s="97"/>
      <c r="E60" s="6"/>
      <c r="F60" s="96"/>
      <c r="G60" s="46">
        <v>3</v>
      </c>
      <c r="H60" s="47"/>
      <c r="I60" s="47"/>
      <c r="J60" s="47"/>
      <c r="K60" s="47"/>
      <c r="L60" s="47"/>
      <c r="M60" s="47"/>
      <c r="N60" s="47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1551"/>
      <c r="AW60" s="1551"/>
    </row>
    <row r="61" spans="1:49" x14ac:dyDescent="0.3">
      <c r="A61" s="1544"/>
      <c r="B61" s="53"/>
      <c r="C61" s="49"/>
      <c r="D61" s="97"/>
      <c r="E61" s="6"/>
      <c r="F61" s="34"/>
      <c r="G61" s="46">
        <v>4</v>
      </c>
      <c r="H61" s="48"/>
      <c r="I61" s="48"/>
      <c r="J61" s="48"/>
      <c r="K61" s="48"/>
      <c r="L61" s="48"/>
      <c r="M61" s="48"/>
      <c r="N61" s="48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1551"/>
      <c r="AW61" s="1551"/>
    </row>
    <row r="62" spans="1:49" x14ac:dyDescent="0.3">
      <c r="A62" s="1544">
        <v>46161</v>
      </c>
      <c r="B62" s="51"/>
      <c r="C62" s="49"/>
      <c r="D62" s="97"/>
      <c r="E62" s="6"/>
      <c r="F62" s="95"/>
      <c r="G62" s="46">
        <v>5</v>
      </c>
      <c r="H62" s="48"/>
      <c r="I62" s="48"/>
      <c r="J62" s="48"/>
      <c r="K62" s="48"/>
      <c r="L62" s="48"/>
      <c r="M62" s="48"/>
      <c r="N62" s="48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1551"/>
      <c r="AW62" s="1551"/>
    </row>
    <row r="63" spans="1:49" x14ac:dyDescent="0.3">
      <c r="A63" s="1544"/>
      <c r="B63" s="52"/>
      <c r="C63" s="49"/>
      <c r="D63" s="97"/>
      <c r="E63" s="6"/>
      <c r="F63" s="96"/>
      <c r="G63" s="46">
        <v>6</v>
      </c>
      <c r="H63" s="48"/>
      <c r="I63" s="48"/>
      <c r="J63" s="48"/>
      <c r="K63" s="48"/>
      <c r="L63" s="48"/>
      <c r="M63" s="48"/>
      <c r="N63" s="48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1551"/>
      <c r="AW63" s="1551"/>
    </row>
    <row r="64" spans="1:49" x14ac:dyDescent="0.3">
      <c r="A64" s="1544"/>
      <c r="B64" s="52"/>
      <c r="C64" s="49"/>
      <c r="D64" s="97"/>
      <c r="E64" s="6"/>
      <c r="F64" s="96"/>
      <c r="G64" s="46">
        <v>7</v>
      </c>
      <c r="H64" s="48"/>
      <c r="I64" s="48"/>
      <c r="J64" s="48"/>
      <c r="K64" s="48"/>
      <c r="L64" s="48"/>
      <c r="M64" s="48"/>
      <c r="N64" s="48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1551"/>
      <c r="AW64" s="1551"/>
    </row>
    <row r="65" spans="1:49" x14ac:dyDescent="0.3">
      <c r="A65" s="1544"/>
      <c r="B65" s="53"/>
      <c r="C65" s="49"/>
      <c r="D65" s="97"/>
      <c r="E65" s="6"/>
      <c r="F65" s="34"/>
      <c r="G65" s="46">
        <v>8</v>
      </c>
      <c r="H65" s="48"/>
      <c r="I65" s="48"/>
      <c r="J65" s="48"/>
      <c r="K65" s="48"/>
      <c r="L65" s="48"/>
      <c r="M65" s="48"/>
      <c r="N65" s="48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1549"/>
      <c r="AW65" s="1549"/>
    </row>
    <row r="66" spans="1:49" x14ac:dyDescent="0.3">
      <c r="A66" s="1544">
        <v>46162</v>
      </c>
      <c r="B66" s="51"/>
      <c r="C66" s="49"/>
      <c r="D66" s="97"/>
      <c r="E66" s="6"/>
      <c r="F66" s="95"/>
      <c r="G66" s="46">
        <v>1</v>
      </c>
      <c r="H66" s="47"/>
      <c r="I66" s="47"/>
      <c r="J66" s="47"/>
      <c r="K66" s="47"/>
      <c r="L66" s="47"/>
      <c r="M66" s="47"/>
      <c r="N66" s="47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1552"/>
      <c r="AW66" s="1552"/>
    </row>
    <row r="67" spans="1:49" x14ac:dyDescent="0.3">
      <c r="A67" s="1544"/>
      <c r="B67" s="52"/>
      <c r="C67" s="49"/>
      <c r="D67" s="97"/>
      <c r="E67" s="6"/>
      <c r="F67" s="96"/>
      <c r="G67" s="46">
        <v>2</v>
      </c>
      <c r="H67" s="47"/>
      <c r="I67" s="47"/>
      <c r="J67" s="47"/>
      <c r="K67" s="47"/>
      <c r="L67" s="47"/>
      <c r="M67" s="47"/>
      <c r="N67" s="47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1551"/>
      <c r="AW67" s="1551"/>
    </row>
    <row r="68" spans="1:49" x14ac:dyDescent="0.3">
      <c r="A68" s="1544"/>
      <c r="B68" s="52"/>
      <c r="C68" s="49"/>
      <c r="D68" s="97"/>
      <c r="E68" s="6"/>
      <c r="F68" s="96"/>
      <c r="G68" s="46">
        <v>3</v>
      </c>
      <c r="H68" s="47"/>
      <c r="I68" s="47"/>
      <c r="J68" s="47"/>
      <c r="K68" s="47"/>
      <c r="L68" s="47"/>
      <c r="M68" s="47"/>
      <c r="N68" s="47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1551"/>
      <c r="AW68" s="1551"/>
    </row>
    <row r="69" spans="1:49" x14ac:dyDescent="0.3">
      <c r="A69" s="1544"/>
      <c r="B69" s="53"/>
      <c r="C69" s="49"/>
      <c r="D69" s="97"/>
      <c r="E69" s="6"/>
      <c r="F69" s="34"/>
      <c r="G69" s="46">
        <v>4</v>
      </c>
      <c r="H69" s="48"/>
      <c r="I69" s="48"/>
      <c r="J69" s="48"/>
      <c r="K69" s="48"/>
      <c r="L69" s="48"/>
      <c r="M69" s="48"/>
      <c r="N69" s="48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1551"/>
      <c r="AW69" s="1551"/>
    </row>
    <row r="70" spans="1:49" x14ac:dyDescent="0.3">
      <c r="A70" s="1544">
        <v>46163</v>
      </c>
      <c r="B70" s="51"/>
      <c r="C70" s="49"/>
      <c r="D70" s="97"/>
      <c r="E70" s="6"/>
      <c r="F70" s="95"/>
      <c r="G70" s="46">
        <v>5</v>
      </c>
      <c r="H70" s="48"/>
      <c r="I70" s="48"/>
      <c r="J70" s="48"/>
      <c r="K70" s="48"/>
      <c r="L70" s="48"/>
      <c r="M70" s="48"/>
      <c r="N70" s="48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1551"/>
      <c r="AW70" s="1551"/>
    </row>
    <row r="71" spans="1:49" x14ac:dyDescent="0.3">
      <c r="A71" s="1544"/>
      <c r="B71" s="52"/>
      <c r="C71" s="49"/>
      <c r="D71" s="97"/>
      <c r="E71" s="6"/>
      <c r="F71" s="96"/>
      <c r="G71" s="46">
        <v>6</v>
      </c>
      <c r="H71" s="48"/>
      <c r="I71" s="48"/>
      <c r="J71" s="48"/>
      <c r="K71" s="48"/>
      <c r="L71" s="48"/>
      <c r="M71" s="48"/>
      <c r="N71" s="48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1551"/>
      <c r="AW71" s="1551"/>
    </row>
    <row r="72" spans="1:49" x14ac:dyDescent="0.3">
      <c r="A72" s="1544"/>
      <c r="B72" s="52"/>
      <c r="C72" s="49"/>
      <c r="D72" s="97"/>
      <c r="E72" s="6"/>
      <c r="F72" s="96"/>
      <c r="G72" s="46">
        <v>7</v>
      </c>
      <c r="H72" s="48"/>
      <c r="I72" s="48"/>
      <c r="J72" s="48"/>
      <c r="K72" s="48"/>
      <c r="L72" s="48"/>
      <c r="M72" s="48"/>
      <c r="N72" s="48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1551"/>
      <c r="AW72" s="1551"/>
    </row>
    <row r="73" spans="1:49" x14ac:dyDescent="0.3">
      <c r="A73" s="1544"/>
      <c r="B73" s="53"/>
      <c r="C73" s="49"/>
      <c r="D73" s="97"/>
      <c r="E73" s="6"/>
      <c r="F73" s="34"/>
      <c r="G73" s="46">
        <v>8</v>
      </c>
      <c r="H73" s="48"/>
      <c r="I73" s="48"/>
      <c r="J73" s="48"/>
      <c r="K73" s="48"/>
      <c r="L73" s="48"/>
      <c r="M73" s="48"/>
      <c r="N73" s="48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1549"/>
      <c r="AW73" s="1549"/>
    </row>
    <row r="74" spans="1:49" x14ac:dyDescent="0.3">
      <c r="A74" s="1544">
        <v>46164</v>
      </c>
      <c r="B74" s="51"/>
      <c r="C74" s="49"/>
      <c r="D74" s="97"/>
      <c r="E74" s="6"/>
      <c r="F74" s="95"/>
      <c r="G74" s="46">
        <v>1</v>
      </c>
      <c r="H74" s="47"/>
      <c r="I74" s="47"/>
      <c r="J74" s="47"/>
      <c r="K74" s="47"/>
      <c r="L74" s="47"/>
      <c r="M74" s="47"/>
      <c r="N74" s="47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1552"/>
      <c r="AW74" s="1552"/>
    </row>
    <row r="75" spans="1:49" x14ac:dyDescent="0.3">
      <c r="A75" s="1544"/>
      <c r="B75" s="52"/>
      <c r="C75" s="49"/>
      <c r="D75" s="97"/>
      <c r="E75" s="6"/>
      <c r="F75" s="96"/>
      <c r="G75" s="46">
        <v>2</v>
      </c>
      <c r="H75" s="47"/>
      <c r="I75" s="47"/>
      <c r="J75" s="47"/>
      <c r="K75" s="47"/>
      <c r="L75" s="47"/>
      <c r="M75" s="47"/>
      <c r="N75" s="47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1551"/>
      <c r="AW75" s="1551"/>
    </row>
    <row r="76" spans="1:49" x14ac:dyDescent="0.3">
      <c r="A76" s="1544"/>
      <c r="B76" s="52"/>
      <c r="C76" s="49"/>
      <c r="D76" s="97"/>
      <c r="E76" s="6"/>
      <c r="F76" s="96"/>
      <c r="G76" s="46">
        <v>3</v>
      </c>
      <c r="H76" s="47"/>
      <c r="I76" s="47"/>
      <c r="J76" s="47"/>
      <c r="K76" s="47"/>
      <c r="L76" s="47"/>
      <c r="M76" s="47"/>
      <c r="N76" s="47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1551"/>
      <c r="AW76" s="1551"/>
    </row>
    <row r="77" spans="1:49" x14ac:dyDescent="0.3">
      <c r="A77" s="1544"/>
      <c r="B77" s="53"/>
      <c r="C77" s="49"/>
      <c r="D77" s="97"/>
      <c r="E77" s="6"/>
      <c r="F77" s="34"/>
      <c r="G77" s="46">
        <v>4</v>
      </c>
      <c r="H77" s="48"/>
      <c r="I77" s="48"/>
      <c r="J77" s="48"/>
      <c r="K77" s="48"/>
      <c r="L77" s="48"/>
      <c r="M77" s="48"/>
      <c r="N77" s="48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1551"/>
      <c r="AW77" s="1551"/>
    </row>
    <row r="78" spans="1:49" x14ac:dyDescent="0.3">
      <c r="A78" s="1544">
        <v>46165</v>
      </c>
      <c r="B78" s="51"/>
      <c r="C78" s="49"/>
      <c r="D78" s="97"/>
      <c r="E78" s="6"/>
      <c r="F78" s="95"/>
      <c r="G78" s="46">
        <v>5</v>
      </c>
      <c r="H78" s="48"/>
      <c r="I78" s="48"/>
      <c r="J78" s="48"/>
      <c r="K78" s="48"/>
      <c r="L78" s="48"/>
      <c r="M78" s="48"/>
      <c r="N78" s="48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1551"/>
      <c r="AW78" s="1551"/>
    </row>
    <row r="79" spans="1:49" x14ac:dyDescent="0.3">
      <c r="A79" s="1544"/>
      <c r="B79" s="52"/>
      <c r="C79" s="49"/>
      <c r="D79" s="97"/>
      <c r="E79" s="6"/>
      <c r="F79" s="96"/>
      <c r="G79" s="46">
        <v>6</v>
      </c>
      <c r="H79" s="48"/>
      <c r="I79" s="48"/>
      <c r="J79" s="48"/>
      <c r="K79" s="48"/>
      <c r="L79" s="48"/>
      <c r="M79" s="48"/>
      <c r="N79" s="48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1551"/>
      <c r="AW79" s="1551"/>
    </row>
    <row r="80" spans="1:49" x14ac:dyDescent="0.3">
      <c r="A80" s="1544"/>
      <c r="B80" s="52"/>
      <c r="C80" s="49"/>
      <c r="D80" s="97"/>
      <c r="E80" s="6"/>
      <c r="F80" s="96"/>
      <c r="G80" s="46">
        <v>7</v>
      </c>
      <c r="H80" s="48"/>
      <c r="I80" s="48"/>
      <c r="J80" s="48"/>
      <c r="K80" s="48"/>
      <c r="L80" s="48"/>
      <c r="M80" s="48"/>
      <c r="N80" s="48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1551"/>
      <c r="AW80" s="1551"/>
    </row>
    <row r="81" spans="1:49" x14ac:dyDescent="0.3">
      <c r="A81" s="1544"/>
      <c r="B81" s="53"/>
      <c r="C81" s="49"/>
      <c r="D81" s="97"/>
      <c r="E81" s="6"/>
      <c r="F81" s="34"/>
      <c r="G81" s="46">
        <v>8</v>
      </c>
      <c r="H81" s="48"/>
      <c r="I81" s="48"/>
      <c r="J81" s="48"/>
      <c r="K81" s="48"/>
      <c r="L81" s="48"/>
      <c r="M81" s="48"/>
      <c r="N81" s="48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1549"/>
      <c r="AW81" s="1549"/>
    </row>
    <row r="82" spans="1:49" x14ac:dyDescent="0.3">
      <c r="A82" s="1544">
        <v>46166</v>
      </c>
      <c r="B82" s="51"/>
      <c r="C82" s="49"/>
      <c r="D82" s="97"/>
      <c r="E82" s="6"/>
      <c r="F82" s="95"/>
      <c r="G82" s="46">
        <v>1</v>
      </c>
      <c r="H82" s="47"/>
      <c r="I82" s="47"/>
      <c r="J82" s="47"/>
      <c r="K82" s="47"/>
      <c r="L82" s="47"/>
      <c r="M82" s="47"/>
      <c r="N82" s="47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1552"/>
      <c r="AW82" s="1552"/>
    </row>
    <row r="83" spans="1:49" x14ac:dyDescent="0.3">
      <c r="A83" s="1544"/>
      <c r="B83" s="52"/>
      <c r="C83" s="49"/>
      <c r="D83" s="97"/>
      <c r="E83" s="6"/>
      <c r="F83" s="96"/>
      <c r="G83" s="46">
        <v>2</v>
      </c>
      <c r="H83" s="47"/>
      <c r="I83" s="47"/>
      <c r="J83" s="47"/>
      <c r="K83" s="47"/>
      <c r="L83" s="47"/>
      <c r="M83" s="47"/>
      <c r="N83" s="47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1551"/>
      <c r="AW83" s="1551"/>
    </row>
    <row r="84" spans="1:49" x14ac:dyDescent="0.3">
      <c r="A84" s="1544"/>
      <c r="B84" s="52"/>
      <c r="C84" s="49"/>
      <c r="D84" s="97"/>
      <c r="E84" s="6"/>
      <c r="F84" s="96"/>
      <c r="G84" s="46">
        <v>3</v>
      </c>
      <c r="H84" s="47"/>
      <c r="I84" s="47"/>
      <c r="J84" s="47"/>
      <c r="K84" s="47"/>
      <c r="L84" s="47"/>
      <c r="M84" s="47"/>
      <c r="N84" s="47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1551"/>
      <c r="AW84" s="1551"/>
    </row>
    <row r="85" spans="1:49" x14ac:dyDescent="0.3">
      <c r="A85" s="1544"/>
      <c r="B85" s="53"/>
      <c r="C85" s="49"/>
      <c r="D85" s="97"/>
      <c r="E85" s="6"/>
      <c r="F85" s="34"/>
      <c r="G85" s="46">
        <v>4</v>
      </c>
      <c r="H85" s="48"/>
      <c r="I85" s="48"/>
      <c r="J85" s="48"/>
      <c r="K85" s="48"/>
      <c r="L85" s="48"/>
      <c r="M85" s="48"/>
      <c r="N85" s="48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1551"/>
      <c r="AW85" s="1551"/>
    </row>
    <row r="86" spans="1:49" x14ac:dyDescent="0.3">
      <c r="A86" s="1544">
        <v>46167</v>
      </c>
      <c r="B86" s="51"/>
      <c r="C86" s="49"/>
      <c r="D86" s="97"/>
      <c r="E86" s="6"/>
      <c r="F86" s="95"/>
      <c r="G86" s="46">
        <v>5</v>
      </c>
      <c r="H86" s="48"/>
      <c r="I86" s="48"/>
      <c r="J86" s="48"/>
      <c r="K86" s="48"/>
      <c r="L86" s="48"/>
      <c r="M86" s="48"/>
      <c r="N86" s="48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1551"/>
      <c r="AW86" s="1551"/>
    </row>
    <row r="87" spans="1:49" x14ac:dyDescent="0.3">
      <c r="A87" s="1544"/>
      <c r="B87" s="52"/>
      <c r="C87" s="49"/>
      <c r="D87" s="97"/>
      <c r="E87" s="6"/>
      <c r="F87" s="96"/>
      <c r="G87" s="46">
        <v>6</v>
      </c>
      <c r="H87" s="48"/>
      <c r="I87" s="48"/>
      <c r="J87" s="48"/>
      <c r="K87" s="48"/>
      <c r="L87" s="48"/>
      <c r="M87" s="48"/>
      <c r="N87" s="48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1551"/>
      <c r="AW87" s="1551"/>
    </row>
    <row r="88" spans="1:49" x14ac:dyDescent="0.3">
      <c r="A88" s="1544"/>
      <c r="B88" s="52"/>
      <c r="C88" s="49"/>
      <c r="D88" s="97"/>
      <c r="E88" s="6"/>
      <c r="F88" s="96"/>
      <c r="G88" s="46">
        <v>7</v>
      </c>
      <c r="H88" s="48"/>
      <c r="I88" s="48"/>
      <c r="J88" s="48"/>
      <c r="K88" s="48"/>
      <c r="L88" s="48"/>
      <c r="M88" s="48"/>
      <c r="N88" s="48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1551"/>
      <c r="AW88" s="1551"/>
    </row>
    <row r="89" spans="1:49" x14ac:dyDescent="0.3">
      <c r="A89" s="1544"/>
      <c r="B89" s="53"/>
      <c r="C89" s="49"/>
      <c r="D89" s="97"/>
      <c r="E89" s="6"/>
      <c r="F89" s="34"/>
      <c r="G89" s="46">
        <v>8</v>
      </c>
      <c r="H89" s="48"/>
      <c r="I89" s="48"/>
      <c r="J89" s="48"/>
      <c r="K89" s="48"/>
      <c r="L89" s="48"/>
      <c r="M89" s="48"/>
      <c r="N89" s="48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1549"/>
      <c r="AW89" s="1549"/>
    </row>
    <row r="90" spans="1:49" x14ac:dyDescent="0.3">
      <c r="A90" s="1544">
        <v>46168</v>
      </c>
      <c r="B90" s="51"/>
      <c r="C90" s="49"/>
      <c r="D90" s="97"/>
      <c r="E90" s="6"/>
      <c r="F90" s="95"/>
      <c r="G90" s="46">
        <v>1</v>
      </c>
      <c r="H90" s="47"/>
      <c r="I90" s="47"/>
      <c r="J90" s="47"/>
      <c r="K90" s="47"/>
      <c r="L90" s="47"/>
      <c r="M90" s="47"/>
      <c r="N90" s="47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1552"/>
      <c r="AW90" s="1552"/>
    </row>
    <row r="91" spans="1:49" x14ac:dyDescent="0.3">
      <c r="A91" s="1544"/>
      <c r="B91" s="52"/>
      <c r="C91" s="49"/>
      <c r="D91" s="97"/>
      <c r="E91" s="6"/>
      <c r="F91" s="96"/>
      <c r="G91" s="46">
        <v>2</v>
      </c>
      <c r="H91" s="47"/>
      <c r="I91" s="47"/>
      <c r="J91" s="47"/>
      <c r="K91" s="47"/>
      <c r="L91" s="47"/>
      <c r="M91" s="47"/>
      <c r="N91" s="47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1551"/>
      <c r="AW91" s="1551"/>
    </row>
    <row r="92" spans="1:49" x14ac:dyDescent="0.3">
      <c r="A92" s="1544"/>
      <c r="B92" s="52"/>
      <c r="C92" s="49"/>
      <c r="D92" s="97"/>
      <c r="E92" s="6"/>
      <c r="F92" s="96"/>
      <c r="G92" s="46">
        <v>3</v>
      </c>
      <c r="H92" s="47"/>
      <c r="I92" s="47"/>
      <c r="J92" s="47"/>
      <c r="K92" s="47"/>
      <c r="L92" s="47"/>
      <c r="M92" s="47"/>
      <c r="N92" s="47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1551"/>
      <c r="AW92" s="1551"/>
    </row>
    <row r="93" spans="1:49" x14ac:dyDescent="0.3">
      <c r="A93" s="1544"/>
      <c r="B93" s="53"/>
      <c r="C93" s="49"/>
      <c r="D93" s="97"/>
      <c r="E93" s="6"/>
      <c r="F93" s="34"/>
      <c r="G93" s="46">
        <v>4</v>
      </c>
      <c r="H93" s="48"/>
      <c r="I93" s="48"/>
      <c r="J93" s="48"/>
      <c r="K93" s="48"/>
      <c r="L93" s="48"/>
      <c r="M93" s="48"/>
      <c r="N93" s="48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1551"/>
      <c r="AW93" s="1551"/>
    </row>
    <row r="94" spans="1:49" x14ac:dyDescent="0.3">
      <c r="A94" s="1544">
        <v>46169</v>
      </c>
      <c r="B94" s="51"/>
      <c r="C94" s="49"/>
      <c r="D94" s="97"/>
      <c r="E94" s="6"/>
      <c r="F94" s="95"/>
      <c r="G94" s="46">
        <v>5</v>
      </c>
      <c r="H94" s="48"/>
      <c r="I94" s="48"/>
      <c r="J94" s="48"/>
      <c r="K94" s="48"/>
      <c r="L94" s="48"/>
      <c r="M94" s="48"/>
      <c r="N94" s="48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1551"/>
      <c r="AW94" s="1551"/>
    </row>
    <row r="95" spans="1:49" x14ac:dyDescent="0.3">
      <c r="A95" s="1544"/>
      <c r="B95" s="52"/>
      <c r="C95" s="49"/>
      <c r="D95" s="97"/>
      <c r="E95" s="6"/>
      <c r="F95" s="96"/>
      <c r="G95" s="46">
        <v>6</v>
      </c>
      <c r="H95" s="48"/>
      <c r="I95" s="48"/>
      <c r="J95" s="48"/>
      <c r="K95" s="48"/>
      <c r="L95" s="48"/>
      <c r="M95" s="48"/>
      <c r="N95" s="48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1551"/>
      <c r="AW95" s="1551"/>
    </row>
    <row r="96" spans="1:49" x14ac:dyDescent="0.3">
      <c r="A96" s="1544"/>
      <c r="B96" s="52"/>
      <c r="C96" s="49"/>
      <c r="D96" s="97"/>
      <c r="E96" s="6"/>
      <c r="F96" s="96"/>
      <c r="G96" s="46">
        <v>7</v>
      </c>
      <c r="H96" s="48"/>
      <c r="I96" s="48"/>
      <c r="J96" s="48"/>
      <c r="K96" s="48"/>
      <c r="L96" s="48"/>
      <c r="M96" s="48"/>
      <c r="N96" s="48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1551"/>
      <c r="AW96" s="1551"/>
    </row>
    <row r="97" spans="1:49" x14ac:dyDescent="0.3">
      <c r="A97" s="1544"/>
      <c r="B97" s="53"/>
      <c r="C97" s="49"/>
      <c r="D97" s="97"/>
      <c r="E97" s="6"/>
      <c r="F97" s="34"/>
      <c r="G97" s="46">
        <v>8</v>
      </c>
      <c r="H97" s="48"/>
      <c r="I97" s="48"/>
      <c r="J97" s="48"/>
      <c r="K97" s="48"/>
      <c r="L97" s="48"/>
      <c r="M97" s="48"/>
      <c r="N97" s="48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1549"/>
      <c r="AW97" s="1549"/>
    </row>
    <row r="98" spans="1:49" x14ac:dyDescent="0.3">
      <c r="A98" s="1544">
        <v>46170</v>
      </c>
      <c r="B98" s="51"/>
      <c r="C98" s="49"/>
      <c r="D98" s="97"/>
      <c r="E98" s="6"/>
      <c r="F98" s="95"/>
      <c r="G98" s="46">
        <v>1</v>
      </c>
      <c r="H98" s="47"/>
      <c r="I98" s="47"/>
      <c r="J98" s="47"/>
      <c r="K98" s="47"/>
      <c r="L98" s="47"/>
      <c r="M98" s="47"/>
      <c r="N98" s="47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1552"/>
      <c r="AW98" s="1552"/>
    </row>
    <row r="99" spans="1:49" x14ac:dyDescent="0.3">
      <c r="A99" s="1544"/>
      <c r="B99" s="52"/>
      <c r="C99" s="49"/>
      <c r="D99" s="97"/>
      <c r="E99" s="6"/>
      <c r="F99" s="96"/>
      <c r="G99" s="46">
        <v>2</v>
      </c>
      <c r="H99" s="47"/>
      <c r="I99" s="47"/>
      <c r="J99" s="47"/>
      <c r="K99" s="47"/>
      <c r="L99" s="47"/>
      <c r="M99" s="47"/>
      <c r="N99" s="47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1551"/>
      <c r="AW99" s="1551"/>
    </row>
    <row r="100" spans="1:49" x14ac:dyDescent="0.3">
      <c r="A100" s="1544"/>
      <c r="B100" s="52"/>
      <c r="C100" s="49"/>
      <c r="D100" s="97"/>
      <c r="E100" s="6"/>
      <c r="F100" s="96"/>
      <c r="G100" s="46">
        <v>3</v>
      </c>
      <c r="H100" s="47"/>
      <c r="I100" s="47"/>
      <c r="J100" s="47"/>
      <c r="K100" s="47"/>
      <c r="L100" s="47"/>
      <c r="M100" s="47"/>
      <c r="N100" s="47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1551"/>
      <c r="AW100" s="1551"/>
    </row>
    <row r="101" spans="1:49" x14ac:dyDescent="0.3">
      <c r="A101" s="1544"/>
      <c r="B101" s="53"/>
      <c r="C101" s="49"/>
      <c r="D101" s="97"/>
      <c r="E101" s="6"/>
      <c r="F101" s="34"/>
      <c r="G101" s="46">
        <v>4</v>
      </c>
      <c r="H101" s="48"/>
      <c r="I101" s="48"/>
      <c r="J101" s="48"/>
      <c r="K101" s="48"/>
      <c r="L101" s="48"/>
      <c r="M101" s="48"/>
      <c r="N101" s="48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1551"/>
      <c r="AW101" s="1551"/>
    </row>
    <row r="102" spans="1:49" x14ac:dyDescent="0.3">
      <c r="A102" s="1544">
        <v>46171</v>
      </c>
      <c r="B102" s="51"/>
      <c r="C102" s="49"/>
      <c r="D102" s="97"/>
      <c r="E102" s="6"/>
      <c r="F102" s="95"/>
      <c r="G102" s="46">
        <v>5</v>
      </c>
      <c r="H102" s="48"/>
      <c r="I102" s="48"/>
      <c r="J102" s="48"/>
      <c r="K102" s="48"/>
      <c r="L102" s="48"/>
      <c r="M102" s="48"/>
      <c r="N102" s="48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1551"/>
      <c r="AW102" s="1551"/>
    </row>
    <row r="103" spans="1:49" x14ac:dyDescent="0.3">
      <c r="A103" s="1544"/>
      <c r="B103" s="52"/>
      <c r="C103" s="49"/>
      <c r="D103" s="97"/>
      <c r="E103" s="6"/>
      <c r="F103" s="96"/>
      <c r="G103" s="46">
        <v>6</v>
      </c>
      <c r="H103" s="48"/>
      <c r="I103" s="48"/>
      <c r="J103" s="48"/>
      <c r="K103" s="48"/>
      <c r="L103" s="48"/>
      <c r="M103" s="48"/>
      <c r="N103" s="48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1551"/>
      <c r="AW103" s="1551"/>
    </row>
    <row r="104" spans="1:49" x14ac:dyDescent="0.3">
      <c r="A104" s="1544"/>
      <c r="B104" s="52"/>
      <c r="C104" s="49"/>
      <c r="D104" s="97"/>
      <c r="E104" s="6"/>
      <c r="F104" s="96"/>
      <c r="G104" s="46">
        <v>7</v>
      </c>
      <c r="H104" s="48"/>
      <c r="I104" s="48"/>
      <c r="J104" s="48"/>
      <c r="K104" s="48"/>
      <c r="L104" s="48"/>
      <c r="M104" s="48"/>
      <c r="N104" s="48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1551"/>
      <c r="AW104" s="1551"/>
    </row>
    <row r="105" spans="1:49" x14ac:dyDescent="0.3">
      <c r="A105" s="1544"/>
      <c r="B105" s="53"/>
      <c r="C105" s="49"/>
      <c r="D105" s="97"/>
      <c r="E105" s="6"/>
      <c r="F105" s="34"/>
      <c r="G105" s="46">
        <v>8</v>
      </c>
      <c r="H105" s="48"/>
      <c r="I105" s="48"/>
      <c r="J105" s="48"/>
      <c r="K105" s="48"/>
      <c r="L105" s="48"/>
      <c r="M105" s="48"/>
      <c r="N105" s="48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1549"/>
      <c r="AW105" s="1549"/>
    </row>
    <row r="106" spans="1:49" x14ac:dyDescent="0.3">
      <c r="A106" s="1544">
        <v>46172</v>
      </c>
      <c r="B106" s="51"/>
      <c r="C106" s="49"/>
      <c r="D106" s="97"/>
      <c r="E106" s="6"/>
      <c r="F106" s="95"/>
      <c r="G106" s="46">
        <v>1</v>
      </c>
      <c r="H106" s="47"/>
      <c r="I106" s="47"/>
      <c r="J106" s="47"/>
      <c r="K106" s="47"/>
      <c r="L106" s="47"/>
      <c r="M106" s="47"/>
      <c r="N106" s="47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1552"/>
      <c r="AW106" s="1552"/>
    </row>
    <row r="107" spans="1:49" x14ac:dyDescent="0.3">
      <c r="A107" s="1544"/>
      <c r="B107" s="52"/>
      <c r="C107" s="49"/>
      <c r="D107" s="97"/>
      <c r="E107" s="6"/>
      <c r="F107" s="96"/>
      <c r="G107" s="46">
        <v>2</v>
      </c>
      <c r="H107" s="47"/>
      <c r="I107" s="47"/>
      <c r="J107" s="47"/>
      <c r="K107" s="47"/>
      <c r="L107" s="47"/>
      <c r="M107" s="47"/>
      <c r="N107" s="47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1551"/>
      <c r="AW107" s="1551"/>
    </row>
    <row r="108" spans="1:49" x14ac:dyDescent="0.3">
      <c r="A108" s="1544"/>
      <c r="B108" s="52"/>
      <c r="C108" s="49"/>
      <c r="D108" s="97"/>
      <c r="E108" s="6"/>
      <c r="F108" s="96"/>
      <c r="G108" s="46">
        <v>3</v>
      </c>
      <c r="H108" s="47"/>
      <c r="I108" s="47"/>
      <c r="J108" s="47"/>
      <c r="K108" s="47"/>
      <c r="L108" s="47"/>
      <c r="M108" s="47"/>
      <c r="N108" s="47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1551"/>
      <c r="AW108" s="1551"/>
    </row>
    <row r="109" spans="1:49" x14ac:dyDescent="0.3">
      <c r="A109" s="1544"/>
      <c r="B109" s="53"/>
      <c r="C109" s="49"/>
      <c r="D109" s="97"/>
      <c r="E109" s="6"/>
      <c r="F109" s="34"/>
      <c r="G109" s="46">
        <v>4</v>
      </c>
      <c r="H109" s="48"/>
      <c r="I109" s="48"/>
      <c r="J109" s="48"/>
      <c r="K109" s="48"/>
      <c r="L109" s="48"/>
      <c r="M109" s="48"/>
      <c r="N109" s="48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1551"/>
      <c r="AW109" s="1551"/>
    </row>
    <row r="110" spans="1:49" x14ac:dyDescent="0.3">
      <c r="A110" s="1544">
        <v>46173</v>
      </c>
      <c r="B110" s="51"/>
      <c r="C110" s="49"/>
      <c r="D110" s="97"/>
      <c r="E110" s="6"/>
      <c r="F110" s="95"/>
      <c r="G110" s="46">
        <v>5</v>
      </c>
      <c r="H110" s="48"/>
      <c r="I110" s="48"/>
      <c r="J110" s="48"/>
      <c r="K110" s="48"/>
      <c r="L110" s="48"/>
      <c r="M110" s="48"/>
      <c r="N110" s="48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1551"/>
      <c r="AW110" s="1551"/>
    </row>
    <row r="111" spans="1:49" x14ac:dyDescent="0.3">
      <c r="A111" s="1544"/>
      <c r="B111" s="52"/>
      <c r="C111" s="49"/>
      <c r="D111" s="97"/>
      <c r="E111" s="6"/>
      <c r="F111" s="96"/>
      <c r="G111" s="46">
        <v>6</v>
      </c>
      <c r="H111" s="48"/>
      <c r="I111" s="48"/>
      <c r="J111" s="48"/>
      <c r="K111" s="48"/>
      <c r="L111" s="48"/>
      <c r="M111" s="48"/>
      <c r="N111" s="48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1551"/>
      <c r="AW111" s="1551"/>
    </row>
    <row r="112" spans="1:49" x14ac:dyDescent="0.3">
      <c r="A112" s="1544"/>
      <c r="B112" s="52"/>
      <c r="C112" s="49"/>
      <c r="D112" s="97"/>
      <c r="E112" s="6"/>
      <c r="F112" s="96"/>
      <c r="G112" s="46">
        <v>7</v>
      </c>
      <c r="H112" s="48"/>
      <c r="I112" s="48"/>
      <c r="J112" s="48"/>
      <c r="K112" s="48"/>
      <c r="L112" s="48"/>
      <c r="M112" s="48"/>
      <c r="N112" s="48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1551"/>
      <c r="AW112" s="1551"/>
    </row>
    <row r="113" spans="1:49" x14ac:dyDescent="0.3">
      <c r="A113" s="1544"/>
      <c r="B113" s="53"/>
      <c r="C113" s="49"/>
      <c r="D113" s="97"/>
      <c r="E113" s="6"/>
      <c r="F113" s="34"/>
      <c r="G113" s="46">
        <v>8</v>
      </c>
      <c r="H113" s="48"/>
      <c r="I113" s="48"/>
      <c r="J113" s="48"/>
      <c r="K113" s="48"/>
      <c r="L113" s="48"/>
      <c r="M113" s="48"/>
      <c r="N113" s="48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1549"/>
      <c r="AW113" s="1549"/>
    </row>
    <row r="114" spans="1:49" x14ac:dyDescent="0.3">
      <c r="A114" s="1544">
        <v>46174</v>
      </c>
      <c r="B114" s="51"/>
      <c r="C114" s="49"/>
      <c r="D114" s="97"/>
      <c r="E114" s="6"/>
      <c r="F114" s="95"/>
      <c r="G114" s="46">
        <v>1</v>
      </c>
      <c r="H114" s="47"/>
      <c r="I114" s="47"/>
      <c r="J114" s="47"/>
      <c r="K114" s="47"/>
      <c r="L114" s="47"/>
      <c r="M114" s="47"/>
      <c r="N114" s="47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1552"/>
      <c r="AW114" s="1552"/>
    </row>
    <row r="115" spans="1:49" x14ac:dyDescent="0.3">
      <c r="A115" s="1544"/>
      <c r="B115" s="52"/>
      <c r="C115" s="49"/>
      <c r="D115" s="97"/>
      <c r="E115" s="6"/>
      <c r="F115" s="96"/>
      <c r="G115" s="46">
        <v>2</v>
      </c>
      <c r="H115" s="47"/>
      <c r="I115" s="47"/>
      <c r="J115" s="47"/>
      <c r="K115" s="47"/>
      <c r="L115" s="47"/>
      <c r="M115" s="47"/>
      <c r="N115" s="47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1551"/>
      <c r="AW115" s="1551"/>
    </row>
    <row r="116" spans="1:49" x14ac:dyDescent="0.3">
      <c r="A116" s="1544"/>
      <c r="B116" s="52"/>
      <c r="C116" s="49"/>
      <c r="D116" s="97"/>
      <c r="E116" s="6"/>
      <c r="F116" s="96"/>
      <c r="G116" s="46">
        <v>3</v>
      </c>
      <c r="H116" s="47"/>
      <c r="I116" s="47"/>
      <c r="J116" s="47"/>
      <c r="K116" s="47"/>
      <c r="L116" s="47"/>
      <c r="M116" s="47"/>
      <c r="N116" s="47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1551"/>
      <c r="AW116" s="1551"/>
    </row>
    <row r="117" spans="1:49" x14ac:dyDescent="0.3">
      <c r="A117" s="1544"/>
      <c r="B117" s="53"/>
      <c r="C117" s="49"/>
      <c r="D117" s="97"/>
      <c r="E117" s="6"/>
      <c r="F117" s="34"/>
      <c r="G117" s="46">
        <v>4</v>
      </c>
      <c r="H117" s="48"/>
      <c r="I117" s="48"/>
      <c r="J117" s="48"/>
      <c r="K117" s="48"/>
      <c r="L117" s="48"/>
      <c r="M117" s="48"/>
      <c r="N117" s="48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1551"/>
      <c r="AW117" s="1551"/>
    </row>
    <row r="118" spans="1:49" x14ac:dyDescent="0.3">
      <c r="A118" s="1544">
        <v>46175</v>
      </c>
      <c r="B118" s="51"/>
      <c r="C118" s="49"/>
      <c r="D118" s="1529"/>
      <c r="E118" s="1535"/>
      <c r="F118" s="95"/>
      <c r="G118" s="46">
        <v>5</v>
      </c>
      <c r="H118" s="48"/>
      <c r="I118" s="48"/>
      <c r="J118" s="48"/>
      <c r="K118" s="48"/>
      <c r="L118" s="48"/>
      <c r="M118" s="48"/>
      <c r="N118" s="48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1551"/>
      <c r="AW118" s="1551"/>
    </row>
    <row r="119" spans="1:49" x14ac:dyDescent="0.3">
      <c r="A119" s="1544"/>
      <c r="B119" s="52"/>
      <c r="C119" s="49"/>
      <c r="D119" s="1530"/>
      <c r="E119" s="1536"/>
      <c r="F119" s="96"/>
      <c r="G119" s="46">
        <v>6</v>
      </c>
      <c r="H119" s="48"/>
      <c r="I119" s="48"/>
      <c r="J119" s="48"/>
      <c r="K119" s="48"/>
      <c r="L119" s="48"/>
      <c r="M119" s="48"/>
      <c r="N119" s="48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1551"/>
      <c r="AW119" s="1551"/>
    </row>
    <row r="120" spans="1:49" x14ac:dyDescent="0.3">
      <c r="A120" s="1544"/>
      <c r="B120" s="52"/>
      <c r="C120" s="49"/>
      <c r="D120" s="1530"/>
      <c r="E120" s="1536"/>
      <c r="F120" s="96"/>
      <c r="G120" s="46">
        <v>7</v>
      </c>
      <c r="H120" s="48"/>
      <c r="I120" s="48"/>
      <c r="J120" s="48"/>
      <c r="K120" s="48"/>
      <c r="L120" s="48"/>
      <c r="M120" s="48"/>
      <c r="N120" s="48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1551"/>
      <c r="AW120" s="1551"/>
    </row>
    <row r="121" spans="1:49" x14ac:dyDescent="0.3">
      <c r="A121" s="1544"/>
      <c r="B121" s="53"/>
      <c r="C121" s="49"/>
      <c r="D121" s="1531"/>
      <c r="E121" s="1537"/>
      <c r="F121" s="34"/>
      <c r="G121" s="46">
        <v>8</v>
      </c>
      <c r="H121" s="48"/>
      <c r="I121" s="48"/>
      <c r="J121" s="48"/>
      <c r="K121" s="48"/>
      <c r="L121" s="48"/>
      <c r="M121" s="48"/>
      <c r="N121" s="48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1549"/>
      <c r="AW121" s="1549"/>
    </row>
    <row r="122" spans="1:49" x14ac:dyDescent="0.3">
      <c r="A122" s="1544">
        <v>46176</v>
      </c>
      <c r="B122" s="51"/>
      <c r="C122" s="49"/>
      <c r="D122" s="1529"/>
      <c r="E122" s="1535"/>
      <c r="F122" s="95"/>
      <c r="G122" s="46">
        <v>1</v>
      </c>
      <c r="H122" s="47"/>
      <c r="I122" s="47"/>
      <c r="J122" s="47"/>
      <c r="K122" s="47"/>
      <c r="L122" s="47"/>
      <c r="M122" s="47"/>
      <c r="N122" s="47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1552"/>
      <c r="AW122" s="1552"/>
    </row>
    <row r="123" spans="1:49" x14ac:dyDescent="0.3">
      <c r="A123" s="1544"/>
      <c r="B123" s="52"/>
      <c r="C123" s="49"/>
      <c r="D123" s="1530"/>
      <c r="E123" s="1536"/>
      <c r="F123" s="96"/>
      <c r="G123" s="46">
        <v>2</v>
      </c>
      <c r="H123" s="47"/>
      <c r="I123" s="47"/>
      <c r="J123" s="47"/>
      <c r="K123" s="47"/>
      <c r="L123" s="47"/>
      <c r="M123" s="47"/>
      <c r="N123" s="47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1551"/>
      <c r="AW123" s="1551"/>
    </row>
    <row r="124" spans="1:49" x14ac:dyDescent="0.3">
      <c r="A124" s="1544"/>
      <c r="B124" s="52"/>
      <c r="C124" s="49"/>
      <c r="D124" s="1530"/>
      <c r="E124" s="1536"/>
      <c r="F124" s="96"/>
      <c r="G124" s="46">
        <v>3</v>
      </c>
      <c r="H124" s="47"/>
      <c r="I124" s="47"/>
      <c r="J124" s="47"/>
      <c r="K124" s="47"/>
      <c r="L124" s="47"/>
      <c r="M124" s="47"/>
      <c r="N124" s="47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1551"/>
      <c r="AW124" s="1551"/>
    </row>
    <row r="125" spans="1:49" x14ac:dyDescent="0.3">
      <c r="A125" s="1544"/>
      <c r="B125" s="53"/>
      <c r="C125" s="49"/>
      <c r="D125" s="1531"/>
      <c r="E125" s="1537"/>
      <c r="F125" s="34"/>
      <c r="G125" s="46">
        <v>4</v>
      </c>
      <c r="H125" s="48"/>
      <c r="I125" s="48"/>
      <c r="J125" s="48"/>
      <c r="K125" s="48"/>
      <c r="L125" s="48"/>
      <c r="M125" s="48"/>
      <c r="N125" s="48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1551"/>
      <c r="AW125" s="1551"/>
    </row>
    <row r="126" spans="1:49" x14ac:dyDescent="0.3">
      <c r="A126" s="1544">
        <v>46177</v>
      </c>
      <c r="B126" s="51"/>
      <c r="C126" s="49"/>
      <c r="D126" s="1529"/>
      <c r="E126" s="1535"/>
      <c r="F126" s="95"/>
      <c r="G126" s="46">
        <v>5</v>
      </c>
      <c r="H126" s="48"/>
      <c r="I126" s="48"/>
      <c r="J126" s="48"/>
      <c r="K126" s="48"/>
      <c r="L126" s="48"/>
      <c r="M126" s="48"/>
      <c r="N126" s="48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1551"/>
      <c r="AW126" s="1551"/>
    </row>
    <row r="127" spans="1:49" x14ac:dyDescent="0.3">
      <c r="A127" s="1544"/>
      <c r="B127" s="52"/>
      <c r="C127" s="49"/>
      <c r="D127" s="1530"/>
      <c r="E127" s="1536"/>
      <c r="F127" s="96"/>
      <c r="G127" s="46">
        <v>6</v>
      </c>
      <c r="H127" s="48"/>
      <c r="I127" s="48"/>
      <c r="J127" s="48"/>
      <c r="K127" s="48"/>
      <c r="L127" s="48"/>
      <c r="M127" s="48"/>
      <c r="N127" s="48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1551"/>
      <c r="AW127" s="1551"/>
    </row>
    <row r="128" spans="1:49" x14ac:dyDescent="0.3">
      <c r="A128" s="1544"/>
      <c r="B128" s="52"/>
      <c r="C128" s="49"/>
      <c r="D128" s="1530"/>
      <c r="E128" s="1536"/>
      <c r="F128" s="96"/>
      <c r="G128" s="46">
        <v>7</v>
      </c>
      <c r="H128" s="48"/>
      <c r="I128" s="48"/>
      <c r="J128" s="48"/>
      <c r="K128" s="48"/>
      <c r="L128" s="48"/>
      <c r="M128" s="48"/>
      <c r="N128" s="48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1551"/>
      <c r="AW128" s="1551"/>
    </row>
    <row r="129" spans="1:49" x14ac:dyDescent="0.3">
      <c r="A129" s="1544"/>
      <c r="B129" s="53"/>
      <c r="C129" s="49"/>
      <c r="D129" s="1531"/>
      <c r="E129" s="1537"/>
      <c r="F129" s="34"/>
      <c r="G129" s="46">
        <v>8</v>
      </c>
      <c r="H129" s="48"/>
      <c r="I129" s="48"/>
      <c r="J129" s="48"/>
      <c r="K129" s="48"/>
      <c r="L129" s="48"/>
      <c r="M129" s="48"/>
      <c r="N129" s="48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1549"/>
      <c r="AW129" s="1549"/>
    </row>
    <row r="130" spans="1:49" x14ac:dyDescent="0.3">
      <c r="A130" s="18"/>
      <c r="B130" s="18"/>
      <c r="C130" s="18"/>
      <c r="D130" s="1544"/>
      <c r="E130" s="1550"/>
      <c r="F130" s="98"/>
      <c r="G130" s="46">
        <v>1</v>
      </c>
      <c r="H130" s="47"/>
      <c r="I130" s="47"/>
      <c r="J130" s="47"/>
      <c r="K130" s="47"/>
      <c r="L130" s="47"/>
      <c r="M130" s="47"/>
      <c r="N130" s="47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1552"/>
      <c r="AW130" s="1552"/>
    </row>
    <row r="131" spans="1:49" x14ac:dyDescent="0.3">
      <c r="A131" s="18"/>
      <c r="B131" s="18"/>
      <c r="C131" s="18"/>
      <c r="D131" s="1549"/>
      <c r="E131" s="1551"/>
      <c r="F131" s="6"/>
      <c r="G131" s="46">
        <v>2</v>
      </c>
      <c r="H131" s="47"/>
      <c r="I131" s="47"/>
      <c r="J131" s="47"/>
      <c r="K131" s="47"/>
      <c r="L131" s="47"/>
      <c r="M131" s="47"/>
      <c r="N131" s="47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1551"/>
      <c r="AW131" s="1551"/>
    </row>
    <row r="132" spans="1:49" x14ac:dyDescent="0.3">
      <c r="A132" s="18"/>
      <c r="B132" s="18"/>
      <c r="C132" s="18"/>
      <c r="D132" s="1549"/>
      <c r="E132" s="1551"/>
      <c r="F132" s="6"/>
      <c r="G132" s="46">
        <v>3</v>
      </c>
      <c r="H132" s="47"/>
      <c r="I132" s="47"/>
      <c r="J132" s="47"/>
      <c r="K132" s="47"/>
      <c r="L132" s="47"/>
      <c r="M132" s="47"/>
      <c r="N132" s="47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1551"/>
      <c r="AW132" s="1551"/>
    </row>
    <row r="133" spans="1:49" x14ac:dyDescent="0.3">
      <c r="A133" s="18"/>
      <c r="B133" s="18"/>
      <c r="C133" s="18"/>
      <c r="D133" s="1549"/>
      <c r="E133" s="1551"/>
      <c r="F133" s="6"/>
      <c r="G133" s="46">
        <v>4</v>
      </c>
      <c r="H133" s="48"/>
      <c r="I133" s="48"/>
      <c r="J133" s="48"/>
      <c r="K133" s="48"/>
      <c r="L133" s="48"/>
      <c r="M133" s="48"/>
      <c r="N133" s="48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1551"/>
      <c r="AW133" s="1551"/>
    </row>
    <row r="134" spans="1:49" x14ac:dyDescent="0.3">
      <c r="A134" s="18"/>
      <c r="B134" s="18"/>
      <c r="C134" s="18"/>
      <c r="D134" s="1549"/>
      <c r="E134" s="1551"/>
      <c r="F134" s="6"/>
      <c r="G134" s="46">
        <v>5</v>
      </c>
      <c r="H134" s="48"/>
      <c r="I134" s="48"/>
      <c r="J134" s="48"/>
      <c r="K134" s="48"/>
      <c r="L134" s="48"/>
      <c r="M134" s="48"/>
      <c r="N134" s="48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1551"/>
      <c r="AW134" s="1551"/>
    </row>
    <row r="135" spans="1:49" x14ac:dyDescent="0.3">
      <c r="A135" s="18"/>
      <c r="B135" s="18"/>
      <c r="C135" s="18"/>
      <c r="D135" s="1549"/>
      <c r="E135" s="1551"/>
      <c r="F135" s="6"/>
      <c r="G135" s="46">
        <v>6</v>
      </c>
      <c r="H135" s="48"/>
      <c r="I135" s="48"/>
      <c r="J135" s="48"/>
      <c r="K135" s="48"/>
      <c r="L135" s="48"/>
      <c r="M135" s="48"/>
      <c r="N135" s="48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1551"/>
      <c r="AW135" s="1551"/>
    </row>
    <row r="136" spans="1:49" x14ac:dyDescent="0.3">
      <c r="A136" s="18"/>
      <c r="B136" s="18"/>
      <c r="C136" s="18"/>
      <c r="D136" s="1549"/>
      <c r="E136" s="1551"/>
      <c r="F136" s="6"/>
      <c r="G136" s="46">
        <v>7</v>
      </c>
      <c r="H136" s="48"/>
      <c r="I136" s="48"/>
      <c r="J136" s="48"/>
      <c r="K136" s="48"/>
      <c r="L136" s="48"/>
      <c r="M136" s="48"/>
      <c r="N136" s="48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1551"/>
      <c r="AW136" s="1551"/>
    </row>
    <row r="137" spans="1:49" x14ac:dyDescent="0.3">
      <c r="A137" s="18"/>
      <c r="B137" s="18"/>
      <c r="C137" s="18"/>
      <c r="D137" s="1549"/>
      <c r="E137" s="1549"/>
      <c r="F137" s="97"/>
      <c r="G137" s="46">
        <v>8</v>
      </c>
      <c r="H137" s="48"/>
      <c r="I137" s="48"/>
      <c r="J137" s="48"/>
      <c r="K137" s="48"/>
      <c r="L137" s="48"/>
      <c r="M137" s="48"/>
      <c r="N137" s="48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1549"/>
      <c r="AW137" s="1549"/>
    </row>
    <row r="138" spans="1:49" x14ac:dyDescent="0.3">
      <c r="A138" s="18"/>
      <c r="B138" s="18"/>
      <c r="C138" s="18"/>
      <c r="D138" s="1544"/>
      <c r="E138" s="1550"/>
      <c r="F138" s="98"/>
      <c r="G138" s="46">
        <v>1</v>
      </c>
      <c r="H138" s="47"/>
      <c r="I138" s="47"/>
      <c r="J138" s="47"/>
      <c r="K138" s="47"/>
      <c r="L138" s="47"/>
      <c r="M138" s="47"/>
      <c r="N138" s="47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1552"/>
      <c r="AW138" s="1552"/>
    </row>
    <row r="139" spans="1:49" x14ac:dyDescent="0.3">
      <c r="A139" s="18"/>
      <c r="B139" s="18"/>
      <c r="C139" s="18"/>
      <c r="D139" s="1549"/>
      <c r="E139" s="1551"/>
      <c r="F139" s="6"/>
      <c r="G139" s="46">
        <v>2</v>
      </c>
      <c r="H139" s="47"/>
      <c r="I139" s="47"/>
      <c r="J139" s="47"/>
      <c r="K139" s="47"/>
      <c r="L139" s="47"/>
      <c r="M139" s="47"/>
      <c r="N139" s="47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1551"/>
      <c r="AW139" s="1551"/>
    </row>
    <row r="140" spans="1:49" x14ac:dyDescent="0.3">
      <c r="A140" s="18"/>
      <c r="B140" s="18"/>
      <c r="C140" s="18"/>
      <c r="D140" s="1549"/>
      <c r="E140" s="1551"/>
      <c r="F140" s="6"/>
      <c r="G140" s="46">
        <v>3</v>
      </c>
      <c r="H140" s="47"/>
      <c r="I140" s="47"/>
      <c r="J140" s="47"/>
      <c r="K140" s="47"/>
      <c r="L140" s="47"/>
      <c r="M140" s="47"/>
      <c r="N140" s="47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1551"/>
      <c r="AW140" s="1551"/>
    </row>
    <row r="141" spans="1:49" x14ac:dyDescent="0.3">
      <c r="A141" s="18"/>
      <c r="B141" s="18"/>
      <c r="C141" s="18"/>
      <c r="D141" s="1549"/>
      <c r="E141" s="1551"/>
      <c r="F141" s="6"/>
      <c r="G141" s="46">
        <v>4</v>
      </c>
      <c r="H141" s="48"/>
      <c r="I141" s="48"/>
      <c r="J141" s="48"/>
      <c r="K141" s="48"/>
      <c r="L141" s="48"/>
      <c r="M141" s="48"/>
      <c r="N141" s="48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1551"/>
      <c r="AW141" s="1551"/>
    </row>
    <row r="142" spans="1:49" x14ac:dyDescent="0.3">
      <c r="A142" s="18"/>
      <c r="B142" s="18"/>
      <c r="C142" s="18"/>
      <c r="D142" s="1549"/>
      <c r="E142" s="1551"/>
      <c r="F142" s="6"/>
      <c r="G142" s="46">
        <v>5</v>
      </c>
      <c r="H142" s="48"/>
      <c r="I142" s="48"/>
      <c r="J142" s="48"/>
      <c r="K142" s="48"/>
      <c r="L142" s="48"/>
      <c r="M142" s="48"/>
      <c r="N142" s="48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1551"/>
      <c r="AW142" s="1551"/>
    </row>
    <row r="143" spans="1:49" x14ac:dyDescent="0.3">
      <c r="A143" s="18"/>
      <c r="B143" s="18"/>
      <c r="C143" s="18"/>
      <c r="D143" s="1549"/>
      <c r="E143" s="1551"/>
      <c r="F143" s="6"/>
      <c r="G143" s="46">
        <v>6</v>
      </c>
      <c r="H143" s="48"/>
      <c r="I143" s="48"/>
      <c r="J143" s="48"/>
      <c r="K143" s="48"/>
      <c r="L143" s="48"/>
      <c r="M143" s="48"/>
      <c r="N143" s="48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1551"/>
      <c r="AW143" s="1551"/>
    </row>
    <row r="144" spans="1:49" x14ac:dyDescent="0.3">
      <c r="A144" s="18"/>
      <c r="B144" s="18"/>
      <c r="C144" s="18"/>
      <c r="D144" s="1549"/>
      <c r="E144" s="1551"/>
      <c r="F144" s="6"/>
      <c r="G144" s="46">
        <v>7</v>
      </c>
      <c r="H144" s="48"/>
      <c r="I144" s="48"/>
      <c r="J144" s="48"/>
      <c r="K144" s="48"/>
      <c r="L144" s="48"/>
      <c r="M144" s="48"/>
      <c r="N144" s="48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1551"/>
      <c r="AW144" s="1551"/>
    </row>
    <row r="145" spans="1:49" x14ac:dyDescent="0.3">
      <c r="A145" s="18"/>
      <c r="B145" s="18"/>
      <c r="C145" s="18"/>
      <c r="D145" s="1549"/>
      <c r="E145" s="1549"/>
      <c r="F145" s="97"/>
      <c r="G145" s="46">
        <v>8</v>
      </c>
      <c r="H145" s="48"/>
      <c r="I145" s="48"/>
      <c r="J145" s="48"/>
      <c r="K145" s="48"/>
      <c r="L145" s="48"/>
      <c r="M145" s="48"/>
      <c r="N145" s="48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1549"/>
      <c r="AW145" s="1549"/>
    </row>
    <row r="146" spans="1:49" x14ac:dyDescent="0.3">
      <c r="A146" s="18"/>
      <c r="B146" s="18"/>
      <c r="C146" s="18"/>
      <c r="D146" s="1544"/>
      <c r="E146" s="1550"/>
      <c r="F146" s="98"/>
      <c r="G146" s="46">
        <v>1</v>
      </c>
      <c r="H146" s="47"/>
      <c r="I146" s="47"/>
      <c r="J146" s="47"/>
      <c r="K146" s="47"/>
      <c r="L146" s="47"/>
      <c r="M146" s="47"/>
      <c r="N146" s="47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1552"/>
      <c r="AW146" s="1552"/>
    </row>
    <row r="147" spans="1:49" x14ac:dyDescent="0.3">
      <c r="A147" s="18"/>
      <c r="B147" s="18"/>
      <c r="C147" s="18"/>
      <c r="D147" s="1549"/>
      <c r="E147" s="1551"/>
      <c r="F147" s="6"/>
      <c r="G147" s="46">
        <v>2</v>
      </c>
      <c r="H147" s="47"/>
      <c r="I147" s="47"/>
      <c r="J147" s="47"/>
      <c r="K147" s="47"/>
      <c r="L147" s="47"/>
      <c r="M147" s="47"/>
      <c r="N147" s="47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1551"/>
      <c r="AW147" s="1551"/>
    </row>
    <row r="148" spans="1:49" x14ac:dyDescent="0.3">
      <c r="A148" s="18"/>
      <c r="B148" s="18"/>
      <c r="C148" s="18"/>
      <c r="D148" s="1549"/>
      <c r="E148" s="1551"/>
      <c r="F148" s="6"/>
      <c r="G148" s="46">
        <v>3</v>
      </c>
      <c r="H148" s="47"/>
      <c r="I148" s="47"/>
      <c r="J148" s="47"/>
      <c r="K148" s="47"/>
      <c r="L148" s="47"/>
      <c r="M148" s="47"/>
      <c r="N148" s="47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1551"/>
      <c r="AW148" s="1551"/>
    </row>
    <row r="149" spans="1:49" x14ac:dyDescent="0.3">
      <c r="A149" s="18"/>
      <c r="B149" s="18"/>
      <c r="C149" s="18"/>
      <c r="D149" s="1549"/>
      <c r="E149" s="1551"/>
      <c r="F149" s="6"/>
      <c r="G149" s="46">
        <v>4</v>
      </c>
      <c r="H149" s="48"/>
      <c r="I149" s="48"/>
      <c r="J149" s="48"/>
      <c r="K149" s="48"/>
      <c r="L149" s="48"/>
      <c r="M149" s="48"/>
      <c r="N149" s="48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1551"/>
      <c r="AW149" s="1551"/>
    </row>
    <row r="150" spans="1:49" x14ac:dyDescent="0.3">
      <c r="A150" s="18"/>
      <c r="B150" s="18"/>
      <c r="C150" s="18"/>
      <c r="D150" s="1549"/>
      <c r="E150" s="1551"/>
      <c r="F150" s="6"/>
      <c r="G150" s="46">
        <v>5</v>
      </c>
      <c r="H150" s="48"/>
      <c r="I150" s="48"/>
      <c r="J150" s="48"/>
      <c r="K150" s="48"/>
      <c r="L150" s="48"/>
      <c r="M150" s="48"/>
      <c r="N150" s="48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1551"/>
      <c r="AW150" s="1551"/>
    </row>
    <row r="151" spans="1:49" x14ac:dyDescent="0.3">
      <c r="A151" s="18"/>
      <c r="B151" s="18"/>
      <c r="C151" s="18"/>
      <c r="D151" s="1549"/>
      <c r="E151" s="1551"/>
      <c r="F151" s="6"/>
      <c r="G151" s="46">
        <v>6</v>
      </c>
      <c r="H151" s="48"/>
      <c r="I151" s="48"/>
      <c r="J151" s="48"/>
      <c r="K151" s="48"/>
      <c r="L151" s="48"/>
      <c r="M151" s="48"/>
      <c r="N151" s="48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1551"/>
      <c r="AW151" s="1551"/>
    </row>
    <row r="152" spans="1:49" x14ac:dyDescent="0.3">
      <c r="A152" s="18"/>
      <c r="B152" s="18"/>
      <c r="C152" s="18"/>
      <c r="D152" s="1549"/>
      <c r="E152" s="1551"/>
      <c r="F152" s="6"/>
      <c r="G152" s="46">
        <v>7</v>
      </c>
      <c r="H152" s="48"/>
      <c r="I152" s="48"/>
      <c r="J152" s="48"/>
      <c r="K152" s="48"/>
      <c r="L152" s="48"/>
      <c r="M152" s="48"/>
      <c r="N152" s="48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1551"/>
      <c r="AW152" s="1551"/>
    </row>
    <row r="153" spans="1:49" x14ac:dyDescent="0.3">
      <c r="A153" s="18"/>
      <c r="B153" s="18"/>
      <c r="C153" s="18"/>
      <c r="D153" s="1549"/>
      <c r="E153" s="1549"/>
      <c r="F153" s="97"/>
      <c r="G153" s="46">
        <v>8</v>
      </c>
      <c r="H153" s="48"/>
      <c r="I153" s="48"/>
      <c r="J153" s="48"/>
      <c r="K153" s="48"/>
      <c r="L153" s="48"/>
      <c r="M153" s="48"/>
      <c r="N153" s="48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1549"/>
      <c r="AW153" s="1549"/>
    </row>
    <row r="154" spans="1:49" x14ac:dyDescent="0.3">
      <c r="A154" s="18"/>
      <c r="B154" s="18"/>
      <c r="C154" s="18"/>
      <c r="D154" s="1544"/>
      <c r="E154" s="1550"/>
      <c r="F154" s="98"/>
      <c r="G154" s="46">
        <v>1</v>
      </c>
      <c r="H154" s="47"/>
      <c r="I154" s="47"/>
      <c r="J154" s="47"/>
      <c r="K154" s="47"/>
      <c r="L154" s="47"/>
      <c r="M154" s="47"/>
      <c r="N154" s="47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1552"/>
      <c r="AW154" s="1552"/>
    </row>
    <row r="155" spans="1:49" x14ac:dyDescent="0.3">
      <c r="A155" s="18"/>
      <c r="B155" s="18"/>
      <c r="C155" s="18"/>
      <c r="D155" s="1549"/>
      <c r="E155" s="1551"/>
      <c r="F155" s="6"/>
      <c r="G155" s="46">
        <v>2</v>
      </c>
      <c r="H155" s="47"/>
      <c r="I155" s="47"/>
      <c r="J155" s="47"/>
      <c r="K155" s="47"/>
      <c r="L155" s="47"/>
      <c r="M155" s="47"/>
      <c r="N155" s="47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1551"/>
      <c r="AW155" s="1551"/>
    </row>
    <row r="156" spans="1:49" x14ac:dyDescent="0.3">
      <c r="A156" s="18"/>
      <c r="B156" s="18"/>
      <c r="C156" s="18"/>
      <c r="D156" s="1549"/>
      <c r="E156" s="1551"/>
      <c r="F156" s="6"/>
      <c r="G156" s="46">
        <v>3</v>
      </c>
      <c r="H156" s="47"/>
      <c r="I156" s="47"/>
      <c r="J156" s="47"/>
      <c r="K156" s="47"/>
      <c r="L156" s="47"/>
      <c r="M156" s="47"/>
      <c r="N156" s="47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1551"/>
      <c r="AW156" s="1551"/>
    </row>
    <row r="157" spans="1:49" x14ac:dyDescent="0.3">
      <c r="A157" s="18"/>
      <c r="B157" s="18"/>
      <c r="C157" s="18"/>
      <c r="D157" s="1549"/>
      <c r="E157" s="1551"/>
      <c r="F157" s="6"/>
      <c r="G157" s="46">
        <v>4</v>
      </c>
      <c r="H157" s="48"/>
      <c r="I157" s="48"/>
      <c r="J157" s="48"/>
      <c r="K157" s="48"/>
      <c r="L157" s="48"/>
      <c r="M157" s="48"/>
      <c r="N157" s="48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1551"/>
      <c r="AW157" s="1551"/>
    </row>
    <row r="158" spans="1:49" x14ac:dyDescent="0.3">
      <c r="A158" s="18"/>
      <c r="B158" s="18"/>
      <c r="C158" s="18"/>
      <c r="D158" s="1549"/>
      <c r="E158" s="1551"/>
      <c r="F158" s="6"/>
      <c r="G158" s="46">
        <v>5</v>
      </c>
      <c r="H158" s="48"/>
      <c r="I158" s="48"/>
      <c r="J158" s="48"/>
      <c r="K158" s="48"/>
      <c r="L158" s="48"/>
      <c r="M158" s="48"/>
      <c r="N158" s="48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1551"/>
      <c r="AW158" s="1551"/>
    </row>
    <row r="159" spans="1:49" x14ac:dyDescent="0.3">
      <c r="A159" s="18"/>
      <c r="B159" s="18"/>
      <c r="C159" s="18"/>
      <c r="D159" s="1549"/>
      <c r="E159" s="1551"/>
      <c r="F159" s="6"/>
      <c r="G159" s="46">
        <v>6</v>
      </c>
      <c r="H159" s="48"/>
      <c r="I159" s="48"/>
      <c r="J159" s="48"/>
      <c r="K159" s="48"/>
      <c r="L159" s="48"/>
      <c r="M159" s="48"/>
      <c r="N159" s="48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1551"/>
      <c r="AW159" s="1551"/>
    </row>
    <row r="160" spans="1:49" x14ac:dyDescent="0.3">
      <c r="A160" s="18"/>
      <c r="B160" s="18"/>
      <c r="C160" s="18"/>
      <c r="D160" s="1549"/>
      <c r="E160" s="1551"/>
      <c r="F160" s="6"/>
      <c r="G160" s="46">
        <v>7</v>
      </c>
      <c r="H160" s="48"/>
      <c r="I160" s="48"/>
      <c r="J160" s="48"/>
      <c r="K160" s="48"/>
      <c r="L160" s="48"/>
      <c r="M160" s="48"/>
      <c r="N160" s="48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1551"/>
      <c r="AW160" s="1551"/>
    </row>
    <row r="161" spans="1:49" x14ac:dyDescent="0.3">
      <c r="A161" s="18"/>
      <c r="B161" s="18"/>
      <c r="C161" s="18"/>
      <c r="D161" s="1549"/>
      <c r="E161" s="1549"/>
      <c r="F161" s="97"/>
      <c r="G161" s="46">
        <v>8</v>
      </c>
      <c r="H161" s="48"/>
      <c r="I161" s="48"/>
      <c r="J161" s="48"/>
      <c r="K161" s="48"/>
      <c r="L161" s="48"/>
      <c r="M161" s="48"/>
      <c r="N161" s="48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1549"/>
      <c r="AW161" s="1549"/>
    </row>
    <row r="162" spans="1:49" x14ac:dyDescent="0.3">
      <c r="A162" s="18"/>
      <c r="B162" s="18"/>
      <c r="C162" s="18"/>
      <c r="D162" s="1544"/>
      <c r="E162" s="1550"/>
      <c r="F162" s="98"/>
      <c r="G162" s="46">
        <v>1</v>
      </c>
      <c r="H162" s="47"/>
      <c r="I162" s="47"/>
      <c r="J162" s="47"/>
      <c r="K162" s="47"/>
      <c r="L162" s="47"/>
      <c r="M162" s="47"/>
      <c r="N162" s="47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1552"/>
      <c r="AW162" s="1552"/>
    </row>
    <row r="163" spans="1:49" x14ac:dyDescent="0.3">
      <c r="A163" s="18"/>
      <c r="B163" s="18"/>
      <c r="C163" s="18"/>
      <c r="D163" s="1549"/>
      <c r="E163" s="1551"/>
      <c r="F163" s="6"/>
      <c r="G163" s="46">
        <v>2</v>
      </c>
      <c r="H163" s="47"/>
      <c r="I163" s="47"/>
      <c r="J163" s="47"/>
      <c r="K163" s="47"/>
      <c r="L163" s="47"/>
      <c r="M163" s="47"/>
      <c r="N163" s="47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1551"/>
      <c r="AW163" s="1551"/>
    </row>
    <row r="164" spans="1:49" x14ac:dyDescent="0.3">
      <c r="A164" s="18"/>
      <c r="B164" s="18"/>
      <c r="C164" s="18"/>
      <c r="D164" s="1549"/>
      <c r="E164" s="1551"/>
      <c r="F164" s="6"/>
      <c r="G164" s="46">
        <v>3</v>
      </c>
      <c r="H164" s="47"/>
      <c r="I164" s="47"/>
      <c r="J164" s="47"/>
      <c r="K164" s="47"/>
      <c r="L164" s="47"/>
      <c r="M164" s="47"/>
      <c r="N164" s="47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1551"/>
      <c r="AW164" s="1551"/>
    </row>
    <row r="165" spans="1:49" x14ac:dyDescent="0.3">
      <c r="A165" s="18"/>
      <c r="B165" s="18"/>
      <c r="C165" s="18"/>
      <c r="D165" s="1549"/>
      <c r="E165" s="1551"/>
      <c r="F165" s="6"/>
      <c r="G165" s="46">
        <v>4</v>
      </c>
      <c r="H165" s="48"/>
      <c r="I165" s="48"/>
      <c r="J165" s="48"/>
      <c r="K165" s="48"/>
      <c r="L165" s="48"/>
      <c r="M165" s="48"/>
      <c r="N165" s="48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1551"/>
      <c r="AW165" s="1551"/>
    </row>
    <row r="166" spans="1:49" x14ac:dyDescent="0.3">
      <c r="A166" s="18"/>
      <c r="B166" s="18"/>
      <c r="C166" s="18"/>
      <c r="D166" s="1549"/>
      <c r="E166" s="1551"/>
      <c r="F166" s="6"/>
      <c r="G166" s="46">
        <v>5</v>
      </c>
      <c r="H166" s="48"/>
      <c r="I166" s="48"/>
      <c r="J166" s="48"/>
      <c r="K166" s="48"/>
      <c r="L166" s="48"/>
      <c r="M166" s="48"/>
      <c r="N166" s="48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1551"/>
      <c r="AW166" s="1551"/>
    </row>
    <row r="167" spans="1:49" x14ac:dyDescent="0.3">
      <c r="A167" s="18"/>
      <c r="B167" s="18"/>
      <c r="C167" s="18"/>
      <c r="D167" s="1549"/>
      <c r="E167" s="1551"/>
      <c r="F167" s="6"/>
      <c r="G167" s="46">
        <v>6</v>
      </c>
      <c r="H167" s="48"/>
      <c r="I167" s="48"/>
      <c r="J167" s="48"/>
      <c r="K167" s="48"/>
      <c r="L167" s="48"/>
      <c r="M167" s="48"/>
      <c r="N167" s="48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1551"/>
      <c r="AW167" s="1551"/>
    </row>
    <row r="168" spans="1:49" x14ac:dyDescent="0.3">
      <c r="A168" s="18"/>
      <c r="B168" s="18"/>
      <c r="C168" s="18"/>
      <c r="D168" s="1549"/>
      <c r="E168" s="1551"/>
      <c r="F168" s="6"/>
      <c r="G168" s="46">
        <v>7</v>
      </c>
      <c r="H168" s="48"/>
      <c r="I168" s="48"/>
      <c r="J168" s="48"/>
      <c r="K168" s="48"/>
      <c r="L168" s="48"/>
      <c r="M168" s="48"/>
      <c r="N168" s="48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1551"/>
      <c r="AW168" s="1551"/>
    </row>
    <row r="169" spans="1:49" x14ac:dyDescent="0.3">
      <c r="A169" s="18"/>
      <c r="B169" s="18"/>
      <c r="C169" s="18"/>
      <c r="D169" s="1549"/>
      <c r="E169" s="1549"/>
      <c r="F169" s="97"/>
      <c r="G169" s="46">
        <v>8</v>
      </c>
      <c r="H169" s="48"/>
      <c r="I169" s="48"/>
      <c r="J169" s="48"/>
      <c r="K169" s="48"/>
      <c r="L169" s="48"/>
      <c r="M169" s="48"/>
      <c r="N169" s="48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1549"/>
      <c r="AW169" s="1549"/>
    </row>
    <row r="170" spans="1:49" x14ac:dyDescent="0.3">
      <c r="A170" s="18"/>
      <c r="B170" s="18"/>
      <c r="C170" s="18"/>
      <c r="D170" s="1544"/>
      <c r="E170" s="1550"/>
      <c r="F170" s="98"/>
      <c r="G170" s="46">
        <v>1</v>
      </c>
      <c r="H170" s="47"/>
      <c r="I170" s="47"/>
      <c r="J170" s="47"/>
      <c r="K170" s="47"/>
      <c r="L170" s="47"/>
      <c r="M170" s="47"/>
      <c r="N170" s="47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1552"/>
      <c r="AW170" s="1552"/>
    </row>
    <row r="171" spans="1:49" x14ac:dyDescent="0.3">
      <c r="A171" s="18"/>
      <c r="B171" s="18"/>
      <c r="C171" s="18"/>
      <c r="D171" s="1549"/>
      <c r="E171" s="1551"/>
      <c r="F171" s="6"/>
      <c r="G171" s="46">
        <v>2</v>
      </c>
      <c r="H171" s="47"/>
      <c r="I171" s="47"/>
      <c r="J171" s="47"/>
      <c r="K171" s="47"/>
      <c r="L171" s="47"/>
      <c r="M171" s="47"/>
      <c r="N171" s="47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1551"/>
      <c r="AW171" s="1551"/>
    </row>
    <row r="172" spans="1:49" x14ac:dyDescent="0.3">
      <c r="A172" s="18"/>
      <c r="B172" s="18"/>
      <c r="C172" s="18"/>
      <c r="D172" s="1549"/>
      <c r="E172" s="1551"/>
      <c r="F172" s="6"/>
      <c r="G172" s="46">
        <v>3</v>
      </c>
      <c r="H172" s="47"/>
      <c r="I172" s="47"/>
      <c r="J172" s="47"/>
      <c r="K172" s="47"/>
      <c r="L172" s="47"/>
      <c r="M172" s="47"/>
      <c r="N172" s="47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1551"/>
      <c r="AW172" s="1551"/>
    </row>
    <row r="173" spans="1:49" x14ac:dyDescent="0.3">
      <c r="A173" s="18"/>
      <c r="B173" s="18"/>
      <c r="C173" s="18"/>
      <c r="D173" s="1549"/>
      <c r="E173" s="1551"/>
      <c r="F173" s="6"/>
      <c r="G173" s="46">
        <v>4</v>
      </c>
      <c r="H173" s="48"/>
      <c r="I173" s="48"/>
      <c r="J173" s="48"/>
      <c r="K173" s="48"/>
      <c r="L173" s="48"/>
      <c r="M173" s="48"/>
      <c r="N173" s="48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1551"/>
      <c r="AW173" s="1551"/>
    </row>
    <row r="174" spans="1:49" x14ac:dyDescent="0.3">
      <c r="A174" s="18"/>
      <c r="B174" s="18"/>
      <c r="C174" s="18"/>
      <c r="D174" s="1549"/>
      <c r="E174" s="1551"/>
      <c r="F174" s="6"/>
      <c r="G174" s="46">
        <v>5</v>
      </c>
      <c r="H174" s="48"/>
      <c r="I174" s="48"/>
      <c r="J174" s="48"/>
      <c r="K174" s="48"/>
      <c r="L174" s="48"/>
      <c r="M174" s="48"/>
      <c r="N174" s="48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1551"/>
      <c r="AW174" s="1551"/>
    </row>
    <row r="175" spans="1:49" x14ac:dyDescent="0.3">
      <c r="A175" s="18"/>
      <c r="B175" s="18"/>
      <c r="C175" s="18"/>
      <c r="D175" s="1549"/>
      <c r="E175" s="1551"/>
      <c r="F175" s="6"/>
      <c r="G175" s="46">
        <v>6</v>
      </c>
      <c r="H175" s="48"/>
      <c r="I175" s="48"/>
      <c r="J175" s="48"/>
      <c r="K175" s="48"/>
      <c r="L175" s="48"/>
      <c r="M175" s="48"/>
      <c r="N175" s="48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1551"/>
      <c r="AW175" s="1551"/>
    </row>
    <row r="176" spans="1:49" x14ac:dyDescent="0.3">
      <c r="A176" s="18"/>
      <c r="B176" s="18"/>
      <c r="C176" s="18"/>
      <c r="D176" s="1549"/>
      <c r="E176" s="1551"/>
      <c r="F176" s="6"/>
      <c r="G176" s="46">
        <v>7</v>
      </c>
      <c r="H176" s="48"/>
      <c r="I176" s="48"/>
      <c r="J176" s="48"/>
      <c r="K176" s="48"/>
      <c r="L176" s="48"/>
      <c r="M176" s="48"/>
      <c r="N176" s="48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1551"/>
      <c r="AW176" s="1551"/>
    </row>
    <row r="177" spans="1:49" x14ac:dyDescent="0.3">
      <c r="A177" s="18"/>
      <c r="B177" s="18"/>
      <c r="C177" s="18"/>
      <c r="D177" s="1549"/>
      <c r="E177" s="1549"/>
      <c r="F177" s="97"/>
      <c r="G177" s="46">
        <v>8</v>
      </c>
      <c r="H177" s="48"/>
      <c r="I177" s="48"/>
      <c r="J177" s="48"/>
      <c r="K177" s="48"/>
      <c r="L177" s="48"/>
      <c r="M177" s="48"/>
      <c r="N177" s="48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1549"/>
      <c r="AW177" s="1549"/>
    </row>
    <row r="178" spans="1:49" x14ac:dyDescent="0.3">
      <c r="A178" s="18"/>
      <c r="B178" s="18"/>
      <c r="C178" s="18"/>
      <c r="D178" s="1544"/>
      <c r="E178" s="1550"/>
      <c r="F178" s="98"/>
      <c r="G178" s="46">
        <v>1</v>
      </c>
      <c r="H178" s="47"/>
      <c r="I178" s="47"/>
      <c r="J178" s="47"/>
      <c r="K178" s="47"/>
      <c r="L178" s="47"/>
      <c r="M178" s="47"/>
      <c r="N178" s="47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1552"/>
      <c r="AW178" s="1552"/>
    </row>
    <row r="179" spans="1:49" x14ac:dyDescent="0.3">
      <c r="A179" s="18"/>
      <c r="B179" s="18"/>
      <c r="C179" s="18"/>
      <c r="D179" s="1549"/>
      <c r="E179" s="1551"/>
      <c r="F179" s="6"/>
      <c r="G179" s="46">
        <v>2</v>
      </c>
      <c r="H179" s="47"/>
      <c r="I179" s="47"/>
      <c r="J179" s="47"/>
      <c r="K179" s="47"/>
      <c r="L179" s="47"/>
      <c r="M179" s="47"/>
      <c r="N179" s="47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1551"/>
      <c r="AW179" s="1551"/>
    </row>
    <row r="180" spans="1:49" x14ac:dyDescent="0.3">
      <c r="A180" s="18"/>
      <c r="B180" s="18"/>
      <c r="C180" s="18"/>
      <c r="D180" s="1549"/>
      <c r="E180" s="1551"/>
      <c r="F180" s="6"/>
      <c r="G180" s="46">
        <v>3</v>
      </c>
      <c r="H180" s="47"/>
      <c r="I180" s="47"/>
      <c r="J180" s="47"/>
      <c r="K180" s="47"/>
      <c r="L180" s="47"/>
      <c r="M180" s="47"/>
      <c r="N180" s="47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1551"/>
      <c r="AW180" s="1551"/>
    </row>
    <row r="181" spans="1:49" x14ac:dyDescent="0.3">
      <c r="A181" s="18"/>
      <c r="B181" s="18"/>
      <c r="C181" s="18"/>
      <c r="D181" s="1549"/>
      <c r="E181" s="1551"/>
      <c r="F181" s="6"/>
      <c r="G181" s="46">
        <v>4</v>
      </c>
      <c r="H181" s="48"/>
      <c r="I181" s="48"/>
      <c r="J181" s="48"/>
      <c r="K181" s="48"/>
      <c r="L181" s="48"/>
      <c r="M181" s="48"/>
      <c r="N181" s="48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1551"/>
      <c r="AW181" s="1551"/>
    </row>
    <row r="182" spans="1:49" x14ac:dyDescent="0.3">
      <c r="A182" s="18"/>
      <c r="B182" s="18"/>
      <c r="C182" s="18"/>
      <c r="D182" s="1549"/>
      <c r="E182" s="1551"/>
      <c r="F182" s="6"/>
      <c r="G182" s="46">
        <v>5</v>
      </c>
      <c r="H182" s="48"/>
      <c r="I182" s="48"/>
      <c r="J182" s="48"/>
      <c r="K182" s="48"/>
      <c r="L182" s="48"/>
      <c r="M182" s="48"/>
      <c r="N182" s="48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1551"/>
      <c r="AW182" s="1551"/>
    </row>
    <row r="183" spans="1:49" x14ac:dyDescent="0.3">
      <c r="A183" s="18"/>
      <c r="B183" s="18"/>
      <c r="C183" s="18"/>
      <c r="D183" s="1549"/>
      <c r="E183" s="1551"/>
      <c r="F183" s="6"/>
      <c r="G183" s="46">
        <v>6</v>
      </c>
      <c r="H183" s="48"/>
      <c r="I183" s="48"/>
      <c r="J183" s="48"/>
      <c r="K183" s="48"/>
      <c r="L183" s="48"/>
      <c r="M183" s="48"/>
      <c r="N183" s="48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1551"/>
      <c r="AW183" s="1551"/>
    </row>
    <row r="184" spans="1:49" x14ac:dyDescent="0.3">
      <c r="A184" s="18"/>
      <c r="B184" s="18"/>
      <c r="C184" s="18"/>
      <c r="D184" s="1549"/>
      <c r="E184" s="1551"/>
      <c r="F184" s="6"/>
      <c r="G184" s="46">
        <v>7</v>
      </c>
      <c r="H184" s="48"/>
      <c r="I184" s="48"/>
      <c r="J184" s="48"/>
      <c r="K184" s="48"/>
      <c r="L184" s="48"/>
      <c r="M184" s="48"/>
      <c r="N184" s="48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1551"/>
      <c r="AW184" s="1551"/>
    </row>
    <row r="185" spans="1:49" x14ac:dyDescent="0.3">
      <c r="A185" s="18"/>
      <c r="B185" s="18"/>
      <c r="C185" s="18"/>
      <c r="D185" s="1549"/>
      <c r="E185" s="1549"/>
      <c r="F185" s="97"/>
      <c r="G185" s="46">
        <v>8</v>
      </c>
      <c r="H185" s="48"/>
      <c r="I185" s="48"/>
      <c r="J185" s="48"/>
      <c r="K185" s="48"/>
      <c r="L185" s="48"/>
      <c r="M185" s="48"/>
      <c r="N185" s="48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1549"/>
      <c r="AW185" s="1549"/>
    </row>
    <row r="186" spans="1:49" x14ac:dyDescent="0.3">
      <c r="A186" s="18"/>
      <c r="B186" s="18"/>
      <c r="C186" s="18"/>
      <c r="D186" s="1544"/>
      <c r="E186" s="1550"/>
      <c r="F186" s="98"/>
      <c r="G186" s="46">
        <v>1</v>
      </c>
      <c r="H186" s="47"/>
      <c r="I186" s="47"/>
      <c r="J186" s="47"/>
      <c r="K186" s="47"/>
      <c r="L186" s="47"/>
      <c r="M186" s="47"/>
      <c r="N186" s="47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1552"/>
      <c r="AW186" s="1552"/>
    </row>
    <row r="187" spans="1:49" x14ac:dyDescent="0.3">
      <c r="A187" s="18"/>
      <c r="B187" s="18"/>
      <c r="C187" s="18"/>
      <c r="D187" s="1549"/>
      <c r="E187" s="1551"/>
      <c r="F187" s="6"/>
      <c r="G187" s="46">
        <v>2</v>
      </c>
      <c r="H187" s="47"/>
      <c r="I187" s="47"/>
      <c r="J187" s="47"/>
      <c r="K187" s="47"/>
      <c r="L187" s="47"/>
      <c r="M187" s="47"/>
      <c r="N187" s="47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1551"/>
      <c r="AW187" s="1551"/>
    </row>
    <row r="188" spans="1:49" x14ac:dyDescent="0.3">
      <c r="A188" s="18"/>
      <c r="B188" s="18"/>
      <c r="C188" s="18"/>
      <c r="D188" s="1549"/>
      <c r="E188" s="1551"/>
      <c r="F188" s="6"/>
      <c r="G188" s="46">
        <v>3</v>
      </c>
      <c r="H188" s="47"/>
      <c r="I188" s="47"/>
      <c r="J188" s="47"/>
      <c r="K188" s="47"/>
      <c r="L188" s="47"/>
      <c r="M188" s="47"/>
      <c r="N188" s="47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1551"/>
      <c r="AW188" s="1551"/>
    </row>
    <row r="189" spans="1:49" x14ac:dyDescent="0.3">
      <c r="A189" s="18"/>
      <c r="B189" s="18"/>
      <c r="C189" s="18"/>
      <c r="D189" s="1549"/>
      <c r="E189" s="1551"/>
      <c r="F189" s="6"/>
      <c r="G189" s="46">
        <v>4</v>
      </c>
      <c r="H189" s="48"/>
      <c r="I189" s="48"/>
      <c r="J189" s="48"/>
      <c r="K189" s="48"/>
      <c r="L189" s="48"/>
      <c r="M189" s="48"/>
      <c r="N189" s="48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1551"/>
      <c r="AW189" s="1551"/>
    </row>
    <row r="190" spans="1:49" x14ac:dyDescent="0.3">
      <c r="A190" s="18"/>
      <c r="B190" s="18"/>
      <c r="C190" s="18"/>
      <c r="D190" s="1549"/>
      <c r="E190" s="1551"/>
      <c r="F190" s="6"/>
      <c r="G190" s="46">
        <v>5</v>
      </c>
      <c r="H190" s="48"/>
      <c r="I190" s="48"/>
      <c r="J190" s="48"/>
      <c r="K190" s="48"/>
      <c r="L190" s="48"/>
      <c r="M190" s="48"/>
      <c r="N190" s="48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1551"/>
      <c r="AW190" s="1551"/>
    </row>
    <row r="191" spans="1:49" x14ac:dyDescent="0.3">
      <c r="A191" s="18"/>
      <c r="B191" s="18"/>
      <c r="C191" s="18"/>
      <c r="D191" s="1549"/>
      <c r="E191" s="1551"/>
      <c r="F191" s="6"/>
      <c r="G191" s="46">
        <v>6</v>
      </c>
      <c r="H191" s="48"/>
      <c r="I191" s="48"/>
      <c r="J191" s="48"/>
      <c r="K191" s="48"/>
      <c r="L191" s="48"/>
      <c r="M191" s="48"/>
      <c r="N191" s="48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1551"/>
      <c r="AW191" s="1551"/>
    </row>
    <row r="192" spans="1:49" x14ac:dyDescent="0.3">
      <c r="A192" s="18"/>
      <c r="B192" s="18"/>
      <c r="C192" s="18"/>
      <c r="D192" s="1549"/>
      <c r="E192" s="1551"/>
      <c r="F192" s="6"/>
      <c r="G192" s="46">
        <v>7</v>
      </c>
      <c r="H192" s="48"/>
      <c r="I192" s="48"/>
      <c r="J192" s="48"/>
      <c r="K192" s="48"/>
      <c r="L192" s="48"/>
      <c r="M192" s="48"/>
      <c r="N192" s="48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1551"/>
      <c r="AW192" s="1551"/>
    </row>
    <row r="193" spans="1:49" x14ac:dyDescent="0.3">
      <c r="A193" s="18"/>
      <c r="B193" s="18"/>
      <c r="C193" s="18"/>
      <c r="D193" s="1549"/>
      <c r="E193" s="1549"/>
      <c r="F193" s="97"/>
      <c r="G193" s="46">
        <v>8</v>
      </c>
      <c r="H193" s="48"/>
      <c r="I193" s="48"/>
      <c r="J193" s="48"/>
      <c r="K193" s="48"/>
      <c r="L193" s="48"/>
      <c r="M193" s="48"/>
      <c r="N193" s="48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1549"/>
      <c r="AW193" s="1549"/>
    </row>
    <row r="194" spans="1:49" x14ac:dyDescent="0.3">
      <c r="A194" s="18"/>
      <c r="B194" s="18"/>
      <c r="C194" s="18"/>
      <c r="D194" s="1544"/>
      <c r="E194" s="1550"/>
      <c r="F194" s="98"/>
      <c r="G194" s="46">
        <v>1</v>
      </c>
      <c r="H194" s="47"/>
      <c r="I194" s="47"/>
      <c r="J194" s="47"/>
      <c r="K194" s="47"/>
      <c r="L194" s="47"/>
      <c r="M194" s="47"/>
      <c r="N194" s="47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1552"/>
      <c r="AW194" s="1552"/>
    </row>
    <row r="195" spans="1:49" x14ac:dyDescent="0.3">
      <c r="A195" s="18"/>
      <c r="B195" s="18"/>
      <c r="C195" s="18"/>
      <c r="D195" s="1549"/>
      <c r="E195" s="1551"/>
      <c r="F195" s="6"/>
      <c r="G195" s="46">
        <v>2</v>
      </c>
      <c r="H195" s="47"/>
      <c r="I195" s="47"/>
      <c r="J195" s="47"/>
      <c r="K195" s="47"/>
      <c r="L195" s="47"/>
      <c r="M195" s="47"/>
      <c r="N195" s="47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1551"/>
      <c r="AW195" s="1551"/>
    </row>
    <row r="196" spans="1:49" x14ac:dyDescent="0.3">
      <c r="A196" s="18"/>
      <c r="B196" s="18"/>
      <c r="C196" s="18"/>
      <c r="D196" s="1549"/>
      <c r="E196" s="1551"/>
      <c r="F196" s="6"/>
      <c r="G196" s="46">
        <v>3</v>
      </c>
      <c r="H196" s="47"/>
      <c r="I196" s="47"/>
      <c r="J196" s="47"/>
      <c r="K196" s="47"/>
      <c r="L196" s="47"/>
      <c r="M196" s="47"/>
      <c r="N196" s="47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1551"/>
      <c r="AW196" s="1551"/>
    </row>
    <row r="197" spans="1:49" x14ac:dyDescent="0.3">
      <c r="A197" s="18"/>
      <c r="B197" s="18"/>
      <c r="C197" s="18"/>
      <c r="D197" s="1549"/>
      <c r="E197" s="1551"/>
      <c r="F197" s="6"/>
      <c r="G197" s="46">
        <v>4</v>
      </c>
      <c r="H197" s="48"/>
      <c r="I197" s="48"/>
      <c r="J197" s="48"/>
      <c r="K197" s="48"/>
      <c r="L197" s="48"/>
      <c r="M197" s="48"/>
      <c r="N197" s="48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1551"/>
      <c r="AW197" s="1551"/>
    </row>
    <row r="198" spans="1:49" x14ac:dyDescent="0.3">
      <c r="A198" s="18"/>
      <c r="B198" s="18"/>
      <c r="C198" s="18"/>
      <c r="D198" s="1549"/>
      <c r="E198" s="1551"/>
      <c r="F198" s="6"/>
      <c r="G198" s="46">
        <v>5</v>
      </c>
      <c r="H198" s="48"/>
      <c r="I198" s="48"/>
      <c r="J198" s="48"/>
      <c r="K198" s="48"/>
      <c r="L198" s="48"/>
      <c r="M198" s="48"/>
      <c r="N198" s="48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1551"/>
      <c r="AW198" s="1551"/>
    </row>
    <row r="199" spans="1:49" x14ac:dyDescent="0.3">
      <c r="A199" s="18"/>
      <c r="B199" s="18"/>
      <c r="C199" s="18"/>
      <c r="D199" s="1549"/>
      <c r="E199" s="1551"/>
      <c r="F199" s="6"/>
      <c r="G199" s="46">
        <v>6</v>
      </c>
      <c r="H199" s="48"/>
      <c r="I199" s="48"/>
      <c r="J199" s="48"/>
      <c r="K199" s="48"/>
      <c r="L199" s="48"/>
      <c r="M199" s="48"/>
      <c r="N199" s="48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1551"/>
      <c r="AW199" s="1551"/>
    </row>
    <row r="200" spans="1:49" x14ac:dyDescent="0.3">
      <c r="A200" s="18"/>
      <c r="B200" s="18"/>
      <c r="C200" s="18"/>
      <c r="D200" s="1549"/>
      <c r="E200" s="1551"/>
      <c r="F200" s="6"/>
      <c r="G200" s="46">
        <v>7</v>
      </c>
      <c r="H200" s="48"/>
      <c r="I200" s="48"/>
      <c r="J200" s="48"/>
      <c r="K200" s="48"/>
      <c r="L200" s="48"/>
      <c r="M200" s="48"/>
      <c r="N200" s="48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1551"/>
      <c r="AW200" s="1551"/>
    </row>
    <row r="201" spans="1:49" x14ac:dyDescent="0.3">
      <c r="A201" s="18"/>
      <c r="B201" s="18"/>
      <c r="C201" s="18"/>
      <c r="D201" s="1549"/>
      <c r="E201" s="1549"/>
      <c r="F201" s="97"/>
      <c r="G201" s="46">
        <v>8</v>
      </c>
      <c r="H201" s="48"/>
      <c r="I201" s="48"/>
      <c r="J201" s="48"/>
      <c r="K201" s="48"/>
      <c r="L201" s="48"/>
      <c r="M201" s="48"/>
      <c r="N201" s="48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1549"/>
      <c r="AW201" s="1549"/>
    </row>
    <row r="202" spans="1:49" x14ac:dyDescent="0.3">
      <c r="A202" s="18"/>
      <c r="B202" s="18"/>
      <c r="C202" s="18"/>
      <c r="D202" s="1544"/>
      <c r="E202" s="1550"/>
      <c r="F202" s="98"/>
      <c r="G202" s="46">
        <v>1</v>
      </c>
      <c r="H202" s="47"/>
      <c r="I202" s="47"/>
      <c r="J202" s="47"/>
      <c r="K202" s="47"/>
      <c r="L202" s="47"/>
      <c r="M202" s="47"/>
      <c r="N202" s="47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1552"/>
      <c r="AW202" s="1552"/>
    </row>
    <row r="203" spans="1:49" x14ac:dyDescent="0.3">
      <c r="A203" s="18"/>
      <c r="B203" s="18"/>
      <c r="C203" s="18"/>
      <c r="D203" s="1549"/>
      <c r="E203" s="1551"/>
      <c r="F203" s="6"/>
      <c r="G203" s="46">
        <v>2</v>
      </c>
      <c r="H203" s="47"/>
      <c r="I203" s="47"/>
      <c r="J203" s="47"/>
      <c r="K203" s="47"/>
      <c r="L203" s="47"/>
      <c r="M203" s="47"/>
      <c r="N203" s="47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1551"/>
      <c r="AW203" s="1551"/>
    </row>
    <row r="204" spans="1:49" x14ac:dyDescent="0.3">
      <c r="A204" s="18"/>
      <c r="B204" s="18"/>
      <c r="C204" s="18"/>
      <c r="D204" s="1549"/>
      <c r="E204" s="1551"/>
      <c r="F204" s="6"/>
      <c r="G204" s="46">
        <v>3</v>
      </c>
      <c r="H204" s="47"/>
      <c r="I204" s="47"/>
      <c r="J204" s="47"/>
      <c r="K204" s="47"/>
      <c r="L204" s="47"/>
      <c r="M204" s="47"/>
      <c r="N204" s="47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1551"/>
      <c r="AW204" s="1551"/>
    </row>
    <row r="205" spans="1:49" x14ac:dyDescent="0.3">
      <c r="A205" s="18"/>
      <c r="B205" s="18"/>
      <c r="C205" s="18"/>
      <c r="D205" s="1549"/>
      <c r="E205" s="1551"/>
      <c r="F205" s="6"/>
      <c r="G205" s="46">
        <v>4</v>
      </c>
      <c r="H205" s="48"/>
      <c r="I205" s="48"/>
      <c r="J205" s="48"/>
      <c r="K205" s="48"/>
      <c r="L205" s="48"/>
      <c r="M205" s="48"/>
      <c r="N205" s="48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1551"/>
      <c r="AW205" s="1551"/>
    </row>
    <row r="206" spans="1:49" x14ac:dyDescent="0.3">
      <c r="A206" s="18"/>
      <c r="B206" s="18"/>
      <c r="C206" s="18"/>
      <c r="D206" s="1549"/>
      <c r="E206" s="1551"/>
      <c r="F206" s="6"/>
      <c r="G206" s="46">
        <v>5</v>
      </c>
      <c r="H206" s="48"/>
      <c r="I206" s="48"/>
      <c r="J206" s="48"/>
      <c r="K206" s="48"/>
      <c r="L206" s="48"/>
      <c r="M206" s="48"/>
      <c r="N206" s="48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1551"/>
      <c r="AW206" s="1551"/>
    </row>
    <row r="207" spans="1:49" x14ac:dyDescent="0.3">
      <c r="A207" s="18"/>
      <c r="B207" s="18"/>
      <c r="C207" s="18"/>
      <c r="D207" s="1549"/>
      <c r="E207" s="1551"/>
      <c r="F207" s="6"/>
      <c r="G207" s="46">
        <v>6</v>
      </c>
      <c r="H207" s="48"/>
      <c r="I207" s="48"/>
      <c r="J207" s="48"/>
      <c r="K207" s="48"/>
      <c r="L207" s="48"/>
      <c r="M207" s="48"/>
      <c r="N207" s="48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1551"/>
      <c r="AW207" s="1551"/>
    </row>
    <row r="208" spans="1:49" x14ac:dyDescent="0.3">
      <c r="A208" s="18"/>
      <c r="B208" s="18"/>
      <c r="C208" s="18"/>
      <c r="D208" s="1549"/>
      <c r="E208" s="1551"/>
      <c r="F208" s="6"/>
      <c r="G208" s="46">
        <v>7</v>
      </c>
      <c r="H208" s="48"/>
      <c r="I208" s="48"/>
      <c r="J208" s="48"/>
      <c r="K208" s="48"/>
      <c r="L208" s="48"/>
      <c r="M208" s="48"/>
      <c r="N208" s="48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1551"/>
      <c r="AW208" s="1551"/>
    </row>
    <row r="209" spans="1:49" x14ac:dyDescent="0.3">
      <c r="A209" s="18"/>
      <c r="B209" s="18"/>
      <c r="C209" s="18"/>
      <c r="D209" s="1549"/>
      <c r="E209" s="1549"/>
      <c r="F209" s="97"/>
      <c r="G209" s="46">
        <v>8</v>
      </c>
      <c r="H209" s="48"/>
      <c r="I209" s="48"/>
      <c r="J209" s="48"/>
      <c r="K209" s="48"/>
      <c r="L209" s="48"/>
      <c r="M209" s="48"/>
      <c r="N209" s="48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1549"/>
      <c r="AW209" s="1549"/>
    </row>
    <row r="210" spans="1:49" x14ac:dyDescent="0.3">
      <c r="A210" s="18"/>
      <c r="B210" s="18"/>
      <c r="C210" s="18"/>
      <c r="D210" s="1544"/>
      <c r="E210" s="1550"/>
      <c r="F210" s="98"/>
      <c r="G210" s="46">
        <v>1</v>
      </c>
      <c r="H210" s="47"/>
      <c r="I210" s="47"/>
      <c r="J210" s="47"/>
      <c r="K210" s="47"/>
      <c r="L210" s="47"/>
      <c r="M210" s="47"/>
      <c r="N210" s="47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1552"/>
      <c r="AW210" s="1552"/>
    </row>
    <row r="211" spans="1:49" x14ac:dyDescent="0.3">
      <c r="A211" s="18"/>
      <c r="B211" s="18"/>
      <c r="C211" s="18"/>
      <c r="D211" s="1549"/>
      <c r="E211" s="1551"/>
      <c r="F211" s="6"/>
      <c r="G211" s="46">
        <v>2</v>
      </c>
      <c r="H211" s="47"/>
      <c r="I211" s="47"/>
      <c r="J211" s="47"/>
      <c r="K211" s="47"/>
      <c r="L211" s="47"/>
      <c r="M211" s="47"/>
      <c r="N211" s="47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1551"/>
      <c r="AW211" s="1551"/>
    </row>
    <row r="212" spans="1:49" x14ac:dyDescent="0.3">
      <c r="A212" s="18"/>
      <c r="B212" s="18"/>
      <c r="C212" s="18"/>
      <c r="D212" s="1549"/>
      <c r="E212" s="1551"/>
      <c r="F212" s="6"/>
      <c r="G212" s="46">
        <v>3</v>
      </c>
      <c r="H212" s="47"/>
      <c r="I212" s="47"/>
      <c r="J212" s="47"/>
      <c r="K212" s="47"/>
      <c r="L212" s="47"/>
      <c r="M212" s="47"/>
      <c r="N212" s="47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1551"/>
      <c r="AW212" s="1551"/>
    </row>
    <row r="213" spans="1:49" x14ac:dyDescent="0.3">
      <c r="A213" s="18"/>
      <c r="B213" s="18"/>
      <c r="C213" s="18"/>
      <c r="D213" s="1549"/>
      <c r="E213" s="1551"/>
      <c r="F213" s="6"/>
      <c r="G213" s="46">
        <v>4</v>
      </c>
      <c r="H213" s="48"/>
      <c r="I213" s="48"/>
      <c r="J213" s="48"/>
      <c r="K213" s="48"/>
      <c r="L213" s="48"/>
      <c r="M213" s="48"/>
      <c r="N213" s="48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1551"/>
      <c r="AW213" s="1551"/>
    </row>
    <row r="214" spans="1:49" x14ac:dyDescent="0.3">
      <c r="A214" s="18"/>
      <c r="B214" s="18"/>
      <c r="C214" s="18"/>
      <c r="D214" s="1549"/>
      <c r="E214" s="1551"/>
      <c r="F214" s="6"/>
      <c r="G214" s="46">
        <v>5</v>
      </c>
      <c r="H214" s="48"/>
      <c r="I214" s="48"/>
      <c r="J214" s="48"/>
      <c r="K214" s="48"/>
      <c r="L214" s="48"/>
      <c r="M214" s="48"/>
      <c r="N214" s="48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1551"/>
      <c r="AW214" s="1551"/>
    </row>
    <row r="215" spans="1:49" x14ac:dyDescent="0.3">
      <c r="A215" s="18"/>
      <c r="B215" s="18"/>
      <c r="C215" s="18"/>
      <c r="D215" s="1549"/>
      <c r="E215" s="1551"/>
      <c r="F215" s="6"/>
      <c r="G215" s="46">
        <v>6</v>
      </c>
      <c r="H215" s="48"/>
      <c r="I215" s="48"/>
      <c r="J215" s="48"/>
      <c r="K215" s="48"/>
      <c r="L215" s="48"/>
      <c r="M215" s="48"/>
      <c r="N215" s="48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1551"/>
      <c r="AW215" s="1551"/>
    </row>
    <row r="216" spans="1:49" x14ac:dyDescent="0.3">
      <c r="A216" s="18"/>
      <c r="B216" s="18"/>
      <c r="C216" s="18"/>
      <c r="D216" s="1549"/>
      <c r="E216" s="1551"/>
      <c r="F216" s="6"/>
      <c r="G216" s="46">
        <v>7</v>
      </c>
      <c r="H216" s="48"/>
      <c r="I216" s="48"/>
      <c r="J216" s="48"/>
      <c r="K216" s="48"/>
      <c r="L216" s="48"/>
      <c r="M216" s="48"/>
      <c r="N216" s="48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1551"/>
      <c r="AW216" s="1551"/>
    </row>
    <row r="217" spans="1:49" x14ac:dyDescent="0.3">
      <c r="A217" s="18"/>
      <c r="B217" s="18"/>
      <c r="C217" s="18"/>
      <c r="D217" s="1549"/>
      <c r="E217" s="1549"/>
      <c r="F217" s="97"/>
      <c r="G217" s="46">
        <v>8</v>
      </c>
      <c r="H217" s="48"/>
      <c r="I217" s="48"/>
      <c r="J217" s="48"/>
      <c r="K217" s="48"/>
      <c r="L217" s="48"/>
      <c r="M217" s="48"/>
      <c r="N217" s="48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1549"/>
      <c r="AW217" s="1549"/>
    </row>
    <row r="218" spans="1:49" x14ac:dyDescent="0.3">
      <c r="A218" s="18"/>
      <c r="B218" s="18"/>
      <c r="C218" s="18"/>
      <c r="D218" s="1544"/>
      <c r="E218" s="1550"/>
      <c r="F218" s="98"/>
      <c r="G218" s="46">
        <v>1</v>
      </c>
      <c r="H218" s="47"/>
      <c r="I218" s="47"/>
      <c r="J218" s="47"/>
      <c r="K218" s="47"/>
      <c r="L218" s="47"/>
      <c r="M218" s="47"/>
      <c r="N218" s="47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1552"/>
      <c r="AW218" s="1552"/>
    </row>
    <row r="219" spans="1:49" x14ac:dyDescent="0.3">
      <c r="A219" s="18"/>
      <c r="B219" s="18"/>
      <c r="C219" s="18"/>
      <c r="D219" s="1549"/>
      <c r="E219" s="1551"/>
      <c r="F219" s="6"/>
      <c r="G219" s="46">
        <v>2</v>
      </c>
      <c r="H219" s="47"/>
      <c r="I219" s="47"/>
      <c r="J219" s="47"/>
      <c r="K219" s="47"/>
      <c r="L219" s="47"/>
      <c r="M219" s="47"/>
      <c r="N219" s="47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1551"/>
      <c r="AW219" s="1551"/>
    </row>
    <row r="220" spans="1:49" x14ac:dyDescent="0.3">
      <c r="A220" s="18"/>
      <c r="B220" s="18"/>
      <c r="C220" s="18"/>
      <c r="D220" s="1549"/>
      <c r="E220" s="1551"/>
      <c r="F220" s="6"/>
      <c r="G220" s="46">
        <v>3</v>
      </c>
      <c r="H220" s="47"/>
      <c r="I220" s="47"/>
      <c r="J220" s="47"/>
      <c r="K220" s="47"/>
      <c r="L220" s="47"/>
      <c r="M220" s="47"/>
      <c r="N220" s="47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1551"/>
      <c r="AW220" s="1551"/>
    </row>
    <row r="221" spans="1:49" x14ac:dyDescent="0.3">
      <c r="A221" s="18"/>
      <c r="B221" s="18"/>
      <c r="C221" s="18"/>
      <c r="D221" s="1549"/>
      <c r="E221" s="1551"/>
      <c r="F221" s="6"/>
      <c r="G221" s="46">
        <v>4</v>
      </c>
      <c r="H221" s="48"/>
      <c r="I221" s="48"/>
      <c r="J221" s="48"/>
      <c r="K221" s="48"/>
      <c r="L221" s="48"/>
      <c r="M221" s="48"/>
      <c r="N221" s="48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1551"/>
      <c r="AW221" s="1551"/>
    </row>
    <row r="222" spans="1:49" x14ac:dyDescent="0.3">
      <c r="A222" s="18"/>
      <c r="B222" s="18"/>
      <c r="C222" s="18"/>
      <c r="D222" s="1549"/>
      <c r="E222" s="1551"/>
      <c r="F222" s="6"/>
      <c r="G222" s="46">
        <v>5</v>
      </c>
      <c r="H222" s="48"/>
      <c r="I222" s="48"/>
      <c r="J222" s="48"/>
      <c r="K222" s="48"/>
      <c r="L222" s="48"/>
      <c r="M222" s="48"/>
      <c r="N222" s="48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1551"/>
      <c r="AW222" s="1551"/>
    </row>
    <row r="223" spans="1:49" x14ac:dyDescent="0.3">
      <c r="A223" s="18"/>
      <c r="B223" s="18"/>
      <c r="C223" s="18"/>
      <c r="D223" s="1549"/>
      <c r="E223" s="1551"/>
      <c r="F223" s="6"/>
      <c r="G223" s="46">
        <v>6</v>
      </c>
      <c r="H223" s="48"/>
      <c r="I223" s="48"/>
      <c r="J223" s="48"/>
      <c r="K223" s="48"/>
      <c r="L223" s="48"/>
      <c r="M223" s="48"/>
      <c r="N223" s="48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1551"/>
      <c r="AW223" s="1551"/>
    </row>
    <row r="224" spans="1:49" x14ac:dyDescent="0.3">
      <c r="A224" s="18"/>
      <c r="B224" s="18"/>
      <c r="C224" s="18"/>
      <c r="D224" s="1549"/>
      <c r="E224" s="1551"/>
      <c r="F224" s="6"/>
      <c r="G224" s="46">
        <v>7</v>
      </c>
      <c r="H224" s="48"/>
      <c r="I224" s="48"/>
      <c r="J224" s="48"/>
      <c r="K224" s="48"/>
      <c r="L224" s="48"/>
      <c r="M224" s="48"/>
      <c r="N224" s="48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1551"/>
      <c r="AW224" s="1551"/>
    </row>
    <row r="225" spans="1:49" x14ac:dyDescent="0.3">
      <c r="A225" s="18"/>
      <c r="B225" s="18"/>
      <c r="C225" s="18"/>
      <c r="D225" s="1549"/>
      <c r="E225" s="1549"/>
      <c r="F225" s="97"/>
      <c r="G225" s="46">
        <v>8</v>
      </c>
      <c r="H225" s="48"/>
      <c r="I225" s="48"/>
      <c r="J225" s="48"/>
      <c r="K225" s="48"/>
      <c r="L225" s="48"/>
      <c r="M225" s="48"/>
      <c r="N225" s="48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1549"/>
      <c r="AW225" s="1549"/>
    </row>
    <row r="226" spans="1:49" x14ac:dyDescent="0.3">
      <c r="A226" s="18"/>
      <c r="B226" s="18"/>
      <c r="C226" s="18"/>
      <c r="D226" s="1544"/>
      <c r="E226" s="1550"/>
      <c r="F226" s="98"/>
      <c r="G226" s="46">
        <v>1</v>
      </c>
      <c r="H226" s="47"/>
      <c r="I226" s="47"/>
      <c r="J226" s="47"/>
      <c r="K226" s="47"/>
      <c r="L226" s="47"/>
      <c r="M226" s="47"/>
      <c r="N226" s="47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1552"/>
      <c r="AW226" s="1552"/>
    </row>
    <row r="227" spans="1:49" x14ac:dyDescent="0.3">
      <c r="A227" s="18"/>
      <c r="B227" s="18"/>
      <c r="C227" s="18"/>
      <c r="D227" s="1549"/>
      <c r="E227" s="1551"/>
      <c r="F227" s="6"/>
      <c r="G227" s="46">
        <v>2</v>
      </c>
      <c r="H227" s="47"/>
      <c r="I227" s="47"/>
      <c r="J227" s="47"/>
      <c r="K227" s="47"/>
      <c r="L227" s="47"/>
      <c r="M227" s="47"/>
      <c r="N227" s="47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1551"/>
      <c r="AW227" s="1551"/>
    </row>
    <row r="228" spans="1:49" x14ac:dyDescent="0.3">
      <c r="A228" s="18"/>
      <c r="B228" s="18"/>
      <c r="C228" s="18"/>
      <c r="D228" s="1549"/>
      <c r="E228" s="1551"/>
      <c r="F228" s="6"/>
      <c r="G228" s="46">
        <v>3</v>
      </c>
      <c r="H228" s="47"/>
      <c r="I228" s="47"/>
      <c r="J228" s="47"/>
      <c r="K228" s="47"/>
      <c r="L228" s="47"/>
      <c r="M228" s="47"/>
      <c r="N228" s="47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1551"/>
      <c r="AW228" s="1551"/>
    </row>
    <row r="229" spans="1:49" x14ac:dyDescent="0.3">
      <c r="A229" s="18"/>
      <c r="B229" s="18"/>
      <c r="C229" s="18"/>
      <c r="D229" s="1549"/>
      <c r="E229" s="1551"/>
      <c r="F229" s="6"/>
      <c r="G229" s="46">
        <v>4</v>
      </c>
      <c r="H229" s="48"/>
      <c r="I229" s="48"/>
      <c r="J229" s="48"/>
      <c r="K229" s="48"/>
      <c r="L229" s="48"/>
      <c r="M229" s="48"/>
      <c r="N229" s="48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1551"/>
      <c r="AW229" s="1551"/>
    </row>
    <row r="230" spans="1:49" x14ac:dyDescent="0.3">
      <c r="A230" s="18"/>
      <c r="B230" s="18"/>
      <c r="C230" s="18"/>
      <c r="D230" s="1549"/>
      <c r="E230" s="1551"/>
      <c r="F230" s="6"/>
      <c r="G230" s="46">
        <v>5</v>
      </c>
      <c r="H230" s="48"/>
      <c r="I230" s="48"/>
      <c r="J230" s="48"/>
      <c r="K230" s="48"/>
      <c r="L230" s="48"/>
      <c r="M230" s="48"/>
      <c r="N230" s="48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1551"/>
      <c r="AW230" s="1551"/>
    </row>
    <row r="231" spans="1:49" x14ac:dyDescent="0.3">
      <c r="A231" s="18"/>
      <c r="B231" s="18"/>
      <c r="C231" s="18"/>
      <c r="D231" s="1549"/>
      <c r="E231" s="1551"/>
      <c r="F231" s="6"/>
      <c r="G231" s="46">
        <v>6</v>
      </c>
      <c r="H231" s="48"/>
      <c r="I231" s="48"/>
      <c r="J231" s="48"/>
      <c r="K231" s="48"/>
      <c r="L231" s="48"/>
      <c r="M231" s="48"/>
      <c r="N231" s="48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1551"/>
      <c r="AW231" s="1551"/>
    </row>
    <row r="232" spans="1:49" x14ac:dyDescent="0.3">
      <c r="A232" s="18"/>
      <c r="B232" s="18"/>
      <c r="C232" s="18"/>
      <c r="D232" s="1549"/>
      <c r="E232" s="1551"/>
      <c r="F232" s="6"/>
      <c r="G232" s="46">
        <v>7</v>
      </c>
      <c r="H232" s="48"/>
      <c r="I232" s="48"/>
      <c r="J232" s="48"/>
      <c r="K232" s="48"/>
      <c r="L232" s="48"/>
      <c r="M232" s="48"/>
      <c r="N232" s="48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1551"/>
      <c r="AW232" s="1551"/>
    </row>
    <row r="233" spans="1:49" x14ac:dyDescent="0.3">
      <c r="A233" s="18"/>
      <c r="B233" s="18"/>
      <c r="C233" s="18"/>
      <c r="D233" s="1549"/>
      <c r="E233" s="1549"/>
      <c r="F233" s="97"/>
      <c r="G233" s="46">
        <v>8</v>
      </c>
      <c r="H233" s="48"/>
      <c r="I233" s="48"/>
      <c r="J233" s="48"/>
      <c r="K233" s="48"/>
      <c r="L233" s="48"/>
      <c r="M233" s="48"/>
      <c r="N233" s="48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1549"/>
      <c r="AW233" s="1549"/>
    </row>
    <row r="234" spans="1:49" x14ac:dyDescent="0.3">
      <c r="A234" s="18"/>
      <c r="B234" s="18"/>
      <c r="C234" s="18"/>
      <c r="D234" s="1544"/>
      <c r="E234" s="1550"/>
      <c r="F234" s="98"/>
      <c r="G234" s="46">
        <v>1</v>
      </c>
      <c r="H234" s="47"/>
      <c r="I234" s="47"/>
      <c r="J234" s="47"/>
      <c r="K234" s="47"/>
      <c r="L234" s="47"/>
      <c r="M234" s="47"/>
      <c r="N234" s="47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1552"/>
      <c r="AW234" s="1552"/>
    </row>
    <row r="235" spans="1:49" x14ac:dyDescent="0.3">
      <c r="A235" s="18"/>
      <c r="B235" s="18"/>
      <c r="C235" s="18"/>
      <c r="D235" s="1549"/>
      <c r="E235" s="1551"/>
      <c r="F235" s="6"/>
      <c r="G235" s="46">
        <v>2</v>
      </c>
      <c r="H235" s="47"/>
      <c r="I235" s="47"/>
      <c r="J235" s="47"/>
      <c r="K235" s="47"/>
      <c r="L235" s="47"/>
      <c r="M235" s="47"/>
      <c r="N235" s="47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1551"/>
      <c r="AW235" s="1551"/>
    </row>
    <row r="236" spans="1:49" x14ac:dyDescent="0.3">
      <c r="A236" s="18"/>
      <c r="B236" s="18"/>
      <c r="C236" s="18"/>
      <c r="D236" s="1549"/>
      <c r="E236" s="1551"/>
      <c r="F236" s="6"/>
      <c r="G236" s="46">
        <v>3</v>
      </c>
      <c r="H236" s="47"/>
      <c r="I236" s="47"/>
      <c r="J236" s="47"/>
      <c r="K236" s="47"/>
      <c r="L236" s="47"/>
      <c r="M236" s="47"/>
      <c r="N236" s="47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1551"/>
      <c r="AW236" s="1551"/>
    </row>
    <row r="237" spans="1:49" x14ac:dyDescent="0.3">
      <c r="A237" s="18"/>
      <c r="B237" s="18"/>
      <c r="C237" s="18"/>
      <c r="D237" s="1549"/>
      <c r="E237" s="1551"/>
      <c r="F237" s="6"/>
      <c r="G237" s="46">
        <v>4</v>
      </c>
      <c r="H237" s="48"/>
      <c r="I237" s="48"/>
      <c r="J237" s="48"/>
      <c r="K237" s="48"/>
      <c r="L237" s="48"/>
      <c r="M237" s="48"/>
      <c r="N237" s="48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1551"/>
      <c r="AW237" s="1551"/>
    </row>
    <row r="238" spans="1:49" x14ac:dyDescent="0.3">
      <c r="A238" s="18"/>
      <c r="B238" s="18"/>
      <c r="C238" s="18"/>
      <c r="D238" s="1549"/>
      <c r="E238" s="1551"/>
      <c r="F238" s="6"/>
      <c r="G238" s="46">
        <v>5</v>
      </c>
      <c r="H238" s="48"/>
      <c r="I238" s="48"/>
      <c r="J238" s="48"/>
      <c r="K238" s="48"/>
      <c r="L238" s="48"/>
      <c r="M238" s="48"/>
      <c r="N238" s="48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1551"/>
      <c r="AW238" s="1551"/>
    </row>
    <row r="239" spans="1:49" x14ac:dyDescent="0.3">
      <c r="A239" s="18"/>
      <c r="B239" s="18"/>
      <c r="C239" s="18"/>
      <c r="D239" s="1549"/>
      <c r="E239" s="1551"/>
      <c r="F239" s="6"/>
      <c r="G239" s="46">
        <v>6</v>
      </c>
      <c r="H239" s="48"/>
      <c r="I239" s="48"/>
      <c r="J239" s="48"/>
      <c r="K239" s="48"/>
      <c r="L239" s="48"/>
      <c r="M239" s="48"/>
      <c r="N239" s="48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1551"/>
      <c r="AW239" s="1551"/>
    </row>
    <row r="240" spans="1:49" x14ac:dyDescent="0.3">
      <c r="A240" s="18"/>
      <c r="B240" s="18"/>
      <c r="C240" s="18"/>
      <c r="D240" s="1549"/>
      <c r="E240" s="1551"/>
      <c r="F240" s="6"/>
      <c r="G240" s="46">
        <v>7</v>
      </c>
      <c r="H240" s="48"/>
      <c r="I240" s="48"/>
      <c r="J240" s="48"/>
      <c r="K240" s="48"/>
      <c r="L240" s="48"/>
      <c r="M240" s="48"/>
      <c r="N240" s="48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1551"/>
      <c r="AW240" s="1551"/>
    </row>
    <row r="241" spans="1:49" x14ac:dyDescent="0.3">
      <c r="A241" s="18"/>
      <c r="B241" s="18"/>
      <c r="C241" s="18"/>
      <c r="D241" s="1549"/>
      <c r="E241" s="1549"/>
      <c r="F241" s="97"/>
      <c r="G241" s="46">
        <v>8</v>
      </c>
      <c r="H241" s="48"/>
      <c r="I241" s="48"/>
      <c r="J241" s="48"/>
      <c r="K241" s="48"/>
      <c r="L241" s="48"/>
      <c r="M241" s="48"/>
      <c r="N241" s="48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1549"/>
      <c r="AW241" s="1549"/>
    </row>
    <row r="242" spans="1:49" x14ac:dyDescent="0.3">
      <c r="A242" s="18"/>
      <c r="B242" s="18"/>
      <c r="C242" s="18"/>
      <c r="D242" s="1544"/>
      <c r="E242" s="1550"/>
      <c r="F242" s="98"/>
      <c r="G242" s="46">
        <v>1</v>
      </c>
      <c r="H242" s="47"/>
      <c r="I242" s="47"/>
      <c r="J242" s="47"/>
      <c r="K242" s="47"/>
      <c r="L242" s="47"/>
      <c r="M242" s="47"/>
      <c r="N242" s="47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1552"/>
      <c r="AW242" s="1552"/>
    </row>
    <row r="243" spans="1:49" x14ac:dyDescent="0.3">
      <c r="A243" s="18"/>
      <c r="B243" s="18"/>
      <c r="C243" s="18"/>
      <c r="D243" s="1549"/>
      <c r="E243" s="1551"/>
      <c r="F243" s="6"/>
      <c r="G243" s="46">
        <v>2</v>
      </c>
      <c r="H243" s="47"/>
      <c r="I243" s="47"/>
      <c r="J243" s="47"/>
      <c r="K243" s="47"/>
      <c r="L243" s="47"/>
      <c r="M243" s="47"/>
      <c r="N243" s="47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1551"/>
      <c r="AW243" s="1551"/>
    </row>
    <row r="244" spans="1:49" x14ac:dyDescent="0.3">
      <c r="A244" s="18"/>
      <c r="B244" s="18"/>
      <c r="C244" s="18"/>
      <c r="D244" s="1549"/>
      <c r="E244" s="1551"/>
      <c r="F244" s="6"/>
      <c r="G244" s="46">
        <v>3</v>
      </c>
      <c r="H244" s="47"/>
      <c r="I244" s="47"/>
      <c r="J244" s="47"/>
      <c r="K244" s="47"/>
      <c r="L244" s="47"/>
      <c r="M244" s="47"/>
      <c r="N244" s="47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1551"/>
      <c r="AW244" s="1551"/>
    </row>
    <row r="245" spans="1:49" x14ac:dyDescent="0.3">
      <c r="A245" s="18"/>
      <c r="B245" s="18"/>
      <c r="C245" s="18"/>
      <c r="D245" s="1549"/>
      <c r="E245" s="1551"/>
      <c r="F245" s="6"/>
      <c r="G245" s="46">
        <v>4</v>
      </c>
      <c r="H245" s="48"/>
      <c r="I245" s="48"/>
      <c r="J245" s="48"/>
      <c r="K245" s="48"/>
      <c r="L245" s="48"/>
      <c r="M245" s="48"/>
      <c r="N245" s="48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1551"/>
      <c r="AW245" s="1551"/>
    </row>
    <row r="246" spans="1:49" x14ac:dyDescent="0.3">
      <c r="A246" s="18"/>
      <c r="B246" s="18"/>
      <c r="C246" s="18"/>
      <c r="D246" s="1549"/>
      <c r="E246" s="1551"/>
      <c r="F246" s="6"/>
      <c r="G246" s="46">
        <v>5</v>
      </c>
      <c r="H246" s="48"/>
      <c r="I246" s="48"/>
      <c r="J246" s="48"/>
      <c r="K246" s="48"/>
      <c r="L246" s="48"/>
      <c r="M246" s="48"/>
      <c r="N246" s="48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1551"/>
      <c r="AW246" s="1551"/>
    </row>
    <row r="247" spans="1:49" x14ac:dyDescent="0.3">
      <c r="A247" s="18"/>
      <c r="B247" s="18"/>
      <c r="C247" s="18"/>
      <c r="D247" s="1549"/>
      <c r="E247" s="1551"/>
      <c r="F247" s="6"/>
      <c r="G247" s="46">
        <v>6</v>
      </c>
      <c r="H247" s="48"/>
      <c r="I247" s="48"/>
      <c r="J247" s="48"/>
      <c r="K247" s="48"/>
      <c r="L247" s="48"/>
      <c r="M247" s="48"/>
      <c r="N247" s="48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1551"/>
      <c r="AW247" s="1551"/>
    </row>
    <row r="248" spans="1:49" x14ac:dyDescent="0.3">
      <c r="A248" s="18"/>
      <c r="B248" s="18"/>
      <c r="C248" s="18"/>
      <c r="D248" s="1549"/>
      <c r="E248" s="1551"/>
      <c r="F248" s="6"/>
      <c r="G248" s="46">
        <v>7</v>
      </c>
      <c r="H248" s="48"/>
      <c r="I248" s="48"/>
      <c r="J248" s="48"/>
      <c r="K248" s="48"/>
      <c r="L248" s="48"/>
      <c r="M248" s="48"/>
      <c r="N248" s="48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1551"/>
      <c r="AW248" s="1551"/>
    </row>
    <row r="249" spans="1:49" x14ac:dyDescent="0.3">
      <c r="A249" s="18"/>
      <c r="B249" s="18"/>
      <c r="C249" s="18"/>
      <c r="D249" s="1549"/>
      <c r="E249" s="1549"/>
      <c r="F249" s="97"/>
      <c r="G249" s="46">
        <v>8</v>
      </c>
      <c r="H249" s="48"/>
      <c r="I249" s="48"/>
      <c r="J249" s="48"/>
      <c r="K249" s="48"/>
      <c r="L249" s="48"/>
      <c r="M249" s="48"/>
      <c r="N249" s="48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1549"/>
      <c r="AW249" s="1549"/>
    </row>
    <row r="250" spans="1:49" x14ac:dyDescent="0.3">
      <c r="A250" s="18"/>
      <c r="B250" s="18"/>
      <c r="C250" s="18"/>
      <c r="D250" s="1544"/>
      <c r="E250" s="1550"/>
      <c r="F250" s="98"/>
      <c r="G250" s="46">
        <v>1</v>
      </c>
      <c r="H250" s="47"/>
      <c r="I250" s="47"/>
      <c r="J250" s="47"/>
      <c r="K250" s="47"/>
      <c r="L250" s="47"/>
      <c r="M250" s="47"/>
      <c r="N250" s="47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1552"/>
      <c r="AW250" s="1552"/>
    </row>
    <row r="251" spans="1:49" x14ac:dyDescent="0.3">
      <c r="A251" s="18"/>
      <c r="B251" s="18"/>
      <c r="C251" s="18"/>
      <c r="D251" s="1549"/>
      <c r="E251" s="1551"/>
      <c r="F251" s="6"/>
      <c r="G251" s="46">
        <v>2</v>
      </c>
      <c r="H251" s="47"/>
      <c r="I251" s="47"/>
      <c r="J251" s="47"/>
      <c r="K251" s="47"/>
      <c r="L251" s="47"/>
      <c r="M251" s="47"/>
      <c r="N251" s="47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1551"/>
      <c r="AW251" s="1551"/>
    </row>
    <row r="252" spans="1:49" x14ac:dyDescent="0.3">
      <c r="A252" s="18"/>
      <c r="B252" s="18"/>
      <c r="C252" s="18"/>
      <c r="D252" s="1549"/>
      <c r="E252" s="1551"/>
      <c r="F252" s="6"/>
      <c r="G252" s="46">
        <v>3</v>
      </c>
      <c r="H252" s="47"/>
      <c r="I252" s="47"/>
      <c r="J252" s="47"/>
      <c r="K252" s="47"/>
      <c r="L252" s="47"/>
      <c r="M252" s="47"/>
      <c r="N252" s="47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1551"/>
      <c r="AW252" s="1551"/>
    </row>
    <row r="253" spans="1:49" x14ac:dyDescent="0.3">
      <c r="A253" s="18"/>
      <c r="B253" s="18"/>
      <c r="C253" s="18"/>
      <c r="D253" s="1549"/>
      <c r="E253" s="1551"/>
      <c r="F253" s="6"/>
      <c r="G253" s="46">
        <v>4</v>
      </c>
      <c r="H253" s="48"/>
      <c r="I253" s="48"/>
      <c r="J253" s="48"/>
      <c r="K253" s="48"/>
      <c r="L253" s="48"/>
      <c r="M253" s="48"/>
      <c r="N253" s="48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1551"/>
      <c r="AW253" s="1551"/>
    </row>
    <row r="254" spans="1:49" x14ac:dyDescent="0.3">
      <c r="A254" s="18"/>
      <c r="B254" s="18"/>
      <c r="C254" s="18"/>
      <c r="D254" s="1549"/>
      <c r="E254" s="1551"/>
      <c r="F254" s="6"/>
      <c r="G254" s="46">
        <v>5</v>
      </c>
      <c r="H254" s="48"/>
      <c r="I254" s="48"/>
      <c r="J254" s="48"/>
      <c r="K254" s="48"/>
      <c r="L254" s="48"/>
      <c r="M254" s="48"/>
      <c r="N254" s="48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1551"/>
      <c r="AW254" s="1551"/>
    </row>
    <row r="255" spans="1:49" x14ac:dyDescent="0.3">
      <c r="A255" s="18"/>
      <c r="B255" s="18"/>
      <c r="C255" s="18"/>
      <c r="D255" s="1549"/>
      <c r="E255" s="1551"/>
      <c r="F255" s="6"/>
      <c r="G255" s="46">
        <v>6</v>
      </c>
      <c r="H255" s="48"/>
      <c r="I255" s="48"/>
      <c r="J255" s="48"/>
      <c r="K255" s="48"/>
      <c r="L255" s="48"/>
      <c r="M255" s="48"/>
      <c r="N255" s="48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1551"/>
      <c r="AW255" s="1551"/>
    </row>
    <row r="256" spans="1:49" x14ac:dyDescent="0.3">
      <c r="A256" s="18"/>
      <c r="B256" s="18"/>
      <c r="C256" s="18"/>
      <c r="D256" s="1549"/>
      <c r="E256" s="1551"/>
      <c r="F256" s="6"/>
      <c r="G256" s="46">
        <v>7</v>
      </c>
      <c r="H256" s="48"/>
      <c r="I256" s="48"/>
      <c r="J256" s="48"/>
      <c r="K256" s="48"/>
      <c r="L256" s="48"/>
      <c r="M256" s="48"/>
      <c r="N256" s="48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1551"/>
      <c r="AW256" s="1551"/>
    </row>
    <row r="257" spans="1:49" x14ac:dyDescent="0.3">
      <c r="A257" s="18"/>
      <c r="B257" s="18"/>
      <c r="C257" s="18"/>
      <c r="D257" s="1549"/>
      <c r="E257" s="1549"/>
      <c r="F257" s="97"/>
      <c r="G257" s="46">
        <v>8</v>
      </c>
      <c r="H257" s="48"/>
      <c r="I257" s="48"/>
      <c r="J257" s="48"/>
      <c r="K257" s="48"/>
      <c r="L257" s="48"/>
      <c r="M257" s="48"/>
      <c r="N257" s="48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1549"/>
      <c r="AW257" s="1549"/>
    </row>
    <row r="258" spans="1:49" x14ac:dyDescent="0.3">
      <c r="A258" s="18"/>
      <c r="B258" s="18"/>
      <c r="C258" s="18"/>
      <c r="D258" s="1544"/>
      <c r="E258" s="1550"/>
      <c r="F258" s="98"/>
      <c r="G258" s="46">
        <v>1</v>
      </c>
      <c r="H258" s="47"/>
      <c r="I258" s="47"/>
      <c r="J258" s="47"/>
      <c r="K258" s="47"/>
      <c r="L258" s="47"/>
      <c r="M258" s="47"/>
      <c r="N258" s="47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1552"/>
      <c r="AW258" s="1552"/>
    </row>
    <row r="259" spans="1:49" x14ac:dyDescent="0.3">
      <c r="A259" s="18"/>
      <c r="B259" s="18"/>
      <c r="C259" s="18"/>
      <c r="D259" s="1549"/>
      <c r="E259" s="1551"/>
      <c r="F259" s="6"/>
      <c r="G259" s="46">
        <v>2</v>
      </c>
      <c r="H259" s="47"/>
      <c r="I259" s="47"/>
      <c r="J259" s="47"/>
      <c r="K259" s="47"/>
      <c r="L259" s="47"/>
      <c r="M259" s="47"/>
      <c r="N259" s="47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1551"/>
      <c r="AW259" s="1551"/>
    </row>
    <row r="260" spans="1:49" x14ac:dyDescent="0.3">
      <c r="A260" s="18"/>
      <c r="B260" s="18"/>
      <c r="C260" s="18"/>
      <c r="D260" s="1549"/>
      <c r="E260" s="1551"/>
      <c r="F260" s="6"/>
      <c r="G260" s="46">
        <v>3</v>
      </c>
      <c r="H260" s="47"/>
      <c r="I260" s="47"/>
      <c r="J260" s="47"/>
      <c r="K260" s="47"/>
      <c r="L260" s="47"/>
      <c r="M260" s="47"/>
      <c r="N260" s="47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1551"/>
      <c r="AW260" s="1551"/>
    </row>
    <row r="261" spans="1:49" x14ac:dyDescent="0.3">
      <c r="A261" s="18"/>
      <c r="B261" s="18"/>
      <c r="C261" s="18"/>
      <c r="D261" s="1549"/>
      <c r="E261" s="1551"/>
      <c r="F261" s="6"/>
      <c r="G261" s="46">
        <v>4</v>
      </c>
      <c r="H261" s="48"/>
      <c r="I261" s="48"/>
      <c r="J261" s="48"/>
      <c r="K261" s="48"/>
      <c r="L261" s="48"/>
      <c r="M261" s="48"/>
      <c r="N261" s="48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1551"/>
      <c r="AW261" s="1551"/>
    </row>
    <row r="262" spans="1:49" x14ac:dyDescent="0.3">
      <c r="A262" s="18"/>
      <c r="B262" s="18"/>
      <c r="C262" s="18"/>
      <c r="D262" s="1549"/>
      <c r="E262" s="1551"/>
      <c r="F262" s="6"/>
      <c r="G262" s="46">
        <v>5</v>
      </c>
      <c r="H262" s="48"/>
      <c r="I262" s="48"/>
      <c r="J262" s="48"/>
      <c r="K262" s="48"/>
      <c r="L262" s="48"/>
      <c r="M262" s="48"/>
      <c r="N262" s="48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1551"/>
      <c r="AW262" s="1551"/>
    </row>
    <row r="263" spans="1:49" x14ac:dyDescent="0.3">
      <c r="A263" s="18"/>
      <c r="B263" s="18"/>
      <c r="C263" s="18"/>
      <c r="D263" s="1549"/>
      <c r="E263" s="1551"/>
      <c r="F263" s="6"/>
      <c r="G263" s="46">
        <v>6</v>
      </c>
      <c r="H263" s="48"/>
      <c r="I263" s="48"/>
      <c r="J263" s="48"/>
      <c r="K263" s="48"/>
      <c r="L263" s="48"/>
      <c r="M263" s="48"/>
      <c r="N263" s="48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1551"/>
      <c r="AW263" s="1551"/>
    </row>
    <row r="264" spans="1:49" x14ac:dyDescent="0.3">
      <c r="A264" s="18"/>
      <c r="B264" s="18"/>
      <c r="C264" s="18"/>
      <c r="D264" s="1549"/>
      <c r="E264" s="1551"/>
      <c r="F264" s="6"/>
      <c r="G264" s="46">
        <v>7</v>
      </c>
      <c r="H264" s="48"/>
      <c r="I264" s="48"/>
      <c r="J264" s="48"/>
      <c r="K264" s="48"/>
      <c r="L264" s="48"/>
      <c r="M264" s="48"/>
      <c r="N264" s="48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1551"/>
      <c r="AW264" s="1551"/>
    </row>
    <row r="265" spans="1:49" x14ac:dyDescent="0.3">
      <c r="A265" s="18"/>
      <c r="B265" s="18"/>
      <c r="C265" s="18"/>
      <c r="D265" s="1549"/>
      <c r="E265" s="1549"/>
      <c r="F265" s="97"/>
      <c r="G265" s="46">
        <v>8</v>
      </c>
      <c r="H265" s="48"/>
      <c r="I265" s="48"/>
      <c r="J265" s="48"/>
      <c r="K265" s="48"/>
      <c r="L265" s="48"/>
      <c r="M265" s="48"/>
      <c r="N265" s="48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1549"/>
      <c r="AW265" s="1549"/>
    </row>
    <row r="266" spans="1:49" x14ac:dyDescent="0.3">
      <c r="A266" s="18"/>
      <c r="B266" s="18"/>
      <c r="C266" s="18"/>
      <c r="D266" s="1544"/>
      <c r="E266" s="1550"/>
      <c r="F266" s="98"/>
      <c r="G266" s="46">
        <v>1</v>
      </c>
      <c r="H266" s="47"/>
      <c r="I266" s="47"/>
      <c r="J266" s="47"/>
      <c r="K266" s="47"/>
      <c r="L266" s="47"/>
      <c r="M266" s="47"/>
      <c r="N266" s="47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1552"/>
      <c r="AW266" s="1552"/>
    </row>
    <row r="267" spans="1:49" x14ac:dyDescent="0.3">
      <c r="A267" s="18"/>
      <c r="B267" s="18"/>
      <c r="C267" s="18"/>
      <c r="D267" s="1549"/>
      <c r="E267" s="1551"/>
      <c r="F267" s="6"/>
      <c r="G267" s="46">
        <v>2</v>
      </c>
      <c r="H267" s="47"/>
      <c r="I267" s="47"/>
      <c r="J267" s="47"/>
      <c r="K267" s="47"/>
      <c r="L267" s="47"/>
      <c r="M267" s="47"/>
      <c r="N267" s="47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1551"/>
      <c r="AW267" s="1551"/>
    </row>
    <row r="268" spans="1:49" x14ac:dyDescent="0.3">
      <c r="A268" s="18"/>
      <c r="B268" s="18"/>
      <c r="C268" s="18"/>
      <c r="D268" s="1549"/>
      <c r="E268" s="1551"/>
      <c r="F268" s="6"/>
      <c r="G268" s="46">
        <v>3</v>
      </c>
      <c r="H268" s="47"/>
      <c r="I268" s="47"/>
      <c r="J268" s="47"/>
      <c r="K268" s="47"/>
      <c r="L268" s="47"/>
      <c r="M268" s="47"/>
      <c r="N268" s="47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1551"/>
      <c r="AW268" s="1551"/>
    </row>
    <row r="269" spans="1:49" x14ac:dyDescent="0.3">
      <c r="A269" s="18"/>
      <c r="B269" s="18"/>
      <c r="C269" s="18"/>
      <c r="D269" s="1549"/>
      <c r="E269" s="1551"/>
      <c r="F269" s="6"/>
      <c r="G269" s="46">
        <v>4</v>
      </c>
      <c r="H269" s="48"/>
      <c r="I269" s="48"/>
      <c r="J269" s="48"/>
      <c r="K269" s="48"/>
      <c r="L269" s="48"/>
      <c r="M269" s="48"/>
      <c r="N269" s="48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1551"/>
      <c r="AW269" s="1551"/>
    </row>
    <row r="270" spans="1:49" x14ac:dyDescent="0.3">
      <c r="A270" s="18"/>
      <c r="B270" s="18"/>
      <c r="C270" s="18"/>
      <c r="D270" s="1549"/>
      <c r="E270" s="1551"/>
      <c r="F270" s="6"/>
      <c r="G270" s="46">
        <v>5</v>
      </c>
      <c r="H270" s="48"/>
      <c r="I270" s="48"/>
      <c r="J270" s="48"/>
      <c r="K270" s="48"/>
      <c r="L270" s="48"/>
      <c r="M270" s="48"/>
      <c r="N270" s="48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1551"/>
      <c r="AW270" s="1551"/>
    </row>
    <row r="271" spans="1:49" x14ac:dyDescent="0.3">
      <c r="A271" s="18"/>
      <c r="B271" s="18"/>
      <c r="C271" s="18"/>
      <c r="D271" s="1549"/>
      <c r="E271" s="1551"/>
      <c r="F271" s="6"/>
      <c r="G271" s="46">
        <v>6</v>
      </c>
      <c r="H271" s="48"/>
      <c r="I271" s="48"/>
      <c r="J271" s="48"/>
      <c r="K271" s="48"/>
      <c r="L271" s="48"/>
      <c r="M271" s="48"/>
      <c r="N271" s="48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1551"/>
      <c r="AW271" s="1551"/>
    </row>
    <row r="272" spans="1:49" x14ac:dyDescent="0.3">
      <c r="A272" s="18"/>
      <c r="B272" s="18"/>
      <c r="C272" s="18"/>
      <c r="D272" s="1549"/>
      <c r="E272" s="1551"/>
      <c r="F272" s="6"/>
      <c r="G272" s="46">
        <v>7</v>
      </c>
      <c r="H272" s="48"/>
      <c r="I272" s="48"/>
      <c r="J272" s="48"/>
      <c r="K272" s="48"/>
      <c r="L272" s="48"/>
      <c r="M272" s="48"/>
      <c r="N272" s="48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1551"/>
      <c r="AW272" s="1551"/>
    </row>
    <row r="273" spans="1:49" x14ac:dyDescent="0.3">
      <c r="A273" s="18"/>
      <c r="B273" s="18"/>
      <c r="C273" s="18"/>
      <c r="D273" s="1549"/>
      <c r="E273" s="1549"/>
      <c r="F273" s="97"/>
      <c r="G273" s="46">
        <v>8</v>
      </c>
      <c r="H273" s="48"/>
      <c r="I273" s="48"/>
      <c r="J273" s="48"/>
      <c r="K273" s="48"/>
      <c r="L273" s="48"/>
      <c r="M273" s="48"/>
      <c r="N273" s="48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1549"/>
      <c r="AW273" s="1549"/>
    </row>
    <row r="274" spans="1:49" x14ac:dyDescent="0.3">
      <c r="A274" s="18"/>
      <c r="B274" s="18"/>
      <c r="C274" s="18"/>
      <c r="D274" s="1544"/>
      <c r="E274" s="1550"/>
      <c r="F274" s="98"/>
      <c r="G274" s="46">
        <v>1</v>
      </c>
      <c r="H274" s="47"/>
      <c r="I274" s="47"/>
      <c r="J274" s="47"/>
      <c r="K274" s="47"/>
      <c r="L274" s="47"/>
      <c r="M274" s="47"/>
      <c r="N274" s="47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1552"/>
      <c r="AW274" s="1552"/>
    </row>
    <row r="275" spans="1:49" x14ac:dyDescent="0.3">
      <c r="A275" s="18"/>
      <c r="B275" s="18"/>
      <c r="C275" s="18"/>
      <c r="D275" s="1549"/>
      <c r="E275" s="1551"/>
      <c r="F275" s="6"/>
      <c r="G275" s="46">
        <v>2</v>
      </c>
      <c r="H275" s="47"/>
      <c r="I275" s="47"/>
      <c r="J275" s="47"/>
      <c r="K275" s="47"/>
      <c r="L275" s="47"/>
      <c r="M275" s="47"/>
      <c r="N275" s="47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1551"/>
      <c r="AW275" s="1551"/>
    </row>
    <row r="276" spans="1:49" x14ac:dyDescent="0.3">
      <c r="A276" s="18"/>
      <c r="B276" s="18"/>
      <c r="C276" s="18"/>
      <c r="D276" s="1549"/>
      <c r="E276" s="1551"/>
      <c r="F276" s="6"/>
      <c r="G276" s="46">
        <v>3</v>
      </c>
      <c r="H276" s="47"/>
      <c r="I276" s="47"/>
      <c r="J276" s="47"/>
      <c r="K276" s="47"/>
      <c r="L276" s="47"/>
      <c r="M276" s="47"/>
      <c r="N276" s="47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1551"/>
      <c r="AW276" s="1551"/>
    </row>
    <row r="277" spans="1:49" x14ac:dyDescent="0.3">
      <c r="A277" s="18"/>
      <c r="B277" s="18"/>
      <c r="C277" s="18"/>
      <c r="D277" s="1549"/>
      <c r="E277" s="1551"/>
      <c r="F277" s="6"/>
      <c r="G277" s="46">
        <v>4</v>
      </c>
      <c r="H277" s="48"/>
      <c r="I277" s="48"/>
      <c r="J277" s="48"/>
      <c r="K277" s="48"/>
      <c r="L277" s="48"/>
      <c r="M277" s="48"/>
      <c r="N277" s="48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1551"/>
      <c r="AW277" s="1551"/>
    </row>
    <row r="278" spans="1:49" x14ac:dyDescent="0.3">
      <c r="A278" s="18"/>
      <c r="B278" s="18"/>
      <c r="C278" s="18"/>
      <c r="D278" s="1549"/>
      <c r="E278" s="1551"/>
      <c r="F278" s="6"/>
      <c r="G278" s="46">
        <v>5</v>
      </c>
      <c r="H278" s="48"/>
      <c r="I278" s="48"/>
      <c r="J278" s="48"/>
      <c r="K278" s="48"/>
      <c r="L278" s="48"/>
      <c r="M278" s="48"/>
      <c r="N278" s="48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1551"/>
      <c r="AW278" s="1551"/>
    </row>
    <row r="279" spans="1:49" x14ac:dyDescent="0.3">
      <c r="A279" s="18"/>
      <c r="B279" s="18"/>
      <c r="C279" s="18"/>
      <c r="D279" s="1549"/>
      <c r="E279" s="1551"/>
      <c r="F279" s="6"/>
      <c r="G279" s="46">
        <v>6</v>
      </c>
      <c r="H279" s="48"/>
      <c r="I279" s="48"/>
      <c r="J279" s="48"/>
      <c r="K279" s="48"/>
      <c r="L279" s="48"/>
      <c r="M279" s="48"/>
      <c r="N279" s="48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1551"/>
      <c r="AW279" s="1551"/>
    </row>
    <row r="280" spans="1:49" x14ac:dyDescent="0.3">
      <c r="A280" s="18"/>
      <c r="B280" s="18"/>
      <c r="C280" s="18"/>
      <c r="D280" s="1549"/>
      <c r="E280" s="1551"/>
      <c r="F280" s="6"/>
      <c r="G280" s="46">
        <v>7</v>
      </c>
      <c r="H280" s="48"/>
      <c r="I280" s="48"/>
      <c r="J280" s="48"/>
      <c r="K280" s="48"/>
      <c r="L280" s="48"/>
      <c r="M280" s="48"/>
      <c r="N280" s="48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1551"/>
      <c r="AW280" s="1551"/>
    </row>
    <row r="281" spans="1:49" x14ac:dyDescent="0.3">
      <c r="A281" s="18"/>
      <c r="B281" s="18"/>
      <c r="C281" s="18"/>
      <c r="D281" s="1549"/>
      <c r="E281" s="1549"/>
      <c r="F281" s="97"/>
      <c r="G281" s="46">
        <v>8</v>
      </c>
      <c r="H281" s="48"/>
      <c r="I281" s="48"/>
      <c r="J281" s="48"/>
      <c r="K281" s="48"/>
      <c r="L281" s="48"/>
      <c r="M281" s="48"/>
      <c r="N281" s="48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1549"/>
      <c r="AW281" s="1549"/>
    </row>
    <row r="282" spans="1:49" x14ac:dyDescent="0.3">
      <c r="A282" s="18"/>
      <c r="B282" s="18"/>
      <c r="C282" s="18"/>
      <c r="D282" s="1544"/>
      <c r="E282" s="1550"/>
      <c r="F282" s="98"/>
      <c r="G282" s="46">
        <v>1</v>
      </c>
      <c r="H282" s="47"/>
      <c r="I282" s="47"/>
      <c r="J282" s="47"/>
      <c r="K282" s="47"/>
      <c r="L282" s="47"/>
      <c r="M282" s="47"/>
      <c r="N282" s="47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1552"/>
      <c r="AW282" s="1552"/>
    </row>
    <row r="283" spans="1:49" x14ac:dyDescent="0.3">
      <c r="A283" s="18"/>
      <c r="B283" s="18"/>
      <c r="C283" s="18"/>
      <c r="D283" s="1549"/>
      <c r="E283" s="1551"/>
      <c r="F283" s="6"/>
      <c r="G283" s="46">
        <v>2</v>
      </c>
      <c r="H283" s="47"/>
      <c r="I283" s="47"/>
      <c r="J283" s="47"/>
      <c r="K283" s="47"/>
      <c r="L283" s="47"/>
      <c r="M283" s="47"/>
      <c r="N283" s="47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1551"/>
      <c r="AW283" s="1551"/>
    </row>
    <row r="284" spans="1:49" x14ac:dyDescent="0.3">
      <c r="A284" s="18"/>
      <c r="B284" s="18"/>
      <c r="C284" s="18"/>
      <c r="D284" s="1549"/>
      <c r="E284" s="1551"/>
      <c r="F284" s="6"/>
      <c r="G284" s="46">
        <v>3</v>
      </c>
      <c r="H284" s="47"/>
      <c r="I284" s="47"/>
      <c r="J284" s="47"/>
      <c r="K284" s="47"/>
      <c r="L284" s="47"/>
      <c r="M284" s="47"/>
      <c r="N284" s="47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1551"/>
      <c r="AW284" s="1551"/>
    </row>
    <row r="285" spans="1:49" x14ac:dyDescent="0.3">
      <c r="A285" s="18"/>
      <c r="B285" s="18"/>
      <c r="C285" s="18"/>
      <c r="D285" s="1549"/>
      <c r="E285" s="1551"/>
      <c r="F285" s="6"/>
      <c r="G285" s="46">
        <v>4</v>
      </c>
      <c r="H285" s="48"/>
      <c r="I285" s="48"/>
      <c r="J285" s="48"/>
      <c r="K285" s="48"/>
      <c r="L285" s="48"/>
      <c r="M285" s="48"/>
      <c r="N285" s="48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1551"/>
      <c r="AW285" s="1551"/>
    </row>
    <row r="286" spans="1:49" x14ac:dyDescent="0.3">
      <c r="A286" s="18"/>
      <c r="B286" s="18"/>
      <c r="C286" s="18"/>
      <c r="D286" s="1549"/>
      <c r="E286" s="1551"/>
      <c r="F286" s="6"/>
      <c r="G286" s="46">
        <v>5</v>
      </c>
      <c r="H286" s="48"/>
      <c r="I286" s="48"/>
      <c r="J286" s="48"/>
      <c r="K286" s="48"/>
      <c r="L286" s="48"/>
      <c r="M286" s="48"/>
      <c r="N286" s="48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1551"/>
      <c r="AW286" s="1551"/>
    </row>
    <row r="287" spans="1:49" x14ac:dyDescent="0.3">
      <c r="A287" s="18"/>
      <c r="B287" s="18"/>
      <c r="C287" s="18"/>
      <c r="D287" s="1549"/>
      <c r="E287" s="1551"/>
      <c r="F287" s="6"/>
      <c r="G287" s="46">
        <v>6</v>
      </c>
      <c r="H287" s="48"/>
      <c r="I287" s="48"/>
      <c r="J287" s="48"/>
      <c r="K287" s="48"/>
      <c r="L287" s="48"/>
      <c r="M287" s="48"/>
      <c r="N287" s="48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1551"/>
      <c r="AW287" s="1551"/>
    </row>
    <row r="288" spans="1:49" x14ac:dyDescent="0.3">
      <c r="A288" s="18"/>
      <c r="B288" s="18"/>
      <c r="C288" s="18"/>
      <c r="D288" s="1549"/>
      <c r="E288" s="1551"/>
      <c r="F288" s="6"/>
      <c r="G288" s="46">
        <v>7</v>
      </c>
      <c r="H288" s="48"/>
      <c r="I288" s="48"/>
      <c r="J288" s="48"/>
      <c r="K288" s="48"/>
      <c r="L288" s="48"/>
      <c r="M288" s="48"/>
      <c r="N288" s="48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1551"/>
      <c r="AW288" s="1551"/>
    </row>
    <row r="289" spans="1:49" x14ac:dyDescent="0.3">
      <c r="A289" s="18"/>
      <c r="B289" s="18"/>
      <c r="C289" s="18"/>
      <c r="D289" s="1549"/>
      <c r="E289" s="1549"/>
      <c r="F289" s="97"/>
      <c r="G289" s="46">
        <v>8</v>
      </c>
      <c r="H289" s="48"/>
      <c r="I289" s="48"/>
      <c r="J289" s="48"/>
      <c r="K289" s="48"/>
      <c r="L289" s="48"/>
      <c r="M289" s="48"/>
      <c r="N289" s="48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1549"/>
      <c r="AW289" s="1549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9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O60"/>
  <sheetViews>
    <sheetView topLeftCell="A5" zoomScale="78" workbookViewId="0">
      <selection activeCell="N21" sqref="N21"/>
    </sheetView>
  </sheetViews>
  <sheetFormatPr defaultColWidth="8.77734375" defaultRowHeight="14.4" x14ac:dyDescent="0.3"/>
  <cols>
    <col min="1" max="1" width="8.77734375" style="1"/>
    <col min="2" max="2" width="8.77734375" style="12"/>
    <col min="3" max="3" width="19.21875" style="1" customWidth="1"/>
    <col min="4" max="4" width="28.21875" style="1" bestFit="1" customWidth="1"/>
    <col min="5" max="5" width="11.21875" style="1" bestFit="1" customWidth="1"/>
    <col min="6" max="13" width="8.77734375" style="1"/>
    <col min="14" max="14" width="11.44140625" style="1" bestFit="1" customWidth="1"/>
    <col min="15" max="16384" width="8.77734375" style="1"/>
  </cols>
  <sheetData>
    <row r="1" spans="2:15" x14ac:dyDescent="0.3">
      <c r="D1" s="1566" t="s">
        <v>71</v>
      </c>
      <c r="E1" s="1566"/>
      <c r="F1" s="1566"/>
    </row>
    <row r="3" spans="2:15" x14ac:dyDescent="0.3">
      <c r="B3" s="72" t="s">
        <v>70</v>
      </c>
      <c r="C3" s="72" t="s">
        <v>0</v>
      </c>
      <c r="D3" s="72" t="s">
        <v>69</v>
      </c>
    </row>
    <row r="4" spans="2:15" x14ac:dyDescent="0.3">
      <c r="B4" s="13">
        <v>1</v>
      </c>
      <c r="C4" s="73">
        <v>46252</v>
      </c>
      <c r="D4" s="13">
        <v>320</v>
      </c>
      <c r="N4" s="973"/>
      <c r="O4" s="974"/>
    </row>
    <row r="5" spans="2:15" x14ac:dyDescent="0.3">
      <c r="B5" s="13">
        <v>2</v>
      </c>
      <c r="C5" s="73">
        <v>46253</v>
      </c>
      <c r="D5" s="13">
        <v>320</v>
      </c>
      <c r="N5" s="973"/>
      <c r="O5" s="974"/>
    </row>
    <row r="6" spans="2:15" x14ac:dyDescent="0.3">
      <c r="B6" s="13">
        <v>3</v>
      </c>
      <c r="C6" s="73">
        <v>46254</v>
      </c>
      <c r="D6" s="13">
        <v>388</v>
      </c>
      <c r="N6" s="973"/>
      <c r="O6" s="974"/>
    </row>
    <row r="7" spans="2:15" x14ac:dyDescent="0.3">
      <c r="B7" s="13">
        <v>4</v>
      </c>
      <c r="C7" s="73">
        <v>46255</v>
      </c>
      <c r="D7" s="13">
        <v>425</v>
      </c>
      <c r="N7" s="973"/>
      <c r="O7" s="974"/>
    </row>
    <row r="8" spans="2:15" x14ac:dyDescent="0.3">
      <c r="B8" s="13">
        <v>5</v>
      </c>
      <c r="C8" s="73">
        <v>46256</v>
      </c>
      <c r="D8" s="13">
        <v>452</v>
      </c>
      <c r="N8" s="973"/>
      <c r="O8" s="974"/>
    </row>
    <row r="9" spans="2:15" x14ac:dyDescent="0.3">
      <c r="B9" s="13">
        <v>6</v>
      </c>
      <c r="C9" s="73">
        <v>46257</v>
      </c>
      <c r="D9" s="13">
        <v>397</v>
      </c>
      <c r="N9" s="973"/>
      <c r="O9" s="974"/>
    </row>
    <row r="10" spans="2:15" x14ac:dyDescent="0.3">
      <c r="B10" s="13">
        <v>7</v>
      </c>
      <c r="C10" s="73">
        <v>46258</v>
      </c>
      <c r="D10" s="13">
        <v>283</v>
      </c>
      <c r="N10" s="973"/>
      <c r="O10" s="974"/>
    </row>
    <row r="11" spans="2:15" x14ac:dyDescent="0.3">
      <c r="B11" s="13">
        <v>8</v>
      </c>
      <c r="C11" s="73">
        <v>46259</v>
      </c>
      <c r="D11" s="13">
        <v>347</v>
      </c>
      <c r="N11" s="973"/>
      <c r="O11" s="974"/>
    </row>
    <row r="12" spans="2:15" x14ac:dyDescent="0.3">
      <c r="B12" s="13">
        <v>9</v>
      </c>
      <c r="C12" s="73">
        <v>46260</v>
      </c>
      <c r="D12" s="13">
        <v>346</v>
      </c>
      <c r="N12" s="973"/>
      <c r="O12" s="974"/>
    </row>
    <row r="13" spans="2:15" x14ac:dyDescent="0.3">
      <c r="B13" s="13">
        <v>10</v>
      </c>
      <c r="C13" s="73">
        <v>46261</v>
      </c>
      <c r="D13" s="13">
        <v>297</v>
      </c>
      <c r="N13" s="973"/>
      <c r="O13" s="974"/>
    </row>
    <row r="14" spans="2:15" x14ac:dyDescent="0.3">
      <c r="B14" s="13">
        <v>11</v>
      </c>
      <c r="C14" s="73">
        <v>46262</v>
      </c>
      <c r="D14" s="13">
        <v>304</v>
      </c>
      <c r="N14" s="973"/>
      <c r="O14" s="974"/>
    </row>
    <row r="15" spans="2:15" x14ac:dyDescent="0.3">
      <c r="B15" s="13">
        <v>12</v>
      </c>
      <c r="C15" s="73">
        <v>46263</v>
      </c>
      <c r="D15" s="13">
        <v>510</v>
      </c>
      <c r="N15" s="973"/>
      <c r="O15" s="974"/>
    </row>
    <row r="16" spans="2:15" x14ac:dyDescent="0.3">
      <c r="B16" s="13">
        <v>13</v>
      </c>
      <c r="C16" s="73">
        <v>46264</v>
      </c>
      <c r="D16" s="13">
        <v>524</v>
      </c>
      <c r="N16" s="973"/>
      <c r="O16" s="974"/>
    </row>
    <row r="17" spans="2:15" x14ac:dyDescent="0.3">
      <c r="B17" s="13">
        <v>14</v>
      </c>
      <c r="C17" s="73">
        <v>46265</v>
      </c>
      <c r="D17" s="13">
        <v>300</v>
      </c>
      <c r="N17" s="973"/>
      <c r="O17" s="974"/>
    </row>
    <row r="18" spans="2:15" x14ac:dyDescent="0.3">
      <c r="B18" s="13">
        <v>15</v>
      </c>
      <c r="C18" s="73">
        <v>46266</v>
      </c>
      <c r="D18" s="13">
        <v>1798</v>
      </c>
    </row>
    <row r="19" spans="2:15" x14ac:dyDescent="0.3">
      <c r="B19" s="13">
        <v>16</v>
      </c>
      <c r="C19" s="73">
        <v>46267</v>
      </c>
      <c r="D19" s="13">
        <v>1841</v>
      </c>
    </row>
    <row r="20" spans="2:15" x14ac:dyDescent="0.3">
      <c r="B20" s="13">
        <v>17</v>
      </c>
      <c r="C20" s="73">
        <v>46268</v>
      </c>
      <c r="D20" s="13">
        <v>2492</v>
      </c>
    </row>
    <row r="21" spans="2:15" x14ac:dyDescent="0.3">
      <c r="B21" s="13">
        <v>18</v>
      </c>
      <c r="C21" s="73">
        <v>46269</v>
      </c>
      <c r="D21" s="13">
        <v>864</v>
      </c>
    </row>
    <row r="22" spans="2:15" x14ac:dyDescent="0.3">
      <c r="B22" s="13">
        <v>19</v>
      </c>
      <c r="C22" s="73">
        <v>46270</v>
      </c>
      <c r="D22" s="13">
        <v>837</v>
      </c>
    </row>
    <row r="23" spans="2:15" x14ac:dyDescent="0.3">
      <c r="B23" s="13">
        <v>20</v>
      </c>
      <c r="C23" s="73">
        <v>46271</v>
      </c>
      <c r="D23" s="13">
        <v>810</v>
      </c>
    </row>
    <row r="24" spans="2:15" x14ac:dyDescent="0.3">
      <c r="B24" s="13">
        <v>21</v>
      </c>
      <c r="C24" s="73">
        <v>46272</v>
      </c>
      <c r="D24" s="13">
        <v>1841</v>
      </c>
    </row>
    <row r="25" spans="2:15" x14ac:dyDescent="0.3">
      <c r="B25" s="13">
        <v>22</v>
      </c>
      <c r="C25" s="73">
        <v>46273</v>
      </c>
      <c r="D25" s="13">
        <v>1784</v>
      </c>
    </row>
    <row r="26" spans="2:15" x14ac:dyDescent="0.3">
      <c r="B26" s="13">
        <v>23</v>
      </c>
      <c r="C26" s="73">
        <v>46274</v>
      </c>
      <c r="D26" s="13">
        <v>2237</v>
      </c>
    </row>
    <row r="27" spans="2:15" x14ac:dyDescent="0.3">
      <c r="B27" s="13">
        <v>24</v>
      </c>
      <c r="C27" s="73">
        <v>46275</v>
      </c>
      <c r="D27" s="13">
        <v>1203</v>
      </c>
    </row>
    <row r="28" spans="2:15" x14ac:dyDescent="0.3">
      <c r="B28" s="13">
        <v>25</v>
      </c>
      <c r="C28" s="73">
        <v>46276</v>
      </c>
      <c r="D28" s="13">
        <v>2655</v>
      </c>
    </row>
    <row r="29" spans="2:15" x14ac:dyDescent="0.3">
      <c r="B29" s="13">
        <v>26</v>
      </c>
      <c r="C29" s="73">
        <v>46277</v>
      </c>
      <c r="D29" s="13">
        <v>1557</v>
      </c>
    </row>
    <row r="30" spans="2:15" x14ac:dyDescent="0.3">
      <c r="B30" s="13">
        <v>27</v>
      </c>
      <c r="C30" s="73">
        <v>46278</v>
      </c>
      <c r="D30" s="13">
        <v>1278</v>
      </c>
    </row>
    <row r="31" spans="2:15" x14ac:dyDescent="0.3">
      <c r="B31" s="13">
        <v>28</v>
      </c>
      <c r="C31" s="73">
        <v>46279</v>
      </c>
      <c r="D31" s="13">
        <v>1099</v>
      </c>
    </row>
    <row r="32" spans="2:15" x14ac:dyDescent="0.3">
      <c r="B32" s="13">
        <v>29</v>
      </c>
      <c r="C32" s="73">
        <v>46280</v>
      </c>
      <c r="D32" s="13">
        <v>1988</v>
      </c>
    </row>
    <row r="33" spans="2:4" x14ac:dyDescent="0.3">
      <c r="B33" s="13">
        <v>30</v>
      </c>
      <c r="C33" s="73">
        <v>46281</v>
      </c>
      <c r="D33" s="13">
        <v>1588</v>
      </c>
    </row>
    <row r="34" spans="2:4" x14ac:dyDescent="0.3">
      <c r="B34" s="13">
        <v>31</v>
      </c>
      <c r="C34" s="73">
        <v>46282</v>
      </c>
      <c r="D34" s="13">
        <v>2109</v>
      </c>
    </row>
    <row r="35" spans="2:4" x14ac:dyDescent="0.3">
      <c r="B35" s="13">
        <v>32</v>
      </c>
      <c r="C35" s="73">
        <v>46283</v>
      </c>
      <c r="D35" s="13">
        <v>2436</v>
      </c>
    </row>
    <row r="36" spans="2:4" x14ac:dyDescent="0.3">
      <c r="B36" s="13">
        <v>33</v>
      </c>
      <c r="C36" s="73">
        <v>46284</v>
      </c>
      <c r="D36" s="13">
        <v>2232</v>
      </c>
    </row>
    <row r="37" spans="2:4" x14ac:dyDescent="0.3">
      <c r="B37" s="13">
        <v>34</v>
      </c>
      <c r="C37" s="73">
        <v>46285</v>
      </c>
      <c r="D37" s="13">
        <v>1968</v>
      </c>
    </row>
    <row r="38" spans="2:4" x14ac:dyDescent="0.3">
      <c r="B38" s="13">
        <v>35</v>
      </c>
      <c r="C38" s="6"/>
      <c r="D38" s="6"/>
    </row>
    <row r="39" spans="2:4" x14ac:dyDescent="0.3">
      <c r="B39" s="13">
        <v>36</v>
      </c>
      <c r="C39" s="6"/>
      <c r="D39" s="6"/>
    </row>
    <row r="40" spans="2:4" x14ac:dyDescent="0.3">
      <c r="B40" s="13">
        <v>37</v>
      </c>
      <c r="C40" s="6"/>
      <c r="D40" s="6"/>
    </row>
    <row r="41" spans="2:4" x14ac:dyDescent="0.3">
      <c r="B41" s="13">
        <v>38</v>
      </c>
      <c r="C41" s="6"/>
      <c r="D41" s="6"/>
    </row>
    <row r="42" spans="2:4" x14ac:dyDescent="0.3">
      <c r="B42" s="13">
        <v>39</v>
      </c>
      <c r="C42" s="6"/>
      <c r="D42" s="6"/>
    </row>
    <row r="43" spans="2:4" x14ac:dyDescent="0.3">
      <c r="B43" s="13">
        <v>40</v>
      </c>
      <c r="C43" s="6"/>
      <c r="D43" s="6"/>
    </row>
    <row r="44" spans="2:4" x14ac:dyDescent="0.3">
      <c r="B44" s="13">
        <v>41</v>
      </c>
      <c r="C44" s="6"/>
      <c r="D44" s="6"/>
    </row>
    <row r="45" spans="2:4" x14ac:dyDescent="0.3">
      <c r="B45" s="13">
        <v>42</v>
      </c>
      <c r="C45" s="6"/>
      <c r="D45" s="6"/>
    </row>
    <row r="46" spans="2:4" x14ac:dyDescent="0.3">
      <c r="B46" s="13">
        <v>43</v>
      </c>
      <c r="C46" s="6"/>
      <c r="D46" s="6"/>
    </row>
    <row r="47" spans="2:4" x14ac:dyDescent="0.3">
      <c r="B47" s="13">
        <v>44</v>
      </c>
      <c r="C47" s="6"/>
      <c r="D47" s="6"/>
    </row>
    <row r="48" spans="2:4" x14ac:dyDescent="0.3">
      <c r="B48" s="13">
        <v>45</v>
      </c>
      <c r="C48" s="6"/>
      <c r="D48" s="6"/>
    </row>
    <row r="49" spans="2:5" x14ac:dyDescent="0.3">
      <c r="B49" s="13">
        <v>46</v>
      </c>
      <c r="C49" s="6"/>
      <c r="D49" s="6"/>
    </row>
    <row r="50" spans="2:5" x14ac:dyDescent="0.3">
      <c r="B50" s="13">
        <v>47</v>
      </c>
      <c r="C50" s="6"/>
      <c r="D50" s="6"/>
    </row>
    <row r="51" spans="2:5" x14ac:dyDescent="0.3">
      <c r="B51" s="13">
        <v>48</v>
      </c>
      <c r="C51" s="6"/>
      <c r="D51" s="6"/>
    </row>
    <row r="52" spans="2:5" x14ac:dyDescent="0.3">
      <c r="B52" s="13">
        <v>49</v>
      </c>
      <c r="C52" s="6"/>
      <c r="D52" s="6"/>
    </row>
    <row r="53" spans="2:5" x14ac:dyDescent="0.3">
      <c r="B53" s="13">
        <v>50</v>
      </c>
      <c r="C53" s="6"/>
      <c r="D53" s="6"/>
    </row>
    <row r="54" spans="2:5" x14ac:dyDescent="0.3">
      <c r="B54" s="13">
        <v>51</v>
      </c>
      <c r="C54" s="6"/>
      <c r="D54" s="6"/>
    </row>
    <row r="55" spans="2:5" x14ac:dyDescent="0.3">
      <c r="B55" s="13">
        <v>52</v>
      </c>
      <c r="C55" s="6"/>
      <c r="D55" s="6"/>
    </row>
    <row r="56" spans="2:5" x14ac:dyDescent="0.3">
      <c r="B56" s="13">
        <v>53</v>
      </c>
      <c r="C56" s="6"/>
      <c r="D56" s="6"/>
    </row>
    <row r="57" spans="2:5" x14ac:dyDescent="0.3">
      <c r="B57" s="13">
        <v>54</v>
      </c>
      <c r="C57" s="6"/>
      <c r="D57" s="6"/>
    </row>
    <row r="58" spans="2:5" x14ac:dyDescent="0.3">
      <c r="B58" s="14"/>
      <c r="C58" s="14" t="s">
        <v>17</v>
      </c>
      <c r="D58" s="14">
        <f>SUM(D4:D57)</f>
        <v>39830</v>
      </c>
      <c r="E58" s="136">
        <v>23500</v>
      </c>
    </row>
    <row r="59" spans="2:5" x14ac:dyDescent="0.3">
      <c r="B59" s="14"/>
      <c r="C59" s="14" t="s">
        <v>642</v>
      </c>
      <c r="D59" s="975">
        <f>D58*E58</f>
        <v>936005000</v>
      </c>
    </row>
    <row r="60" spans="2:5" x14ac:dyDescent="0.3">
      <c r="B60" s="13"/>
      <c r="C60" s="6" t="s">
        <v>643</v>
      </c>
      <c r="D60" s="39">
        <f>D58/'Au Cal Leaching Tank'!$N$61</f>
        <v>9.9717009355069219</v>
      </c>
    </row>
  </sheetData>
  <mergeCells count="1">
    <mergeCell ref="D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3"/>
  <sheetViews>
    <sheetView zoomScale="69" zoomScaleNormal="80" workbookViewId="0">
      <pane ySplit="4" topLeftCell="A23" activePane="bottomLeft" state="frozen"/>
      <selection pane="bottomLeft" activeCell="H21" sqref="H21"/>
    </sheetView>
  </sheetViews>
  <sheetFormatPr defaultColWidth="8.77734375" defaultRowHeight="14.4" x14ac:dyDescent="0.3"/>
  <cols>
    <col min="1" max="1" width="8.77734375" style="584"/>
    <col min="2" max="2" width="10.44140625" style="1" bestFit="1" customWidth="1"/>
    <col min="3" max="3" width="9.77734375" style="1" customWidth="1"/>
    <col min="4" max="4" width="23.44140625" style="12" bestFit="1" customWidth="1"/>
    <col min="5" max="5" width="37.88671875" style="12" bestFit="1" customWidth="1"/>
    <col min="6" max="6" width="9.77734375" style="558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2" bestFit="1" customWidth="1"/>
    <col min="13" max="13" width="27.88671875" style="1" customWidth="1"/>
    <col min="14" max="14" width="16.6640625" style="12" customWidth="1"/>
    <col min="15" max="15" width="8.77734375" style="1"/>
    <col min="16" max="16" width="18.88671875" style="12" bestFit="1" customWidth="1"/>
    <col min="17" max="17" width="18.88671875" style="1" customWidth="1"/>
    <col min="18" max="18" width="14.21875" style="12" bestFit="1" customWidth="1"/>
    <col min="19" max="19" width="14.6640625" style="12" bestFit="1" customWidth="1"/>
    <col min="20" max="22" width="14.77734375" style="1" bestFit="1" customWidth="1"/>
    <col min="23" max="23" width="17.44140625" style="1" bestFit="1" customWidth="1"/>
    <col min="24" max="25" width="14.77734375" style="12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28" t="s">
        <v>167</v>
      </c>
      <c r="C2" s="128" t="s">
        <v>168</v>
      </c>
      <c r="D2" s="508"/>
      <c r="E2" s="508"/>
      <c r="H2" s="1465" t="s">
        <v>587</v>
      </c>
      <c r="I2" s="1465"/>
      <c r="J2" s="1465"/>
      <c r="K2" s="1465"/>
      <c r="O2" s="1">
        <f>720+180</f>
        <v>900</v>
      </c>
    </row>
    <row r="4" spans="1:33" ht="29.4" thickBot="1" x14ac:dyDescent="0.35">
      <c r="A4" s="585" t="s">
        <v>544</v>
      </c>
      <c r="B4" s="1336" t="s">
        <v>0</v>
      </c>
      <c r="C4" s="1338"/>
      <c r="D4" s="22" t="s">
        <v>1</v>
      </c>
      <c r="E4" s="22" t="s">
        <v>176</v>
      </c>
      <c r="F4" s="23" t="s">
        <v>26</v>
      </c>
      <c r="G4" s="23" t="s">
        <v>33</v>
      </c>
      <c r="H4" s="421" t="s">
        <v>278</v>
      </c>
      <c r="I4" s="421" t="s">
        <v>438</v>
      </c>
      <c r="J4" s="421" t="s">
        <v>443</v>
      </c>
      <c r="K4" s="23" t="s">
        <v>34</v>
      </c>
      <c r="L4" s="421" t="s">
        <v>35</v>
      </c>
      <c r="M4" s="23" t="s">
        <v>437</v>
      </c>
      <c r="N4" s="23" t="s">
        <v>207</v>
      </c>
      <c r="O4" s="23" t="s">
        <v>36</v>
      </c>
      <c r="P4" s="23" t="s">
        <v>37</v>
      </c>
      <c r="Q4" s="23" t="s">
        <v>511</v>
      </c>
      <c r="R4" s="23" t="s">
        <v>127</v>
      </c>
      <c r="S4" s="23" t="s">
        <v>299</v>
      </c>
      <c r="T4" s="23" t="s">
        <v>153</v>
      </c>
      <c r="U4" s="15" t="s">
        <v>154</v>
      </c>
      <c r="V4" s="152" t="s">
        <v>155</v>
      </c>
      <c r="W4" s="15" t="s">
        <v>219</v>
      </c>
      <c r="X4" s="15" t="s">
        <v>220</v>
      </c>
      <c r="Y4" s="15" t="s">
        <v>221</v>
      </c>
      <c r="Z4" s="357" t="s">
        <v>512</v>
      </c>
    </row>
    <row r="5" spans="1:33" ht="16.2" thickBot="1" x14ac:dyDescent="0.35">
      <c r="A5" s="1473">
        <v>1</v>
      </c>
      <c r="B5" s="1440">
        <v>46265</v>
      </c>
      <c r="C5" s="1441"/>
      <c r="D5" s="517" t="s">
        <v>440</v>
      </c>
      <c r="E5" s="517" t="s">
        <v>439</v>
      </c>
      <c r="F5" s="559" t="s">
        <v>12</v>
      </c>
      <c r="G5" s="518">
        <v>0.2271</v>
      </c>
      <c r="H5" s="519">
        <v>116.84</v>
      </c>
      <c r="I5" s="461">
        <f t="shared" ref="I5:I11" si="0">H5/((720-R5)/60)</f>
        <v>11.198722044728434</v>
      </c>
      <c r="J5" s="461">
        <f>H5</f>
        <v>116.84</v>
      </c>
      <c r="K5" s="520">
        <v>1.135</v>
      </c>
      <c r="L5" s="460">
        <v>0.68</v>
      </c>
      <c r="M5" s="461">
        <f>H5*K5*G5</f>
        <v>30.116503140000003</v>
      </c>
      <c r="N5" s="1569">
        <f>SUM(M5:M6)</f>
        <v>74.069659139999999</v>
      </c>
      <c r="O5" s="461">
        <f t="shared" ref="O5:O11" si="1">M5/((720-R5)/60)</f>
        <v>2.8865657961661344</v>
      </c>
      <c r="P5" s="1433">
        <f>'Milling Down Time Hours'!Q5</f>
        <v>22.433333333333334</v>
      </c>
      <c r="Q5" s="483"/>
      <c r="R5" s="466">
        <f>'Milling Down Time Hours'!P5</f>
        <v>94</v>
      </c>
      <c r="S5" s="1569">
        <f>SUM(M5:M8)</f>
        <v>292.31360000000001</v>
      </c>
      <c r="T5" s="468">
        <f>AVERAGE('LT Ball Mill'!F4:F6)</f>
        <v>0.96699999999999997</v>
      </c>
      <c r="U5" s="468">
        <f>AVERAGE('LT Ball Mill'!G4:G6)</f>
        <v>0.41</v>
      </c>
      <c r="V5" s="468">
        <f>AVERAGE('LT Ball Mill'!H4:H6)</f>
        <v>6.1096666666666666</v>
      </c>
      <c r="W5" s="469">
        <f t="shared" ref="W5:W46" si="2">T5*M5</f>
        <v>29.122658536380001</v>
      </c>
      <c r="X5" s="553">
        <f t="shared" ref="X5:X46" si="3">M5*U5</f>
        <v>12.347766287400001</v>
      </c>
      <c r="Y5" s="553">
        <f t="shared" ref="Y5:Y46" si="4">M5*V5</f>
        <v>184.00179535102001</v>
      </c>
      <c r="Z5" s="446">
        <f>W5*$AF$6</f>
        <v>72806646.340949997</v>
      </c>
      <c r="AA5" s="25" t="s">
        <v>38</v>
      </c>
      <c r="AB5" s="26"/>
      <c r="AC5" s="26"/>
      <c r="AD5" s="26"/>
    </row>
    <row r="6" spans="1:33" ht="16.2" thickBot="1" x14ac:dyDescent="0.35">
      <c r="A6" s="1473"/>
      <c r="B6" s="1442"/>
      <c r="C6" s="1443"/>
      <c r="D6" s="521" t="s">
        <v>441</v>
      </c>
      <c r="E6" s="517" t="s">
        <v>439</v>
      </c>
      <c r="F6" s="560" t="s">
        <v>13</v>
      </c>
      <c r="G6" s="505">
        <v>0.36</v>
      </c>
      <c r="H6" s="522">
        <f>J6-H5</f>
        <v>98.859999999999985</v>
      </c>
      <c r="I6" s="461">
        <f t="shared" si="0"/>
        <v>8.2383333333333315</v>
      </c>
      <c r="J6" s="504">
        <v>215.7</v>
      </c>
      <c r="K6" s="523">
        <v>1.2350000000000001</v>
      </c>
      <c r="L6" s="463">
        <v>0.68</v>
      </c>
      <c r="M6" s="461">
        <f>H6*K6*G6</f>
        <v>43.953155999999993</v>
      </c>
      <c r="N6" s="1570"/>
      <c r="O6" s="461">
        <f t="shared" si="1"/>
        <v>3.6627629999999995</v>
      </c>
      <c r="P6" s="1587"/>
      <c r="Q6" s="524"/>
      <c r="R6" s="466">
        <v>0</v>
      </c>
      <c r="S6" s="1573"/>
      <c r="T6" s="470">
        <f>AVERAGE('LT Ball Mill'!F7:F9)</f>
        <v>0.60899999999999999</v>
      </c>
      <c r="U6" s="470">
        <f>AVERAGE('LT Ball Mill'!G7:G9)</f>
        <v>0.52833333333333343</v>
      </c>
      <c r="V6" s="470">
        <f>AVERAGE('LT Ball Mill'!H7:H9)</f>
        <v>7.623333333333334</v>
      </c>
      <c r="W6" s="469">
        <f t="shared" si="2"/>
        <v>26.767472003999995</v>
      </c>
      <c r="X6" s="553">
        <f t="shared" si="3"/>
        <v>23.22191742</v>
      </c>
      <c r="Y6" s="553">
        <f t="shared" si="4"/>
        <v>335.06955923999999</v>
      </c>
      <c r="Z6" s="157">
        <f>W6*$AF$6</f>
        <v>66918680.00999999</v>
      </c>
      <c r="AA6" s="25"/>
      <c r="AB6" s="26"/>
      <c r="AC6" s="26"/>
      <c r="AD6" s="26"/>
      <c r="AF6" s="157">
        <v>2500000</v>
      </c>
      <c r="AG6" s="157"/>
    </row>
    <row r="7" spans="1:33" s="426" customFormat="1" ht="16.2" thickBot="1" x14ac:dyDescent="0.35">
      <c r="A7" s="1473"/>
      <c r="B7" s="1440">
        <v>46266</v>
      </c>
      <c r="C7" s="1441"/>
      <c r="D7" s="517" t="s">
        <v>440</v>
      </c>
      <c r="E7" s="517" t="s">
        <v>439</v>
      </c>
      <c r="F7" s="559" t="s">
        <v>12</v>
      </c>
      <c r="G7" s="460">
        <v>0.38790000000000002</v>
      </c>
      <c r="H7" s="525">
        <f>J7-SUM(H5:H6)</f>
        <v>143.30000000000001</v>
      </c>
      <c r="I7" s="461">
        <f t="shared" si="0"/>
        <v>12.371223021582734</v>
      </c>
      <c r="J7" s="461">
        <v>359</v>
      </c>
      <c r="K7" s="462">
        <v>1.2549999999999999</v>
      </c>
      <c r="L7" s="460">
        <v>0.7</v>
      </c>
      <c r="M7" s="461">
        <f>(K7*J7*G7)-(SUM(M5:M6))</f>
        <v>100.69674635999999</v>
      </c>
      <c r="N7" s="1569">
        <f>SUM(M7:M8)</f>
        <v>218.24394086000001</v>
      </c>
      <c r="O7" s="461">
        <f t="shared" si="1"/>
        <v>8.6932442900719415</v>
      </c>
      <c r="P7" s="1585">
        <f>'Milling Down Time Hours'!Q6</f>
        <v>22.9</v>
      </c>
      <c r="Q7" s="504"/>
      <c r="R7" s="466">
        <v>25</v>
      </c>
      <c r="S7" s="1573"/>
      <c r="T7" s="468">
        <f>AVERAGE('LT Ball Mill'!F10:F12)</f>
        <v>0.64699999999999991</v>
      </c>
      <c r="U7" s="468">
        <f>AVERAGE('LT Ball Mill'!G10:G12)</f>
        <v>0.67433333333333334</v>
      </c>
      <c r="V7" s="468">
        <f>AVERAGE('LT Ball Mill'!H10:H12)</f>
        <v>7.5333333333333341</v>
      </c>
      <c r="W7" s="469">
        <f t="shared" si="2"/>
        <v>65.150794894919983</v>
      </c>
      <c r="X7" s="553">
        <f t="shared" si="3"/>
        <v>67.903172628759989</v>
      </c>
      <c r="Y7" s="553">
        <f t="shared" si="4"/>
        <v>758.58215591199996</v>
      </c>
      <c r="Z7" s="157">
        <f>W7*$AF$6</f>
        <v>162876987.23729995</v>
      </c>
      <c r="AA7" s="425"/>
      <c r="AB7" s="425"/>
      <c r="AC7" s="425"/>
      <c r="AD7" s="425"/>
    </row>
    <row r="8" spans="1:33" s="426" customFormat="1" ht="16.2" thickBot="1" x14ac:dyDescent="0.35">
      <c r="A8" s="1473"/>
      <c r="B8" s="1442"/>
      <c r="C8" s="1443"/>
      <c r="D8" s="510" t="s">
        <v>441</v>
      </c>
      <c r="E8" s="509" t="s">
        <v>442</v>
      </c>
      <c r="F8" s="560" t="s">
        <v>13</v>
      </c>
      <c r="G8" s="463">
        <v>0.41</v>
      </c>
      <c r="H8" s="526">
        <f>J8-SUM(H5:H7)</f>
        <v>198</v>
      </c>
      <c r="I8" s="461">
        <f t="shared" si="0"/>
        <v>17.496318114874818</v>
      </c>
      <c r="J8" s="504">
        <v>557</v>
      </c>
      <c r="K8" s="464">
        <v>1.28</v>
      </c>
      <c r="L8" s="463">
        <v>0.7</v>
      </c>
      <c r="M8" s="461">
        <f>(K8*J8*G8)-(SUM(M5:M7))</f>
        <v>117.54719450000002</v>
      </c>
      <c r="N8" s="1570"/>
      <c r="O8" s="461">
        <f t="shared" si="1"/>
        <v>10.387086406480119</v>
      </c>
      <c r="P8" s="1586"/>
      <c r="Q8" s="504"/>
      <c r="R8" s="466">
        <v>41</v>
      </c>
      <c r="S8" s="1570"/>
      <c r="T8" s="470">
        <f>AVERAGE('LT Ball Mill'!F13:F15)</f>
        <v>0.60899999999999999</v>
      </c>
      <c r="U8" s="470">
        <f>AVERAGE('LT Ball Mill'!G13:G15)</f>
        <v>0.52833333333333343</v>
      </c>
      <c r="V8" s="470">
        <f>AVERAGE('LT Ball Mill'!H13:H15)</f>
        <v>7.623333333333334</v>
      </c>
      <c r="W8" s="469">
        <f t="shared" si="2"/>
        <v>71.586241450500012</v>
      </c>
      <c r="X8" s="553">
        <f t="shared" si="3"/>
        <v>62.104101094166687</v>
      </c>
      <c r="Y8" s="553">
        <f t="shared" si="4"/>
        <v>896.10144607166683</v>
      </c>
      <c r="Z8" s="157">
        <f>W8*$AF$6</f>
        <v>178965603.62625003</v>
      </c>
      <c r="AA8" s="425"/>
      <c r="AB8" s="425" t="s">
        <v>39</v>
      </c>
      <c r="AC8" s="427">
        <v>1250</v>
      </c>
      <c r="AD8" s="425" t="s">
        <v>40</v>
      </c>
      <c r="AF8" s="438"/>
    </row>
    <row r="9" spans="1:33" ht="16.2" thickBot="1" x14ac:dyDescent="0.35">
      <c r="A9" s="1472">
        <v>2</v>
      </c>
      <c r="B9" s="1435">
        <v>46267</v>
      </c>
      <c r="C9" s="1436"/>
      <c r="D9" s="513" t="s">
        <v>440</v>
      </c>
      <c r="E9" s="513" t="s">
        <v>445</v>
      </c>
      <c r="F9" s="561" t="s">
        <v>12</v>
      </c>
      <c r="G9" s="479">
        <v>0.39</v>
      </c>
      <c r="H9" s="480">
        <f>J9</f>
        <v>215</v>
      </c>
      <c r="I9" s="477">
        <f t="shared" si="0"/>
        <v>21.5</v>
      </c>
      <c r="J9" s="480">
        <v>215</v>
      </c>
      <c r="K9" s="480">
        <v>1.26</v>
      </c>
      <c r="L9" s="479">
        <v>0.72</v>
      </c>
      <c r="M9" s="476">
        <f>H9*K9*G9</f>
        <v>105.651</v>
      </c>
      <c r="N9" s="1578">
        <f>SUM(M9:M10)</f>
        <v>209.804</v>
      </c>
      <c r="O9" s="477">
        <f t="shared" si="1"/>
        <v>10.565099999999999</v>
      </c>
      <c r="P9" s="1571">
        <f>'Milling Down Time Hours'!Q7</f>
        <v>22</v>
      </c>
      <c r="Q9" s="492"/>
      <c r="R9" s="471">
        <f>'Milling Down Time Hours'!P7</f>
        <v>120.00000000000001</v>
      </c>
      <c r="S9" s="1578">
        <f>SUM(M9:M11)</f>
        <v>300.14215000000002</v>
      </c>
      <c r="T9" s="527">
        <f>AVERAGE('LT Ball Mill'!F16:F18)</f>
        <v>0.7446666666666667</v>
      </c>
      <c r="U9" s="527">
        <f>AVERAGE('LT Ball Mill'!G16:G18)</f>
        <v>0.59</v>
      </c>
      <c r="V9" s="527">
        <f>AVERAGE('LT Ball Mill'!H16:H18)</f>
        <v>9.8400000000000016</v>
      </c>
      <c r="W9" s="472">
        <f t="shared" si="2"/>
        <v>78.674778000000003</v>
      </c>
      <c r="X9" s="485">
        <f t="shared" si="3"/>
        <v>62.334089999999996</v>
      </c>
      <c r="Y9" s="485">
        <f t="shared" si="4"/>
        <v>1039.6058400000002</v>
      </c>
      <c r="Z9" s="157">
        <f t="shared" ref="Z9:Z15" si="5">W9*$AF$6</f>
        <v>196686945</v>
      </c>
      <c r="AA9" s="30"/>
      <c r="AB9" s="30" t="s">
        <v>41</v>
      </c>
      <c r="AC9" s="32">
        <v>1000</v>
      </c>
      <c r="AD9" s="30" t="s">
        <v>42</v>
      </c>
    </row>
    <row r="10" spans="1:33" ht="16.2" thickBot="1" x14ac:dyDescent="0.35">
      <c r="A10" s="1472"/>
      <c r="B10" s="1437"/>
      <c r="C10" s="1438"/>
      <c r="D10" s="515" t="s">
        <v>444</v>
      </c>
      <c r="E10" s="516"/>
      <c r="F10" s="562" t="s">
        <v>13</v>
      </c>
      <c r="G10" s="475">
        <v>0.4</v>
      </c>
      <c r="H10" s="478">
        <f>J10-H9</f>
        <v>198</v>
      </c>
      <c r="I10" s="477">
        <f t="shared" si="0"/>
        <v>16.5</v>
      </c>
      <c r="J10" s="478">
        <v>413</v>
      </c>
      <c r="K10" s="478">
        <v>1.27</v>
      </c>
      <c r="L10" s="479">
        <v>0.72</v>
      </c>
      <c r="M10" s="476">
        <f>K10*J10*G10-SUM(M9)</f>
        <v>104.15300000000001</v>
      </c>
      <c r="N10" s="1580"/>
      <c r="O10" s="477">
        <f t="shared" si="1"/>
        <v>8.6794166666666666</v>
      </c>
      <c r="P10" s="1572"/>
      <c r="Q10" s="492"/>
      <c r="R10" s="471">
        <v>0</v>
      </c>
      <c r="S10" s="1579"/>
      <c r="T10" s="474">
        <f>AVERAGE('LT Ball Mill'!F19:F21)</f>
        <v>0.64600000000000002</v>
      </c>
      <c r="U10" s="474">
        <f>AVERAGE('LT Ball Mill'!G19:G21)</f>
        <v>1.0666666666666667</v>
      </c>
      <c r="V10" s="474">
        <f>AVERAGE('LT Ball Mill'!H19:H21)</f>
        <v>9.2566666666666659</v>
      </c>
      <c r="W10" s="472">
        <f t="shared" si="2"/>
        <v>67.282838000000012</v>
      </c>
      <c r="X10" s="485">
        <f t="shared" si="3"/>
        <v>111.09653333333334</v>
      </c>
      <c r="Y10" s="485">
        <f t="shared" si="4"/>
        <v>964.10960333333333</v>
      </c>
      <c r="Z10" s="157">
        <f t="shared" si="5"/>
        <v>168207095.00000003</v>
      </c>
      <c r="AA10" s="30"/>
      <c r="AB10" s="30" t="s">
        <v>43</v>
      </c>
      <c r="AC10" s="33">
        <f>+AC8/AC9</f>
        <v>1.25</v>
      </c>
      <c r="AD10" s="30" t="s">
        <v>44</v>
      </c>
    </row>
    <row r="11" spans="1:33" s="426" customFormat="1" ht="16.2" thickBot="1" x14ac:dyDescent="0.35">
      <c r="A11" s="1472"/>
      <c r="B11" s="1435">
        <v>46268</v>
      </c>
      <c r="C11" s="1436"/>
      <c r="D11" s="513" t="s">
        <v>440</v>
      </c>
      <c r="E11" s="528" t="s">
        <v>471</v>
      </c>
      <c r="F11" s="561" t="s">
        <v>12</v>
      </c>
      <c r="G11" s="479">
        <v>0.43</v>
      </c>
      <c r="H11" s="478">
        <f>J11-H10-H9</f>
        <v>126</v>
      </c>
      <c r="I11" s="477">
        <f t="shared" si="0"/>
        <v>11.454545454545455</v>
      </c>
      <c r="J11" s="480">
        <v>539</v>
      </c>
      <c r="K11" s="480">
        <v>1.2949999999999999</v>
      </c>
      <c r="L11" s="479">
        <v>0.71</v>
      </c>
      <c r="M11" s="476">
        <f>J11*K11*G11-SUM(M9:M10)</f>
        <v>90.338150000000013</v>
      </c>
      <c r="N11" s="1578">
        <f>SUM(M11:M12)</f>
        <v>90.338150000000013</v>
      </c>
      <c r="O11" s="477">
        <f t="shared" si="1"/>
        <v>8.2125590909090924</v>
      </c>
      <c r="P11" s="1581">
        <f>'Milling Down Time Hours'!Q8</f>
        <v>23</v>
      </c>
      <c r="Q11" s="529"/>
      <c r="R11" s="492">
        <v>60</v>
      </c>
      <c r="S11" s="1579"/>
      <c r="T11" s="527">
        <f>AVERAGE('LT Ball Mill'!F22:F24)</f>
        <v>0.66133333333333333</v>
      </c>
      <c r="U11" s="527">
        <f>AVERAGE('LT Ball Mill'!G22:G24)</f>
        <v>0.72333333333333327</v>
      </c>
      <c r="V11" s="527">
        <f>AVERAGE('LT Ball Mill'!H22:H24)</f>
        <v>8.0566666666666666</v>
      </c>
      <c r="W11" s="472">
        <f t="shared" si="2"/>
        <v>59.743629866666673</v>
      </c>
      <c r="X11" s="485">
        <f t="shared" si="3"/>
        <v>65.344595166666664</v>
      </c>
      <c r="Y11" s="485">
        <f t="shared" si="4"/>
        <v>727.82436183333346</v>
      </c>
      <c r="Z11" s="157">
        <f t="shared" si="5"/>
        <v>149359074.66666669</v>
      </c>
      <c r="AA11" s="425"/>
      <c r="AB11" s="425" t="s">
        <v>45</v>
      </c>
      <c r="AC11" s="433">
        <f>2.1</f>
        <v>2.1</v>
      </c>
      <c r="AD11" s="425" t="s">
        <v>44</v>
      </c>
    </row>
    <row r="12" spans="1:33" s="426" customFormat="1" ht="16.2" thickBot="1" x14ac:dyDescent="0.35">
      <c r="A12" s="1472"/>
      <c r="B12" s="1437"/>
      <c r="C12" s="1438"/>
      <c r="D12" s="515" t="s">
        <v>444</v>
      </c>
      <c r="E12" s="530" t="s">
        <v>467</v>
      </c>
      <c r="F12" s="562" t="s">
        <v>13</v>
      </c>
      <c r="G12" s="491"/>
      <c r="H12" s="478"/>
      <c r="I12" s="477"/>
      <c r="J12" s="478"/>
      <c r="K12" s="478"/>
      <c r="L12" s="475"/>
      <c r="M12" s="476">
        <f t="shared" ref="M12:M41" si="6">H12*K12*G12</f>
        <v>0</v>
      </c>
      <c r="N12" s="1580"/>
      <c r="O12" s="477"/>
      <c r="P12" s="1582"/>
      <c r="Q12" s="531"/>
      <c r="R12" s="490">
        <v>720</v>
      </c>
      <c r="S12" s="1449"/>
      <c r="T12" s="533"/>
      <c r="U12" s="533"/>
      <c r="V12" s="534"/>
      <c r="W12" s="472">
        <f t="shared" si="2"/>
        <v>0</v>
      </c>
      <c r="X12" s="485">
        <f t="shared" si="3"/>
        <v>0</v>
      </c>
      <c r="Y12" s="485">
        <f t="shared" si="4"/>
        <v>0</v>
      </c>
      <c r="Z12" s="157">
        <f t="shared" si="5"/>
        <v>0</v>
      </c>
      <c r="AA12" s="425"/>
      <c r="AB12" s="425" t="s">
        <v>46</v>
      </c>
      <c r="AC12" s="433">
        <v>1</v>
      </c>
      <c r="AD12" s="425" t="s">
        <v>44</v>
      </c>
    </row>
    <row r="13" spans="1:33" ht="16.2" thickBot="1" x14ac:dyDescent="0.35">
      <c r="A13" s="1472"/>
      <c r="B13" s="1435">
        <v>46269</v>
      </c>
      <c r="C13" s="1436"/>
      <c r="D13" s="1588" t="s">
        <v>484</v>
      </c>
      <c r="E13" s="535"/>
      <c r="F13" s="563" t="s">
        <v>12</v>
      </c>
      <c r="G13" s="488"/>
      <c r="H13" s="489"/>
      <c r="I13" s="477"/>
      <c r="J13" s="489"/>
      <c r="K13" s="489"/>
      <c r="L13" s="489"/>
      <c r="M13" s="476">
        <f t="shared" si="6"/>
        <v>0</v>
      </c>
      <c r="N13" s="476"/>
      <c r="O13" s="489"/>
      <c r="P13" s="1571">
        <f>'Milling Down Time Hours'!Q9</f>
        <v>0</v>
      </c>
      <c r="Q13" s="514"/>
      <c r="R13" s="1571">
        <f>'Milling Down Time Hours'!P9</f>
        <v>1440</v>
      </c>
      <c r="S13" s="471"/>
      <c r="T13" s="527"/>
      <c r="U13" s="527"/>
      <c r="V13" s="536"/>
      <c r="W13" s="472">
        <f t="shared" si="2"/>
        <v>0</v>
      </c>
      <c r="X13" s="485">
        <f t="shared" si="3"/>
        <v>0</v>
      </c>
      <c r="Y13" s="485">
        <f t="shared" si="4"/>
        <v>0</v>
      </c>
      <c r="Z13" s="157">
        <f t="shared" si="5"/>
        <v>0</v>
      </c>
      <c r="AA13" s="30"/>
      <c r="AB13" s="30" t="s">
        <v>47</v>
      </c>
      <c r="AC13" s="41">
        <f>+(AC10-1)/(AC10-AC10/AC11)</f>
        <v>0.38181818181818183</v>
      </c>
      <c r="AD13" s="30"/>
      <c r="AE13" s="9"/>
      <c r="AF13" s="7"/>
    </row>
    <row r="14" spans="1:33" ht="15.6" x14ac:dyDescent="0.3">
      <c r="A14" s="1472"/>
      <c r="B14" s="1567"/>
      <c r="C14" s="1568"/>
      <c r="D14" s="1589"/>
      <c r="E14" s="537"/>
      <c r="F14" s="564" t="s">
        <v>13</v>
      </c>
      <c r="G14" s="538"/>
      <c r="H14" s="539"/>
      <c r="I14" s="514"/>
      <c r="J14" s="539"/>
      <c r="K14" s="539"/>
      <c r="L14" s="538"/>
      <c r="M14" s="493">
        <f t="shared" si="6"/>
        <v>0</v>
      </c>
      <c r="N14" s="493"/>
      <c r="O14" s="493">
        <f>(N14/SUM(P5:P14))</f>
        <v>0</v>
      </c>
      <c r="P14" s="1583"/>
      <c r="Q14" s="492"/>
      <c r="R14" s="1584"/>
      <c r="S14" s="539"/>
      <c r="T14" s="541"/>
      <c r="U14" s="541"/>
      <c r="V14" s="542"/>
      <c r="W14" s="543">
        <f t="shared" si="2"/>
        <v>0</v>
      </c>
      <c r="X14" s="554">
        <f t="shared" si="3"/>
        <v>0</v>
      </c>
      <c r="Y14" s="554">
        <f t="shared" si="4"/>
        <v>0</v>
      </c>
      <c r="Z14" s="157">
        <f t="shared" si="5"/>
        <v>0</v>
      </c>
      <c r="AA14" s="30"/>
      <c r="AB14" s="30" t="s">
        <v>48</v>
      </c>
      <c r="AC14" s="42">
        <f>+AC13*AC8</f>
        <v>477.27272727272731</v>
      </c>
      <c r="AD14" s="30" t="s">
        <v>40</v>
      </c>
      <c r="AE14" s="9"/>
      <c r="AF14" s="7"/>
    </row>
    <row r="15" spans="1:33" ht="15.6" x14ac:dyDescent="0.3">
      <c r="B15" s="1576">
        <v>46270</v>
      </c>
      <c r="C15" s="1577"/>
      <c r="D15" s="511"/>
      <c r="E15" s="511" t="s">
        <v>485</v>
      </c>
      <c r="F15" s="417" t="s">
        <v>12</v>
      </c>
      <c r="G15" s="13"/>
      <c r="H15" s="13"/>
      <c r="I15" s="39"/>
      <c r="J15" s="13"/>
      <c r="K15" s="13"/>
      <c r="L15" s="40"/>
      <c r="M15" s="39">
        <f t="shared" si="6"/>
        <v>0</v>
      </c>
      <c r="N15" s="13"/>
      <c r="O15" s="13"/>
      <c r="P15" s="154">
        <v>0</v>
      </c>
      <c r="Q15" s="154">
        <f>720-R15</f>
        <v>0</v>
      </c>
      <c r="R15" s="39">
        <v>720</v>
      </c>
      <c r="S15" s="13"/>
      <c r="T15" s="445"/>
      <c r="U15" s="445"/>
      <c r="V15" s="445"/>
      <c r="W15" s="159">
        <f t="shared" si="2"/>
        <v>0</v>
      </c>
      <c r="X15" s="154">
        <f t="shared" si="3"/>
        <v>0</v>
      </c>
      <c r="Y15" s="154">
        <f t="shared" si="4"/>
        <v>0</v>
      </c>
      <c r="Z15" s="157">
        <f t="shared" si="5"/>
        <v>0</v>
      </c>
      <c r="AA15" s="30"/>
      <c r="AB15" s="30" t="s">
        <v>49</v>
      </c>
      <c r="AC15" s="42">
        <f>(AC8-AC14)</f>
        <v>772.72727272727275</v>
      </c>
      <c r="AD15" s="30" t="s">
        <v>40</v>
      </c>
      <c r="AE15" s="9"/>
      <c r="AF15" s="7"/>
    </row>
    <row r="16" spans="1:33" ht="15.6" x14ac:dyDescent="0.3">
      <c r="A16" s="1599">
        <v>3</v>
      </c>
      <c r="B16" s="1225">
        <v>46270</v>
      </c>
      <c r="C16" s="1225"/>
      <c r="D16" s="544" t="s">
        <v>441</v>
      </c>
      <c r="E16" s="570" t="s">
        <v>486</v>
      </c>
      <c r="F16" s="565" t="s">
        <v>13</v>
      </c>
      <c r="G16" s="481">
        <v>0.38</v>
      </c>
      <c r="H16" s="466">
        <f>J16-'Au Cal Leaching Tank'!$T$10</f>
        <v>62.150000000000006</v>
      </c>
      <c r="I16" s="466">
        <v>5.57</v>
      </c>
      <c r="J16" s="482">
        <v>170</v>
      </c>
      <c r="K16" s="482">
        <v>1.25</v>
      </c>
      <c r="L16" s="481"/>
      <c r="M16" s="466">
        <f>(J16*K16*G16)-'Au Cal Leaching Tank'!$U$10</f>
        <v>26.314330250000005</v>
      </c>
      <c r="N16" s="484">
        <f>SUM(M15:M16)</f>
        <v>26.314330250000005</v>
      </c>
      <c r="O16" s="466">
        <f t="shared" ref="O16:O23" si="7">M16/P16</f>
        <v>2.325272187039765</v>
      </c>
      <c r="P16" s="553">
        <f>Q16/60</f>
        <v>11.316666666666666</v>
      </c>
      <c r="Q16" s="553">
        <f>720-R16</f>
        <v>679</v>
      </c>
      <c r="R16" s="466">
        <v>41</v>
      </c>
      <c r="S16" s="1433">
        <f>SUM(M16:M19)</f>
        <v>326.97083025000006</v>
      </c>
      <c r="T16" s="555">
        <f>AVERAGE('LT Ball Mill'!F25:F27)</f>
        <v>1.087</v>
      </c>
      <c r="U16" s="555">
        <f>AVERAGE('LT Ball Mill'!G25:G27)</f>
        <v>0.77333333333333332</v>
      </c>
      <c r="V16" s="555">
        <f>AVERAGE('LT Ball Mill'!H25:H27)</f>
        <v>8.1166666666666671</v>
      </c>
      <c r="W16" s="469">
        <f t="shared" ref="W16:W24" si="8">T16*M16</f>
        <v>28.603676981750006</v>
      </c>
      <c r="X16" s="553">
        <f t="shared" ref="X16:X24" si="9">M16*U16</f>
        <v>20.349748726666668</v>
      </c>
      <c r="Y16" s="553">
        <f t="shared" ref="Y16:Y24" si="10">M16*V16</f>
        <v>213.58464719583338</v>
      </c>
      <c r="Z16" s="157">
        <f>W16*$AF$6</f>
        <v>71509192.454375014</v>
      </c>
      <c r="AA16" s="30"/>
      <c r="AB16" s="30"/>
      <c r="AC16" s="30"/>
      <c r="AD16" s="30"/>
      <c r="AE16" s="9"/>
      <c r="AF16" s="7"/>
    </row>
    <row r="17" spans="1:32" ht="15" thickBot="1" x14ac:dyDescent="0.35">
      <c r="A17" s="1599"/>
      <c r="B17" s="1225">
        <v>46271</v>
      </c>
      <c r="C17" s="1225"/>
      <c r="D17" s="599" t="s">
        <v>441</v>
      </c>
      <c r="E17" s="599" t="s">
        <v>506</v>
      </c>
      <c r="F17" s="566" t="s">
        <v>12</v>
      </c>
      <c r="G17" s="506">
        <v>0.47</v>
      </c>
      <c r="H17" s="466">
        <f>J17-SUM(H16)-'Au Cal Leaching Tank'!$T$10</f>
        <v>45</v>
      </c>
      <c r="I17" s="546">
        <f t="shared" ref="I17:I22" si="11">H17/((720-R17)/60)</f>
        <v>4.5762711864406773</v>
      </c>
      <c r="J17" s="507">
        <v>215</v>
      </c>
      <c r="K17" s="507">
        <v>1.33</v>
      </c>
      <c r="L17" s="506">
        <v>0.65</v>
      </c>
      <c r="M17" s="467">
        <f>J17*K17*G17-SUM(M16)-'Au Cal Leaching Tank'!$U$10</f>
        <v>53.646499999999968</v>
      </c>
      <c r="N17" s="1590">
        <f>SUM(M17:M18)</f>
        <v>173.32450000000003</v>
      </c>
      <c r="O17" s="466">
        <f t="shared" si="7"/>
        <v>5.4555762711864366</v>
      </c>
      <c r="P17" s="466">
        <f>(720-R17)/60</f>
        <v>9.8333333333333339</v>
      </c>
      <c r="Q17" s="553">
        <f t="shared" ref="Q17" si="12">720-R17</f>
        <v>590</v>
      </c>
      <c r="R17" s="466">
        <f>'Milling Down Time Hours'!P11</f>
        <v>130</v>
      </c>
      <c r="S17" s="1376"/>
      <c r="T17" s="556">
        <f>AVERAGE('LT Ball Mill'!F28:F30)</f>
        <v>0.90233333333333332</v>
      </c>
      <c r="U17" s="556">
        <f>AVERAGE('LT Ball Mill'!G28:G30)</f>
        <v>0.56999999999999995</v>
      </c>
      <c r="V17" s="556">
        <f>AVERAGE('LT Ball Mill'!H28:H30)</f>
        <v>9.6533333333333342</v>
      </c>
      <c r="W17" s="557">
        <f t="shared" si="8"/>
        <v>48.407025166666635</v>
      </c>
      <c r="X17" s="524">
        <f t="shared" si="9"/>
        <v>30.578504999999979</v>
      </c>
      <c r="Y17" s="524">
        <f t="shared" si="10"/>
        <v>517.86754666666639</v>
      </c>
      <c r="Z17" s="157">
        <f>W17*$AF$6</f>
        <v>121017562.91666658</v>
      </c>
      <c r="AE17" s="43"/>
      <c r="AF17" s="7"/>
    </row>
    <row r="18" spans="1:32" ht="15" thickBot="1" x14ac:dyDescent="0.35">
      <c r="A18" s="1599"/>
      <c r="B18" s="1225"/>
      <c r="C18" s="1225"/>
      <c r="D18" s="599" t="s">
        <v>440</v>
      </c>
      <c r="E18" s="600"/>
      <c r="F18" s="560" t="s">
        <v>13</v>
      </c>
      <c r="G18" s="505">
        <v>0.45</v>
      </c>
      <c r="H18" s="466">
        <f>J18-SUM(H16:H17)-'Au Cal Leaching Tank'!$T$10</f>
        <v>216.00000000000003</v>
      </c>
      <c r="I18" s="461">
        <f t="shared" si="11"/>
        <v>18.000000000000004</v>
      </c>
      <c r="J18" s="464">
        <v>431</v>
      </c>
      <c r="K18" s="464">
        <v>1.31</v>
      </c>
      <c r="L18" s="463">
        <v>0.65</v>
      </c>
      <c r="M18" s="467">
        <f>J18*K18*G18-SUM(M16:M17)-'Au Cal Leaching Tank'!$U$10</f>
        <v>119.67800000000005</v>
      </c>
      <c r="N18" s="1590"/>
      <c r="O18" s="466">
        <f t="shared" si="7"/>
        <v>9.9731666666666712</v>
      </c>
      <c r="P18" s="466">
        <f>(720-R18)/60</f>
        <v>12</v>
      </c>
      <c r="Q18" s="553">
        <f>720-R18</f>
        <v>720</v>
      </c>
      <c r="R18" s="466">
        <v>0</v>
      </c>
      <c r="S18" s="1376"/>
      <c r="T18" s="470">
        <f>AVERAGE('LT Ball Mill'!F31:F33)</f>
        <v>0.81433333333333335</v>
      </c>
      <c r="U18" s="470">
        <f>AVERAGE('LT Ball Mill'!G31:G33)</f>
        <v>0.6333333333333333</v>
      </c>
      <c r="V18" s="470">
        <f>AVERAGE('LT Ball Mill'!H31:H33)</f>
        <v>9.4366666666666674</v>
      </c>
      <c r="W18" s="469">
        <f t="shared" si="8"/>
        <v>97.457784666666711</v>
      </c>
      <c r="X18" s="553">
        <f t="shared" si="9"/>
        <v>75.796066666666704</v>
      </c>
      <c r="Y18" s="553">
        <f t="shared" si="10"/>
        <v>1129.361393333334</v>
      </c>
      <c r="Z18" s="174"/>
      <c r="AA18" s="117"/>
      <c r="AC18" s="1">
        <f>1490-180</f>
        <v>1310</v>
      </c>
    </row>
    <row r="19" spans="1:32" ht="15" thickBot="1" x14ac:dyDescent="0.35">
      <c r="A19" s="1599"/>
      <c r="B19" s="1442">
        <v>46272</v>
      </c>
      <c r="C19" s="1443"/>
      <c r="D19" s="545" t="s">
        <v>169</v>
      </c>
      <c r="E19" s="547" t="s">
        <v>518</v>
      </c>
      <c r="F19" s="566" t="s">
        <v>12</v>
      </c>
      <c r="G19" s="506">
        <v>0.45</v>
      </c>
      <c r="H19" s="466">
        <f>J19-SUM(H16:H18)-'Au Cal Leaching Tank'!$T$10</f>
        <v>215.99999999999997</v>
      </c>
      <c r="I19" s="461">
        <f t="shared" si="11"/>
        <v>19.31445603576751</v>
      </c>
      <c r="J19" s="507">
        <v>647</v>
      </c>
      <c r="K19" s="507">
        <v>1.31</v>
      </c>
      <c r="L19" s="506">
        <v>0.73</v>
      </c>
      <c r="M19" s="467">
        <f>J19*K19*G19-SUM(M16:M18)-'Au Cal Leaching Tank'!$U$10</f>
        <v>127.33200000000005</v>
      </c>
      <c r="N19" s="1392">
        <f>SUM(M19:M20)</f>
        <v>185.59190000000007</v>
      </c>
      <c r="O19" s="466">
        <f t="shared" si="7"/>
        <v>8.9775793184488872</v>
      </c>
      <c r="P19" s="466">
        <f>(900-R19)/60</f>
        <v>14.183333333333334</v>
      </c>
      <c r="Q19" s="466">
        <f>900-R19</f>
        <v>851</v>
      </c>
      <c r="R19" s="466">
        <f>'Milling Down Time Hours'!G19+30</f>
        <v>49</v>
      </c>
      <c r="S19" s="1377"/>
      <c r="T19" s="556">
        <f>AVERAGE('LT Ball Mill'!F34:F36)</f>
        <v>0.91199999999999992</v>
      </c>
      <c r="U19" s="556">
        <f>AVERAGE('LT Ball Mill'!G34:G36)</f>
        <v>0.95333333333333325</v>
      </c>
      <c r="V19" s="556">
        <f>AVERAGE('LT Ball Mill'!H34:H36)</f>
        <v>9.3966666666666665</v>
      </c>
      <c r="W19" s="469">
        <f t="shared" si="8"/>
        <v>116.12678400000003</v>
      </c>
      <c r="X19" s="553">
        <f t="shared" si="9"/>
        <v>121.38984000000004</v>
      </c>
      <c r="Y19" s="553">
        <f t="shared" si="10"/>
        <v>1196.4963600000005</v>
      </c>
      <c r="AC19" s="9">
        <f>(AC10-1)/(AC10-AC10/AC11)</f>
        <v>0.38181818181818183</v>
      </c>
    </row>
    <row r="20" spans="1:32" ht="15" thickBot="1" x14ac:dyDescent="0.35">
      <c r="A20" s="1472">
        <v>4</v>
      </c>
      <c r="B20" s="1574">
        <v>46272</v>
      </c>
      <c r="C20" s="1575"/>
      <c r="D20" s="548" t="s">
        <v>509</v>
      </c>
      <c r="E20" s="623" t="s">
        <v>549</v>
      </c>
      <c r="F20" s="567" t="s">
        <v>13</v>
      </c>
      <c r="G20" s="486">
        <v>0.41</v>
      </c>
      <c r="H20" s="471">
        <f>J20-'Au Cal Leaching Tank'!$T$11</f>
        <v>107.15</v>
      </c>
      <c r="I20" s="477">
        <f>H20/((720-R20)/60)</f>
        <v>9.5103550295857993</v>
      </c>
      <c r="J20" s="487">
        <v>215</v>
      </c>
      <c r="K20" s="487">
        <v>1.28</v>
      </c>
      <c r="L20" s="486">
        <v>0.73</v>
      </c>
      <c r="M20" s="476">
        <f>J20*K20*G20-'Au Cal Leaching Tank'!$U$11</f>
        <v>58.259900000000002</v>
      </c>
      <c r="N20" s="1377"/>
      <c r="O20" s="471">
        <f t="shared" si="7"/>
        <v>6.2870395683453237</v>
      </c>
      <c r="P20" s="471">
        <f>(600-R20)/60</f>
        <v>9.2666666666666675</v>
      </c>
      <c r="Q20" s="471">
        <f>600-R20</f>
        <v>556</v>
      </c>
      <c r="R20" s="471">
        <f>'Milling Down Time Hours'!G20-30</f>
        <v>44</v>
      </c>
      <c r="S20" s="1454">
        <f>SUM(M20:M23)</f>
        <v>316.93529999999998</v>
      </c>
      <c r="T20" s="583">
        <f>AVERAGE('LT Ball Mill'!F37:F39)</f>
        <v>0.53033333333333343</v>
      </c>
      <c r="U20" s="583">
        <f>AVERAGE('LT Ball Mill'!G37:G39)</f>
        <v>1.07</v>
      </c>
      <c r="V20" s="583">
        <f>AVERAGE('LT Ball Mill'!H37:H39)</f>
        <v>8.9266666666666676</v>
      </c>
      <c r="W20" s="472">
        <f t="shared" si="8"/>
        <v>30.897166966666674</v>
      </c>
      <c r="X20" s="485">
        <f t="shared" si="9"/>
        <v>62.338093000000008</v>
      </c>
      <c r="Y20" s="485">
        <f t="shared" si="10"/>
        <v>520.0667073333334</v>
      </c>
    </row>
    <row r="21" spans="1:32" ht="15" thickBot="1" x14ac:dyDescent="0.35">
      <c r="A21" s="1472"/>
      <c r="B21" s="1435">
        <v>46273</v>
      </c>
      <c r="C21" s="1436"/>
      <c r="D21" s="549" t="s">
        <v>169</v>
      </c>
      <c r="E21" s="549" t="s">
        <v>519</v>
      </c>
      <c r="F21" s="567" t="s">
        <v>12</v>
      </c>
      <c r="G21" s="486">
        <v>0.42</v>
      </c>
      <c r="H21" s="471">
        <f>J21-'Au Cal Leaching Tank'!$T$11-SUM(H20)</f>
        <v>188.99999999999997</v>
      </c>
      <c r="I21" s="477">
        <f t="shared" si="11"/>
        <v>18.290322580645157</v>
      </c>
      <c r="J21" s="487">
        <v>404</v>
      </c>
      <c r="K21" s="487">
        <v>1.29</v>
      </c>
      <c r="L21" s="486">
        <v>0.75</v>
      </c>
      <c r="M21" s="476">
        <f>J21*K21*G21-'Au Cal Leaching Tank'!$U$11-SUM(M20)</f>
        <v>106.05519999999997</v>
      </c>
      <c r="N21" s="1578">
        <f>SUM(M21:M22)</f>
        <v>193.82679999999999</v>
      </c>
      <c r="O21" s="471">
        <f t="shared" si="7"/>
        <v>10.2634064516129</v>
      </c>
      <c r="P21" s="471">
        <f>(720-R21)/60</f>
        <v>10.333333333333334</v>
      </c>
      <c r="Q21" s="471">
        <f>720-R21</f>
        <v>620</v>
      </c>
      <c r="R21" s="471">
        <f>'Milling Down Time Hours'!G21</f>
        <v>100</v>
      </c>
      <c r="S21" s="1454"/>
      <c r="T21" s="583">
        <f>AVERAGE('LT Ball Mill'!F40:F42)</f>
        <v>0.64666666666666672</v>
      </c>
      <c r="U21" s="583">
        <f>AVERAGE('LT Ball Mill'!G40:G42)</f>
        <v>0.96333333333333326</v>
      </c>
      <c r="V21" s="583">
        <f>AVERAGE('LT Ball Mill'!H40:H42)</f>
        <v>9.1033333333333335</v>
      </c>
      <c r="W21" s="472">
        <f t="shared" si="8"/>
        <v>68.582362666666654</v>
      </c>
      <c r="X21" s="485">
        <f t="shared" si="9"/>
        <v>102.16650933333329</v>
      </c>
      <c r="Y21" s="485">
        <f t="shared" si="10"/>
        <v>965.45583733333308</v>
      </c>
      <c r="AA21" s="13" t="s">
        <v>214</v>
      </c>
      <c r="AB21" s="13">
        <v>10.7</v>
      </c>
      <c r="AC21" s="6" t="s">
        <v>216</v>
      </c>
      <c r="AD21" s="1">
        <v>3.2</v>
      </c>
    </row>
    <row r="22" spans="1:32" ht="15" thickBot="1" x14ac:dyDescent="0.35">
      <c r="A22" s="1472"/>
      <c r="B22" s="1437"/>
      <c r="C22" s="1438"/>
      <c r="D22" s="550" t="s">
        <v>523</v>
      </c>
      <c r="E22" s="551" t="s">
        <v>529</v>
      </c>
      <c r="F22" s="564" t="s">
        <v>13</v>
      </c>
      <c r="G22" s="538">
        <v>0.42</v>
      </c>
      <c r="H22" s="471">
        <f>J22-'Au Cal Leaching Tank'!$T$11-SUM(H20:H21)</f>
        <v>162</v>
      </c>
      <c r="I22" s="477">
        <f t="shared" si="11"/>
        <v>17.142857142857146</v>
      </c>
      <c r="J22" s="539">
        <v>566</v>
      </c>
      <c r="K22" s="539">
        <v>1.29</v>
      </c>
      <c r="L22" s="538">
        <v>0.75</v>
      </c>
      <c r="M22" s="476">
        <f>J22*K22*G22-'Au Cal Leaching Tank'!$U$11-SUM(M20:M21)</f>
        <v>87.771600000000035</v>
      </c>
      <c r="N22" s="1591"/>
      <c r="O22" s="471">
        <f t="shared" si="7"/>
        <v>9.2880000000000038</v>
      </c>
      <c r="P22" s="471">
        <f>(720-R22)/60</f>
        <v>9.4499999999999993</v>
      </c>
      <c r="Q22" s="471">
        <f>720-R22</f>
        <v>567</v>
      </c>
      <c r="R22" s="471">
        <f>'Milling Down Time Hours'!G22</f>
        <v>153</v>
      </c>
      <c r="S22" s="1454"/>
      <c r="T22" s="583">
        <f>AVERAGE('LT Ball Mill'!F43:F45)</f>
        <v>0.6349999999999999</v>
      </c>
      <c r="U22" s="583">
        <f>AVERAGE('LT Ball Mill'!G43:G45)</f>
        <v>1.0333333333333334</v>
      </c>
      <c r="V22" s="583">
        <f>AVERAGE('LT Ball Mill'!H43:H45)</f>
        <v>7.81</v>
      </c>
      <c r="W22" s="472">
        <f t="shared" si="8"/>
        <v>55.734966000000014</v>
      </c>
      <c r="X22" s="485">
        <f t="shared" si="9"/>
        <v>90.697320000000047</v>
      </c>
      <c r="Y22" s="485">
        <f t="shared" si="10"/>
        <v>685.49619600000028</v>
      </c>
      <c r="AA22" s="13" t="s">
        <v>215</v>
      </c>
      <c r="AB22" s="13">
        <v>3.2</v>
      </c>
      <c r="AC22" s="6" t="s">
        <v>216</v>
      </c>
    </row>
    <row r="23" spans="1:32" ht="29.4" thickBot="1" x14ac:dyDescent="0.35">
      <c r="A23" s="1472"/>
      <c r="B23" s="1435">
        <v>46274</v>
      </c>
      <c r="C23" s="1436"/>
      <c r="D23" s="552" t="s">
        <v>169</v>
      </c>
      <c r="E23" s="571" t="s">
        <v>521</v>
      </c>
      <c r="F23" s="561" t="s">
        <v>12</v>
      </c>
      <c r="G23" s="479">
        <v>0.44</v>
      </c>
      <c r="H23" s="471">
        <f>J23-'Au Cal Leaching Tank'!$T$11-SUM(H20:H22)</f>
        <v>81</v>
      </c>
      <c r="I23" s="477">
        <f>H23/((720-R23)/60)</f>
        <v>27</v>
      </c>
      <c r="J23" s="480">
        <v>647</v>
      </c>
      <c r="K23" s="480">
        <v>1.3049999999999999</v>
      </c>
      <c r="L23" s="479">
        <v>0.75</v>
      </c>
      <c r="M23" s="476">
        <f>J23*K23*G23-'Au Cal Leaching Tank'!$U$11-SUM(M20:M22)</f>
        <v>64.848599999999976</v>
      </c>
      <c r="N23" s="485">
        <f>SUM(M23:M24)</f>
        <v>64.848599999999976</v>
      </c>
      <c r="O23" s="471">
        <f t="shared" si="7"/>
        <v>21.616199999999992</v>
      </c>
      <c r="P23" s="471">
        <f>(720-R23)/60</f>
        <v>3</v>
      </c>
      <c r="Q23" s="471">
        <f>720-R23</f>
        <v>180</v>
      </c>
      <c r="R23" s="471">
        <f>'Milling Down Time Hours'!G23</f>
        <v>540</v>
      </c>
      <c r="S23" s="1454"/>
      <c r="T23" s="583">
        <f>AVERAGE('LT Ball Mill'!F46:F48)</f>
        <v>0.59233333333333327</v>
      </c>
      <c r="U23" s="583">
        <f>AVERAGE('LT Ball Mill'!G46:G48)</f>
        <v>0.66666666666666663</v>
      </c>
      <c r="V23" s="583">
        <f>AVERAGE('LT Ball Mill'!H46:H48)</f>
        <v>7.2399999999999993</v>
      </c>
      <c r="W23" s="472">
        <f t="shared" si="8"/>
        <v>38.41198739999998</v>
      </c>
      <c r="X23" s="485">
        <f t="shared" si="9"/>
        <v>43.232399999999984</v>
      </c>
      <c r="Y23" s="485">
        <f t="shared" si="10"/>
        <v>469.50386399999979</v>
      </c>
      <c r="AA23" s="13" t="s">
        <v>217</v>
      </c>
      <c r="AB23" s="13">
        <f>AB21*0.5</f>
        <v>5.35</v>
      </c>
      <c r="AC23" s="6"/>
    </row>
    <row r="24" spans="1:32" ht="15" thickBot="1" x14ac:dyDescent="0.35">
      <c r="B24" s="1419">
        <v>46274</v>
      </c>
      <c r="C24" s="1420"/>
      <c r="D24" s="455" t="s">
        <v>523</v>
      </c>
      <c r="E24" s="622" t="s">
        <v>548</v>
      </c>
      <c r="F24" s="568" t="s">
        <v>13</v>
      </c>
      <c r="G24" s="209"/>
      <c r="H24" s="95"/>
      <c r="I24" s="235"/>
      <c r="J24" s="95"/>
      <c r="K24" s="95"/>
      <c r="L24" s="209"/>
      <c r="M24" s="210">
        <f>H24*K24*G24</f>
        <v>0</v>
      </c>
      <c r="N24" s="572"/>
      <c r="O24" s="423" t="str">
        <f>IFERROR(M24/P24,"")</f>
        <v/>
      </c>
      <c r="P24" s="423">
        <f>(720-R24)/60</f>
        <v>0</v>
      </c>
      <c r="Q24" s="423">
        <f>720-R24</f>
        <v>0</v>
      </c>
      <c r="R24" s="423">
        <f>'Milling Down Time Hours'!G24</f>
        <v>720</v>
      </c>
      <c r="S24" s="458"/>
      <c r="T24" s="580"/>
      <c r="U24" s="580"/>
      <c r="V24" s="581"/>
      <c r="W24" s="582">
        <f t="shared" si="8"/>
        <v>0</v>
      </c>
      <c r="X24" s="458">
        <f t="shared" si="9"/>
        <v>0</v>
      </c>
      <c r="Y24" s="458">
        <f t="shared" si="10"/>
        <v>0</v>
      </c>
      <c r="AA24" s="13" t="s">
        <v>218</v>
      </c>
      <c r="AB24" s="419">
        <f>3.14*AB23*AB23*AB22</f>
        <v>287.59887999999995</v>
      </c>
      <c r="AC24" s="6"/>
    </row>
    <row r="25" spans="1:32" x14ac:dyDescent="0.3">
      <c r="A25" s="1473">
        <v>5</v>
      </c>
      <c r="B25" s="1440">
        <v>46275</v>
      </c>
      <c r="C25" s="1441"/>
      <c r="D25" s="575" t="s">
        <v>169</v>
      </c>
      <c r="E25" s="576" t="s">
        <v>522</v>
      </c>
      <c r="F25" s="565" t="s">
        <v>12</v>
      </c>
      <c r="G25" s="481">
        <v>0.44</v>
      </c>
      <c r="H25" s="466">
        <f>J25-'Au Cal Leaching Tank'!$T$14</f>
        <v>215.15</v>
      </c>
      <c r="I25" s="466">
        <f t="shared" ref="I25:I42" si="13">H25/((720-R25)/60)</f>
        <v>20.361198738170348</v>
      </c>
      <c r="J25" s="482">
        <v>323</v>
      </c>
      <c r="K25" s="482">
        <v>1.3</v>
      </c>
      <c r="L25" s="481">
        <v>0.75</v>
      </c>
      <c r="M25" s="466">
        <f>J25*K25*G25-'Au Cal Leaching Tank'!$U$12</f>
        <v>123.06580000000004</v>
      </c>
      <c r="N25" s="1431">
        <f>SUM(M25:M26)</f>
        <v>262.08779999999996</v>
      </c>
      <c r="O25" s="466">
        <f t="shared" ref="O25:O26" si="14">M25/P25</f>
        <v>11.646605678233442</v>
      </c>
      <c r="P25" s="466">
        <f t="shared" ref="P25:P26" si="15">(720-R25)/60</f>
        <v>10.566666666666666</v>
      </c>
      <c r="Q25" s="466">
        <f t="shared" ref="Q25:Q26" si="16">720-R25</f>
        <v>634</v>
      </c>
      <c r="R25" s="466">
        <f>'Milling Down Time Hours'!G25</f>
        <v>86</v>
      </c>
      <c r="S25" s="1431">
        <f>SUM(N25:N27)</f>
        <v>327.09421250000003</v>
      </c>
      <c r="T25" s="555">
        <f>AVERAGE('LT Ball Mill'!F54)</f>
        <v>0.73</v>
      </c>
      <c r="U25" s="555">
        <f>AVERAGE('LT Ball Mill'!G54)</f>
        <v>0.63</v>
      </c>
      <c r="V25" s="555">
        <f>AVERAGE('LT Ball Mill'!H54)</f>
        <v>8.57</v>
      </c>
      <c r="W25" s="469">
        <f t="shared" si="2"/>
        <v>89.838034000000022</v>
      </c>
      <c r="X25" s="553">
        <f t="shared" si="3"/>
        <v>77.531454000000025</v>
      </c>
      <c r="Y25" s="553">
        <f t="shared" si="4"/>
        <v>1054.6739060000004</v>
      </c>
      <c r="AA25" s="12" t="s">
        <v>436</v>
      </c>
      <c r="AB25" s="222">
        <f>AB24*AC10*AC13</f>
        <v>137.26310181818181</v>
      </c>
    </row>
    <row r="26" spans="1:32" ht="15" thickBot="1" x14ac:dyDescent="0.35">
      <c r="A26" s="1473"/>
      <c r="B26" s="1442"/>
      <c r="C26" s="1443"/>
      <c r="D26" s="577" t="s">
        <v>541</v>
      </c>
      <c r="E26" s="578"/>
      <c r="F26" s="565" t="s">
        <v>13</v>
      </c>
      <c r="G26" s="481">
        <v>0.42</v>
      </c>
      <c r="H26" s="466">
        <f>J26-'Au Cal Leaching Tank'!$T$14-SUM(H25)</f>
        <v>270</v>
      </c>
      <c r="I26" s="466">
        <f t="shared" si="13"/>
        <v>25.796178343949045</v>
      </c>
      <c r="J26" s="482">
        <v>593</v>
      </c>
      <c r="K26" s="482">
        <v>1.3</v>
      </c>
      <c r="L26" s="481">
        <v>0.75</v>
      </c>
      <c r="M26" s="466">
        <f>(J26*K26*G26-'Au Cal Leaching Tank'!$U$12)-M25</f>
        <v>139.02199999999993</v>
      </c>
      <c r="N26" s="1432"/>
      <c r="O26" s="466">
        <f t="shared" si="14"/>
        <v>13.282356687898083</v>
      </c>
      <c r="P26" s="466">
        <f t="shared" si="15"/>
        <v>10.466666666666667</v>
      </c>
      <c r="Q26" s="466">
        <f t="shared" si="16"/>
        <v>628</v>
      </c>
      <c r="R26" s="466">
        <f>'Milling Down Time Hours'!G26</f>
        <v>92.000000000000014</v>
      </c>
      <c r="S26" s="1431"/>
      <c r="T26" s="555">
        <f>AVERAGE('LT Ball Mill'!F55:F57)</f>
        <v>0.51600000000000001</v>
      </c>
      <c r="U26" s="555">
        <f>AVERAGE('LT Ball Mill'!G55:G57)</f>
        <v>0.43</v>
      </c>
      <c r="V26" s="555">
        <f>AVERAGE('LT Ball Mill'!H55:H57)</f>
        <v>9.2766666666666655</v>
      </c>
      <c r="W26" s="469">
        <f t="shared" si="2"/>
        <v>71.735351999999963</v>
      </c>
      <c r="X26" s="553">
        <f t="shared" si="3"/>
        <v>59.779459999999972</v>
      </c>
      <c r="Y26" s="553">
        <f t="shared" si="4"/>
        <v>1289.6607533333327</v>
      </c>
      <c r="AA26" s="12"/>
      <c r="AB26" s="222">
        <f>AB25-33.43</f>
        <v>103.8331018181818</v>
      </c>
    </row>
    <row r="27" spans="1:32" ht="28.8" x14ac:dyDescent="0.3">
      <c r="A27" s="1473"/>
      <c r="B27" s="1440">
        <v>46276</v>
      </c>
      <c r="C27" s="1441"/>
      <c r="D27" s="677" t="s">
        <v>540</v>
      </c>
      <c r="E27" s="639" t="s">
        <v>554</v>
      </c>
      <c r="F27" s="565" t="s">
        <v>12</v>
      </c>
      <c r="G27" s="481">
        <v>0.4</v>
      </c>
      <c r="H27" s="466">
        <f>J27-'Au Cal Leaching Tank'!$T$14-SUM(H25:H26)</f>
        <v>54</v>
      </c>
      <c r="I27" s="466">
        <f t="shared" si="13"/>
        <v>4.9165402124430964</v>
      </c>
      <c r="J27" s="466">
        <v>647</v>
      </c>
      <c r="K27" s="482">
        <v>1.27</v>
      </c>
      <c r="L27" s="481">
        <v>0.75</v>
      </c>
      <c r="M27" s="466">
        <f>(J27*K27*G27-'Au Cal Leaching Tank'!$U$12)-SUM(M25:M26)</f>
        <v>4.8980000000000814</v>
      </c>
      <c r="N27" s="1433">
        <f>SUM(M27:M28)</f>
        <v>65.006412500000096</v>
      </c>
      <c r="O27" s="466">
        <f>M27/P27</f>
        <v>0.9828762541806183</v>
      </c>
      <c r="P27" s="466">
        <f>(360-R27)/60</f>
        <v>4.9833333333333334</v>
      </c>
      <c r="Q27" s="466">
        <f>360-R27</f>
        <v>299</v>
      </c>
      <c r="R27" s="466">
        <f>'Milling Down Time Hours'!G27</f>
        <v>61</v>
      </c>
      <c r="S27" s="1431"/>
      <c r="T27" s="555">
        <f>AVERAGE('LT Ball Mill'!F55:F57)</f>
        <v>0.51600000000000001</v>
      </c>
      <c r="U27" s="555">
        <f>AVERAGE('LT Ball Mill'!G55:G57)</f>
        <v>0.43</v>
      </c>
      <c r="V27" s="555">
        <f>AVERAGE('LT Ball Mill'!H55:H57)</f>
        <v>9.2766666666666655</v>
      </c>
      <c r="W27" s="469">
        <f>T27*M27</f>
        <v>2.5273680000000422</v>
      </c>
      <c r="X27" s="553">
        <f>M27*U27</f>
        <v>2.106140000000035</v>
      </c>
      <c r="Y27" s="553">
        <f>M27*V27</f>
        <v>45.437113333334082</v>
      </c>
      <c r="AD27" s="444"/>
    </row>
    <row r="28" spans="1:32" x14ac:dyDescent="0.3">
      <c r="A28" s="676"/>
      <c r="B28" s="1235">
        <v>46276</v>
      </c>
      <c r="C28" s="1235"/>
      <c r="D28" s="678" t="s">
        <v>540</v>
      </c>
      <c r="E28" s="694" t="s">
        <v>582</v>
      </c>
      <c r="F28" s="670" t="s">
        <v>12</v>
      </c>
      <c r="G28" s="671">
        <v>0.42</v>
      </c>
      <c r="H28" s="672">
        <f>J28-'Au Cal Leaching Tank'!$T$15</f>
        <v>107.15</v>
      </c>
      <c r="I28" s="673">
        <f>H28/((360-R28)/60)</f>
        <v>17.858333333333334</v>
      </c>
      <c r="J28" s="672">
        <v>215</v>
      </c>
      <c r="K28" s="674">
        <v>1.29</v>
      </c>
      <c r="L28" s="671">
        <v>0.75</v>
      </c>
      <c r="M28" s="673">
        <f>(J28*K28*G28)-'Au Cal Leaching Tank'!$U$13</f>
        <v>60.108412500000014</v>
      </c>
      <c r="N28" s="1573"/>
      <c r="O28" s="673">
        <f>M28/P28</f>
        <v>10.018068750000003</v>
      </c>
      <c r="P28" s="673">
        <f>(360-R28)/60</f>
        <v>6</v>
      </c>
      <c r="Q28" s="672">
        <v>360</v>
      </c>
      <c r="R28" s="672">
        <v>0</v>
      </c>
      <c r="S28" s="1448">
        <f>SUM(M28:M31)</f>
        <v>277.03691250000003</v>
      </c>
      <c r="T28" s="693">
        <f>AVERAGE('LT Ball Mill'!F58:F60)</f>
        <v>1.4286666666666665</v>
      </c>
      <c r="U28" s="693">
        <f>AVERAGE('LT Ball Mill'!G58:G60)</f>
        <v>0.99333333333333329</v>
      </c>
      <c r="V28" s="693">
        <f>AVERAGE('LT Ball Mill'!H58:H60)</f>
        <v>9.1333333333333329</v>
      </c>
      <c r="W28" s="472">
        <f>T28*M28</f>
        <v>85.874885325000008</v>
      </c>
      <c r="X28" s="485">
        <f>M28*U28</f>
        <v>59.707689750000014</v>
      </c>
      <c r="Y28" s="485">
        <f>M28*V28</f>
        <v>548.9901675000001</v>
      </c>
      <c r="AD28" s="444"/>
    </row>
    <row r="29" spans="1:32" ht="43.8" thickBot="1" x14ac:dyDescent="0.35">
      <c r="A29" s="1472">
        <v>6</v>
      </c>
      <c r="B29" s="1567">
        <v>46276</v>
      </c>
      <c r="C29" s="1568"/>
      <c r="D29" s="687" t="s">
        <v>550</v>
      </c>
      <c r="E29" s="688" t="s">
        <v>547</v>
      </c>
      <c r="F29" s="689" t="s">
        <v>13</v>
      </c>
      <c r="G29" s="488">
        <v>0.45</v>
      </c>
      <c r="H29" s="540">
        <f>J29-'Au Cal Leaching Tank'!$T$15-SUM(H28)</f>
        <v>72</v>
      </c>
      <c r="I29" s="540">
        <f t="shared" si="13"/>
        <v>36</v>
      </c>
      <c r="J29" s="489">
        <v>287</v>
      </c>
      <c r="K29" s="489">
        <v>1.29</v>
      </c>
      <c r="L29" s="488">
        <v>0.75</v>
      </c>
      <c r="M29" s="471">
        <f>(J29*K29*G29)-'Au Cal Leaching Tank'!$U$13-SUM(M28)</f>
        <v>50.116500000000016</v>
      </c>
      <c r="N29" s="473">
        <f>M29</f>
        <v>50.116500000000016</v>
      </c>
      <c r="O29" s="540">
        <f>M29/P29</f>
        <v>25.058250000000008</v>
      </c>
      <c r="P29" s="540">
        <f>(720-R29)/60</f>
        <v>2</v>
      </c>
      <c r="Q29" s="540">
        <f>720-R29</f>
        <v>120</v>
      </c>
      <c r="R29" s="540">
        <f>'Milling Down Time Hours'!G28</f>
        <v>600</v>
      </c>
      <c r="S29" s="1579"/>
      <c r="T29" s="573">
        <f>AVERAGE('LT Ball Mill'!F61:F63)</f>
        <v>0.26499999999999996</v>
      </c>
      <c r="U29" s="573">
        <f>AVERAGE('LT Ball Mill'!G61:G63)</f>
        <v>0.57333333333333336</v>
      </c>
      <c r="V29" s="573">
        <f>AVERAGE('LT Ball Mill'!H61:H63)</f>
        <v>7.5933333333333337</v>
      </c>
      <c r="W29" s="574">
        <f>T29*M29</f>
        <v>13.280872500000003</v>
      </c>
      <c r="X29" s="532">
        <f>M29*U29</f>
        <v>28.733460000000012</v>
      </c>
      <c r="Y29" s="532">
        <f>M29*V29</f>
        <v>380.55129000000017</v>
      </c>
      <c r="AB29" s="29">
        <f>AB25-62</f>
        <v>75.263101818181809</v>
      </c>
    </row>
    <row r="30" spans="1:32" ht="29.4" thickBot="1" x14ac:dyDescent="0.35">
      <c r="A30" s="1472"/>
      <c r="B30" s="1435">
        <v>46277</v>
      </c>
      <c r="C30" s="1436"/>
      <c r="D30" s="690" t="s">
        <v>551</v>
      </c>
      <c r="E30" s="691" t="s">
        <v>552</v>
      </c>
      <c r="F30" s="561" t="s">
        <v>12</v>
      </c>
      <c r="G30" s="475">
        <v>0.33</v>
      </c>
      <c r="H30" s="540">
        <f>J30-'Au Cal Leaching Tank'!$T$15-SUM(H28:H29)</f>
        <v>432</v>
      </c>
      <c r="I30" s="540" t="str">
        <f>IFERROR(H30/((720-R30)/60),"")</f>
        <v/>
      </c>
      <c r="J30" s="478">
        <v>719</v>
      </c>
      <c r="K30" s="478">
        <v>1.21</v>
      </c>
      <c r="L30" s="475">
        <v>0.75</v>
      </c>
      <c r="M30" s="471">
        <f>(J30*K30*G30)-'Au Cal Leaching Tank'!$U$13-SUM(M28:M29)</f>
        <v>120.49319999999999</v>
      </c>
      <c r="N30" s="1578">
        <f>SUM(M30:M31)</f>
        <v>166.81200000000001</v>
      </c>
      <c r="O30" s="540" t="str">
        <f>IFERROR(M30/P30,"")</f>
        <v/>
      </c>
      <c r="P30" s="540">
        <f t="shared" ref="P30:P33" si="17">(720-R30)/60</f>
        <v>0</v>
      </c>
      <c r="Q30" s="492">
        <f>720-R30</f>
        <v>0</v>
      </c>
      <c r="R30" s="540">
        <f>'Milling Down Time Hours'!G29</f>
        <v>720</v>
      </c>
      <c r="S30" s="1579"/>
      <c r="T30" s="474">
        <f>AVERAGE('LT Ball Mill'!F64:F66)</f>
        <v>0.30533333333333329</v>
      </c>
      <c r="U30" s="474">
        <f>AVERAGE('LT Ball Mill'!G64:G66)</f>
        <v>0.55333333333333334</v>
      </c>
      <c r="V30" s="474">
        <f>AVERAGE('LT Ball Mill'!H64:H66)</f>
        <v>6.7966666666666669</v>
      </c>
      <c r="W30" s="472">
        <f t="shared" si="2"/>
        <v>36.790590399999992</v>
      </c>
      <c r="X30" s="485">
        <f t="shared" si="3"/>
        <v>66.672903999999988</v>
      </c>
      <c r="Y30" s="485">
        <f t="shared" si="4"/>
        <v>818.95211599999993</v>
      </c>
    </row>
    <row r="31" spans="1:32" ht="29.4" thickBot="1" x14ac:dyDescent="0.35">
      <c r="A31" s="1472"/>
      <c r="B31" s="1437"/>
      <c r="C31" s="1438"/>
      <c r="D31" s="692" t="s">
        <v>570</v>
      </c>
      <c r="E31" s="779" t="s">
        <v>586</v>
      </c>
      <c r="F31" s="564" t="s">
        <v>13</v>
      </c>
      <c r="G31" s="479">
        <v>0.33</v>
      </c>
      <c r="H31" s="540">
        <f>J31-'Au Cal Leaching Tank'!$T$15-SUM(H28:H30)</f>
        <v>116</v>
      </c>
      <c r="I31" s="540" t="str">
        <f>IFERROR(H31/((720-R31)/60),"")</f>
        <v/>
      </c>
      <c r="J31" s="480">
        <v>835</v>
      </c>
      <c r="K31" s="480">
        <v>1.21</v>
      </c>
      <c r="L31" s="479">
        <v>0.75</v>
      </c>
      <c r="M31" s="471">
        <f>(J31*K31*G31)-'Au Cal Leaching Tank'!$U$13-SUM(M28:M30)</f>
        <v>46.31880000000001</v>
      </c>
      <c r="N31" s="1580"/>
      <c r="O31" s="540" t="str">
        <f t="shared" ref="O31:O43" si="18">IFERROR(M31/P31,"")</f>
        <v/>
      </c>
      <c r="P31" s="540">
        <f t="shared" si="17"/>
        <v>0</v>
      </c>
      <c r="Q31" s="492">
        <f>720-R31</f>
        <v>0</v>
      </c>
      <c r="R31" s="540">
        <f>'Milling Down Time Hours'!G30</f>
        <v>720</v>
      </c>
      <c r="S31" s="1449"/>
      <c r="T31" s="573">
        <f>AVERAGE('LT Ball Mill'!F64:F66)</f>
        <v>0.30533333333333329</v>
      </c>
      <c r="U31" s="573">
        <f>AVERAGE('LT Ball Mill'!G64:G66)</f>
        <v>0.55333333333333334</v>
      </c>
      <c r="V31" s="573">
        <f>AVERAGE('LT Ball Mill'!H64:H66)</f>
        <v>6.7966666666666669</v>
      </c>
      <c r="W31" s="472">
        <f t="shared" si="2"/>
        <v>14.142673600000002</v>
      </c>
      <c r="X31" s="485">
        <f t="shared" si="3"/>
        <v>25.629736000000005</v>
      </c>
      <c r="Y31" s="485">
        <f t="shared" si="4"/>
        <v>314.81344400000006</v>
      </c>
      <c r="AA31" s="136"/>
      <c r="AB31" s="29"/>
    </row>
    <row r="32" spans="1:32" ht="15" thickBot="1" x14ac:dyDescent="0.35">
      <c r="B32" s="1415">
        <v>46278</v>
      </c>
      <c r="C32" s="1416"/>
      <c r="D32" s="675" t="s">
        <v>572</v>
      </c>
      <c r="E32" s="675" t="s">
        <v>571</v>
      </c>
      <c r="F32" s="569" t="s">
        <v>12</v>
      </c>
      <c r="G32" s="31"/>
      <c r="H32" s="28"/>
      <c r="I32" s="614"/>
      <c r="J32" s="28"/>
      <c r="K32" s="28"/>
      <c r="L32" s="31"/>
      <c r="M32" s="27">
        <f t="shared" si="6"/>
        <v>0</v>
      </c>
      <c r="N32" s="1391">
        <f>SUM(M32:M33)</f>
        <v>28.496569999999998</v>
      </c>
      <c r="O32" s="614" t="str">
        <f t="shared" si="18"/>
        <v/>
      </c>
      <c r="P32" s="614">
        <f>(720-R32)/60</f>
        <v>0</v>
      </c>
      <c r="Q32" s="423">
        <f t="shared" ref="Q32:Q33" si="19">720-R32</f>
        <v>0</v>
      </c>
      <c r="R32" s="423">
        <f>'Milling Down Time Hours'!G31</f>
        <v>720</v>
      </c>
      <c r="S32" s="494"/>
      <c r="T32" s="153"/>
      <c r="U32" s="153"/>
      <c r="V32" s="158"/>
      <c r="W32" s="159">
        <f t="shared" si="2"/>
        <v>0</v>
      </c>
      <c r="X32" s="154">
        <f t="shared" si="3"/>
        <v>0</v>
      </c>
      <c r="Y32" s="154">
        <f t="shared" si="4"/>
        <v>0</v>
      </c>
      <c r="AA32" s="1">
        <f>17.97*1.54*66.94%</f>
        <v>18.524841720000001</v>
      </c>
      <c r="AC32" s="1">
        <f>107.85*1.19*30.48%</f>
        <v>39.118489199999999</v>
      </c>
    </row>
    <row r="33" spans="1:32" s="764" customFormat="1" ht="15" thickBot="1" x14ac:dyDescent="0.35">
      <c r="A33" s="686">
        <v>7</v>
      </c>
      <c r="B33" s="1419"/>
      <c r="C33" s="1420"/>
      <c r="D33" s="695" t="s">
        <v>169</v>
      </c>
      <c r="E33" s="780" t="s">
        <v>588</v>
      </c>
      <c r="F33" s="696" t="s">
        <v>13</v>
      </c>
      <c r="G33" s="506">
        <v>0.38</v>
      </c>
      <c r="H33" s="546">
        <f>J33-'Au Cal Leaching Tank'!$T$14</f>
        <v>179.15</v>
      </c>
      <c r="I33" s="546">
        <f t="shared" si="13"/>
        <v>17.914999999999999</v>
      </c>
      <c r="J33" s="507">
        <v>287</v>
      </c>
      <c r="K33" s="507">
        <v>1.25</v>
      </c>
      <c r="L33" s="463">
        <v>0.75</v>
      </c>
      <c r="M33" s="697">
        <f>(H33*K33*G33)-'Au Cal Leaching Tank'!$U$14</f>
        <v>28.496569999999998</v>
      </c>
      <c r="N33" s="1397"/>
      <c r="O33" s="760">
        <f t="shared" si="18"/>
        <v>2.8496569999999997</v>
      </c>
      <c r="P33" s="546">
        <f t="shared" si="17"/>
        <v>10</v>
      </c>
      <c r="Q33" s="504">
        <f t="shared" si="19"/>
        <v>600</v>
      </c>
      <c r="R33" s="504">
        <f>'Milling Down Time Hours'!G34</f>
        <v>120.00000000000001</v>
      </c>
      <c r="S33" s="762"/>
      <c r="T33" s="468"/>
      <c r="U33" s="468"/>
      <c r="V33" s="763"/>
      <c r="W33" s="469">
        <f t="shared" si="2"/>
        <v>0</v>
      </c>
      <c r="X33" s="553">
        <f t="shared" si="3"/>
        <v>0</v>
      </c>
      <c r="Y33" s="553">
        <f t="shared" si="4"/>
        <v>0</v>
      </c>
      <c r="AA33" s="764">
        <f>125.82*1.28*41.76%</f>
        <v>67.254312959999993</v>
      </c>
      <c r="AC33" s="764">
        <f>215.7*1.29*42.92%</f>
        <v>119.42618760000001</v>
      </c>
    </row>
    <row r="34" spans="1:32" s="764" customFormat="1" ht="15" thickBot="1" x14ac:dyDescent="0.35">
      <c r="A34" s="686"/>
      <c r="B34" s="1440">
        <v>46279</v>
      </c>
      <c r="C34" s="1441"/>
      <c r="D34" s="500"/>
      <c r="E34" s="500"/>
      <c r="F34" s="559" t="s">
        <v>12</v>
      </c>
      <c r="G34" s="481"/>
      <c r="H34" s="546">
        <f>J34-'Au Cal Leaching Tank'!$T$14-SUM(H33)</f>
        <v>-287</v>
      </c>
      <c r="I34" s="546">
        <f t="shared" si="13"/>
        <v>-23.916666666666668</v>
      </c>
      <c r="J34" s="482"/>
      <c r="K34" s="482"/>
      <c r="L34" s="463"/>
      <c r="M34" s="697">
        <f>(H34*K34*G34)-'Au Cal Leaching Tank'!$U$14-SUM(M33)</f>
        <v>-85.096249999999998</v>
      </c>
      <c r="N34" s="1569">
        <f>SUM(M34:M35)</f>
        <v>-85.096249999999998</v>
      </c>
      <c r="O34" s="760" t="str">
        <f t="shared" si="18"/>
        <v/>
      </c>
      <c r="P34" s="761"/>
      <c r="Q34" s="761"/>
      <c r="R34" s="504">
        <f>'Milling Down Time Hours'!G35</f>
        <v>0</v>
      </c>
      <c r="S34" s="765"/>
      <c r="T34" s="470"/>
      <c r="U34" s="470"/>
      <c r="V34" s="766"/>
      <c r="W34" s="469">
        <f t="shared" si="2"/>
        <v>0</v>
      </c>
      <c r="X34" s="553">
        <f t="shared" si="3"/>
        <v>0</v>
      </c>
      <c r="Y34" s="553">
        <f t="shared" si="4"/>
        <v>0</v>
      </c>
      <c r="AA34" s="764">
        <f>170.76*1.27*40.59%</f>
        <v>88.025584680000009</v>
      </c>
      <c r="AC34" s="764">
        <f>AC33-AC32</f>
        <v>80.307698400000007</v>
      </c>
    </row>
    <row r="35" spans="1:32" s="764" customFormat="1" ht="15" thickBot="1" x14ac:dyDescent="0.35">
      <c r="A35" s="686"/>
      <c r="B35" s="1442"/>
      <c r="C35" s="1443"/>
      <c r="D35" s="500"/>
      <c r="E35" s="500"/>
      <c r="F35" s="696" t="s">
        <v>13</v>
      </c>
      <c r="G35" s="481"/>
      <c r="H35" s="546">
        <f>J35-'Au Cal Leaching Tank'!$T$14-SUM(H33:H34)</f>
        <v>0</v>
      </c>
      <c r="I35" s="546">
        <f t="shared" si="13"/>
        <v>0</v>
      </c>
      <c r="J35" s="482"/>
      <c r="K35" s="482"/>
      <c r="L35" s="463"/>
      <c r="M35" s="697">
        <f t="shared" si="6"/>
        <v>0</v>
      </c>
      <c r="N35" s="1570"/>
      <c r="O35" s="546">
        <f t="shared" si="18"/>
        <v>0</v>
      </c>
      <c r="P35" s="466">
        <f>'Milling Down Time Hours'!Q21</f>
        <v>22.933333333333334</v>
      </c>
      <c r="Q35" s="466"/>
      <c r="R35" s="466">
        <f>'Milling Down Time Hours'!P21</f>
        <v>64</v>
      </c>
      <c r="S35" s="482"/>
      <c r="T35" s="468"/>
      <c r="U35" s="468"/>
      <c r="V35" s="763"/>
      <c r="W35" s="469">
        <f t="shared" si="2"/>
        <v>0</v>
      </c>
      <c r="X35" s="553">
        <f t="shared" si="3"/>
        <v>0</v>
      </c>
      <c r="Y35" s="553">
        <f t="shared" si="4"/>
        <v>0</v>
      </c>
      <c r="AA35" s="767">
        <f>AA34-AA33</f>
        <v>20.771271720000016</v>
      </c>
    </row>
    <row r="36" spans="1:32" s="764" customFormat="1" ht="15" thickBot="1" x14ac:dyDescent="0.35">
      <c r="A36" s="686"/>
      <c r="B36" s="1440">
        <v>46280</v>
      </c>
      <c r="C36" s="1441"/>
      <c r="D36" s="500"/>
      <c r="E36" s="768"/>
      <c r="F36" s="559" t="s">
        <v>12</v>
      </c>
      <c r="G36" s="481"/>
      <c r="H36" s="482"/>
      <c r="I36" s="546">
        <f t="shared" si="13"/>
        <v>0</v>
      </c>
      <c r="J36" s="482"/>
      <c r="K36" s="482"/>
      <c r="L36" s="481"/>
      <c r="M36" s="697">
        <f t="shared" si="6"/>
        <v>0</v>
      </c>
      <c r="N36" s="698"/>
      <c r="O36" s="546" t="str">
        <f t="shared" si="18"/>
        <v/>
      </c>
      <c r="P36" s="466"/>
      <c r="Q36" s="466"/>
      <c r="R36" s="466"/>
      <c r="S36" s="482"/>
      <c r="T36" s="470"/>
      <c r="U36" s="470"/>
      <c r="V36" s="766"/>
      <c r="W36" s="469">
        <f t="shared" si="2"/>
        <v>0</v>
      </c>
      <c r="X36" s="553">
        <f t="shared" si="3"/>
        <v>0</v>
      </c>
      <c r="Y36" s="553">
        <f t="shared" si="4"/>
        <v>0</v>
      </c>
      <c r="AA36" s="767"/>
    </row>
    <row r="37" spans="1:32" s="764" customFormat="1" ht="15" thickBot="1" x14ac:dyDescent="0.35">
      <c r="A37" s="686"/>
      <c r="B37" s="1442"/>
      <c r="C37" s="1443"/>
      <c r="D37" s="769"/>
      <c r="E37" s="769"/>
      <c r="F37" s="696" t="s">
        <v>13</v>
      </c>
      <c r="G37" s="770"/>
      <c r="H37" s="565"/>
      <c r="I37" s="546">
        <f t="shared" si="13"/>
        <v>0</v>
      </c>
      <c r="J37" s="565"/>
      <c r="K37" s="565"/>
      <c r="L37" s="770"/>
      <c r="M37" s="697">
        <f t="shared" si="6"/>
        <v>0</v>
      </c>
      <c r="N37" s="771"/>
      <c r="O37" s="546">
        <f t="shared" si="18"/>
        <v>0</v>
      </c>
      <c r="P37" s="772">
        <f>'Milling Down Time Hours'!Q22</f>
        <v>24</v>
      </c>
      <c r="Q37" s="772"/>
      <c r="R37" s="772">
        <f>'Milling Down Time Hours'!P22</f>
        <v>0</v>
      </c>
      <c r="S37" s="565"/>
      <c r="T37" s="773"/>
      <c r="U37" s="773"/>
      <c r="V37" s="774"/>
      <c r="W37" s="469">
        <f t="shared" si="2"/>
        <v>0</v>
      </c>
      <c r="X37" s="553">
        <f t="shared" si="3"/>
        <v>0</v>
      </c>
      <c r="Y37" s="553">
        <f t="shared" si="4"/>
        <v>0</v>
      </c>
      <c r="AA37" s="764">
        <f>269.92*1.28*41.76%</f>
        <v>144.27979776000001</v>
      </c>
    </row>
    <row r="38" spans="1:32" s="764" customFormat="1" ht="15" thickBot="1" x14ac:dyDescent="0.35">
      <c r="A38" s="686"/>
      <c r="B38" s="1440">
        <v>46281</v>
      </c>
      <c r="C38" s="1441"/>
      <c r="D38" s="769"/>
      <c r="E38" s="769"/>
      <c r="F38" s="559" t="s">
        <v>12</v>
      </c>
      <c r="G38" s="770"/>
      <c r="H38" s="565"/>
      <c r="I38" s="546">
        <f t="shared" si="13"/>
        <v>0</v>
      </c>
      <c r="J38" s="565"/>
      <c r="K38" s="565"/>
      <c r="L38" s="770"/>
      <c r="M38" s="697">
        <f t="shared" si="6"/>
        <v>0</v>
      </c>
      <c r="N38" s="771"/>
      <c r="O38" s="546" t="str">
        <f t="shared" si="18"/>
        <v/>
      </c>
      <c r="P38" s="772"/>
      <c r="Q38" s="772"/>
      <c r="R38" s="772"/>
      <c r="S38" s="565"/>
      <c r="T38" s="775"/>
      <c r="U38" s="775"/>
      <c r="V38" s="776"/>
      <c r="W38" s="469">
        <f t="shared" si="2"/>
        <v>0</v>
      </c>
      <c r="X38" s="553">
        <f t="shared" si="3"/>
        <v>0</v>
      </c>
      <c r="Y38" s="553">
        <f t="shared" si="4"/>
        <v>0</v>
      </c>
      <c r="AA38" s="764">
        <f>323.55*1.29*42.92%</f>
        <v>179.13928140000002</v>
      </c>
    </row>
    <row r="39" spans="1:32" s="764" customFormat="1" ht="15" thickBot="1" x14ac:dyDescent="0.35">
      <c r="A39" s="686"/>
      <c r="B39" s="1442"/>
      <c r="C39" s="1443"/>
      <c r="D39" s="500"/>
      <c r="E39" s="777"/>
      <c r="F39" s="696" t="s">
        <v>13</v>
      </c>
      <c r="G39" s="615"/>
      <c r="H39" s="615"/>
      <c r="I39" s="546">
        <f t="shared" si="13"/>
        <v>0</v>
      </c>
      <c r="J39" s="615"/>
      <c r="K39" s="615"/>
      <c r="L39" s="482"/>
      <c r="M39" s="697">
        <f t="shared" si="6"/>
        <v>0</v>
      </c>
      <c r="N39" s="482"/>
      <c r="O39" s="546">
        <f t="shared" si="18"/>
        <v>0</v>
      </c>
      <c r="P39" s="466">
        <f>'Milling Down Time Hours'!Q23</f>
        <v>21.083333333333332</v>
      </c>
      <c r="Q39" s="466"/>
      <c r="R39" s="466">
        <f>'Milling Down Time Hours'!P23</f>
        <v>175</v>
      </c>
      <c r="S39" s="482"/>
      <c r="T39" s="1592"/>
      <c r="U39" s="1592"/>
      <c r="V39" s="1594"/>
      <c r="W39" s="469">
        <f t="shared" si="2"/>
        <v>0</v>
      </c>
      <c r="X39" s="553">
        <f t="shared" si="3"/>
        <v>0</v>
      </c>
      <c r="Y39" s="553">
        <f t="shared" si="4"/>
        <v>0</v>
      </c>
      <c r="AA39" s="764">
        <f>AA38-AA37</f>
        <v>34.859483640000008</v>
      </c>
    </row>
    <row r="40" spans="1:32" s="764" customFormat="1" ht="15" thickBot="1" x14ac:dyDescent="0.35">
      <c r="A40" s="686"/>
      <c r="B40" s="1415">
        <v>46282</v>
      </c>
      <c r="C40" s="1416"/>
      <c r="D40" s="482"/>
      <c r="E40" s="482"/>
      <c r="F40" s="559" t="s">
        <v>12</v>
      </c>
      <c r="G40" s="615"/>
      <c r="H40" s="615"/>
      <c r="I40" s="546">
        <f t="shared" si="13"/>
        <v>0</v>
      </c>
      <c r="J40" s="615"/>
      <c r="K40" s="615"/>
      <c r="L40" s="482"/>
      <c r="M40" s="697">
        <f t="shared" si="6"/>
        <v>0</v>
      </c>
      <c r="N40" s="482"/>
      <c r="O40" s="546" t="str">
        <f t="shared" si="18"/>
        <v/>
      </c>
      <c r="P40" s="466"/>
      <c r="Q40" s="466"/>
      <c r="R40" s="466"/>
      <c r="S40" s="482"/>
      <c r="T40" s="1593"/>
      <c r="U40" s="1593"/>
      <c r="V40" s="1595"/>
      <c r="W40" s="469">
        <f t="shared" si="2"/>
        <v>0</v>
      </c>
      <c r="X40" s="553">
        <f t="shared" si="3"/>
        <v>0</v>
      </c>
      <c r="Y40" s="553">
        <f t="shared" si="4"/>
        <v>0</v>
      </c>
      <c r="AA40" s="778" t="s">
        <v>507</v>
      </c>
      <c r="AF40" s="764">
        <f>53-6-17</f>
        <v>30</v>
      </c>
    </row>
    <row r="41" spans="1:32" s="764" customFormat="1" ht="15" thickBot="1" x14ac:dyDescent="0.35">
      <c r="A41" s="686"/>
      <c r="B41" s="1419"/>
      <c r="C41" s="1420"/>
      <c r="D41" s="500"/>
      <c r="E41" s="777"/>
      <c r="F41" s="696" t="s">
        <v>13</v>
      </c>
      <c r="G41" s="481"/>
      <c r="H41" s="466"/>
      <c r="I41" s="546">
        <f t="shared" si="13"/>
        <v>0</v>
      </c>
      <c r="J41" s="466"/>
      <c r="K41" s="482"/>
      <c r="L41" s="481"/>
      <c r="M41" s="697">
        <f t="shared" si="6"/>
        <v>0</v>
      </c>
      <c r="N41" s="466"/>
      <c r="O41" s="546">
        <f t="shared" si="18"/>
        <v>0</v>
      </c>
      <c r="P41" s="466">
        <f>'Milling Down Time Hours'!Q24</f>
        <v>18</v>
      </c>
      <c r="Q41" s="466"/>
      <c r="R41" s="466">
        <f>'Milling Down Time Hours'!P24</f>
        <v>360</v>
      </c>
      <c r="S41" s="482"/>
      <c r="T41" s="468"/>
      <c r="U41" s="468"/>
      <c r="V41" s="763"/>
      <c r="W41" s="469">
        <f t="shared" si="2"/>
        <v>0</v>
      </c>
      <c r="X41" s="553">
        <f t="shared" si="3"/>
        <v>0</v>
      </c>
      <c r="Y41" s="553">
        <f t="shared" si="4"/>
        <v>0</v>
      </c>
      <c r="AA41" s="778"/>
      <c r="AD41" s="778"/>
      <c r="AE41" s="778"/>
    </row>
    <row r="42" spans="1:32" ht="15" thickBot="1" x14ac:dyDescent="0.35">
      <c r="B42" s="1415">
        <v>46283</v>
      </c>
      <c r="C42" s="1416"/>
      <c r="D42" s="13"/>
      <c r="E42" s="13"/>
      <c r="F42" s="569" t="s">
        <v>12</v>
      </c>
      <c r="G42" s="40"/>
      <c r="H42" s="13"/>
      <c r="I42" s="614">
        <f t="shared" si="13"/>
        <v>0</v>
      </c>
      <c r="J42" s="13"/>
      <c r="K42" s="13"/>
      <c r="L42" s="40"/>
      <c r="M42" s="27">
        <f t="shared" ref="M42:M72" si="20">H42*K42*G42</f>
        <v>0</v>
      </c>
      <c r="N42" s="39"/>
      <c r="O42" s="614" t="str">
        <f t="shared" si="18"/>
        <v/>
      </c>
      <c r="P42" s="39"/>
      <c r="Q42" s="39"/>
      <c r="R42" s="39"/>
      <c r="S42" s="13"/>
      <c r="T42" s="175"/>
      <c r="U42" s="175"/>
      <c r="V42" s="236"/>
      <c r="W42" s="159">
        <f t="shared" si="2"/>
        <v>0</v>
      </c>
      <c r="X42" s="154">
        <f t="shared" si="3"/>
        <v>0</v>
      </c>
      <c r="Y42" s="154">
        <f t="shared" si="4"/>
        <v>0</v>
      </c>
    </row>
    <row r="43" spans="1:32" ht="15" thickBot="1" x14ac:dyDescent="0.35">
      <c r="B43" s="1419"/>
      <c r="C43" s="1420"/>
      <c r="D43" s="36"/>
      <c r="E43" s="36"/>
      <c r="F43" s="568" t="s">
        <v>13</v>
      </c>
      <c r="G43" s="40"/>
      <c r="H43" s="13"/>
      <c r="I43" s="614">
        <f>IFERROR(H43/((720-R43)/60),"")</f>
        <v>0</v>
      </c>
      <c r="J43" s="13"/>
      <c r="K43" s="13"/>
      <c r="L43" s="40"/>
      <c r="M43" s="27">
        <f t="shared" si="20"/>
        <v>0</v>
      </c>
      <c r="N43" s="39"/>
      <c r="O43" s="614" t="str">
        <f t="shared" si="18"/>
        <v/>
      </c>
      <c r="P43" s="39">
        <f>'Milling Down Time Hours'!Q25</f>
        <v>0</v>
      </c>
      <c r="Q43" s="39"/>
      <c r="R43" s="39">
        <f>'Milling Down Time Hours'!P25</f>
        <v>1440</v>
      </c>
      <c r="S43" s="13"/>
      <c r="T43" s="165"/>
      <c r="U43" s="165"/>
      <c r="V43" s="166"/>
      <c r="W43" s="159">
        <f t="shared" si="2"/>
        <v>0</v>
      </c>
      <c r="X43" s="154">
        <f t="shared" si="3"/>
        <v>0</v>
      </c>
      <c r="Y43" s="154">
        <f t="shared" si="4"/>
        <v>0</v>
      </c>
    </row>
    <row r="44" spans="1:32" ht="15" thickBot="1" x14ac:dyDescent="0.35">
      <c r="B44" s="1415">
        <v>46284</v>
      </c>
      <c r="C44" s="1416"/>
      <c r="D44" s="13"/>
      <c r="E44" s="13"/>
      <c r="F44" s="569" t="s">
        <v>12</v>
      </c>
      <c r="G44" s="40"/>
      <c r="H44" s="13"/>
      <c r="I44" s="614">
        <f t="shared" ref="I44:I98" si="21">IFERROR(H44/((720-R44)/60),"")</f>
        <v>0</v>
      </c>
      <c r="J44" s="13"/>
      <c r="K44" s="13"/>
      <c r="L44" s="40"/>
      <c r="M44" s="27">
        <f t="shared" si="20"/>
        <v>0</v>
      </c>
      <c r="N44" s="39"/>
      <c r="O44" s="13"/>
      <c r="P44" s="39"/>
      <c r="Q44" s="39"/>
      <c r="R44" s="39"/>
      <c r="S44" s="13"/>
      <c r="T44" s="237"/>
      <c r="U44" s="175"/>
      <c r="V44" s="236"/>
      <c r="W44" s="159">
        <f t="shared" si="2"/>
        <v>0</v>
      </c>
      <c r="X44" s="154">
        <f t="shared" si="3"/>
        <v>0</v>
      </c>
      <c r="Y44" s="154">
        <f t="shared" si="4"/>
        <v>0</v>
      </c>
    </row>
    <row r="45" spans="1:32" ht="15" thickBot="1" x14ac:dyDescent="0.35">
      <c r="B45" s="1419"/>
      <c r="C45" s="1420"/>
      <c r="D45" s="36"/>
      <c r="E45" s="36"/>
      <c r="F45" s="568" t="s">
        <v>13</v>
      </c>
      <c r="G45" s="40"/>
      <c r="H45" s="13"/>
      <c r="I45" s="614">
        <f t="shared" si="21"/>
        <v>0</v>
      </c>
      <c r="J45" s="13"/>
      <c r="K45" s="13"/>
      <c r="L45" s="40"/>
      <c r="M45" s="27">
        <f t="shared" si="20"/>
        <v>0</v>
      </c>
      <c r="N45" s="39"/>
      <c r="O45" s="12"/>
      <c r="P45" s="39">
        <f>'Milling Down Time Hours'!Q26</f>
        <v>13.916666666666666</v>
      </c>
      <c r="Q45" s="39"/>
      <c r="R45" s="39">
        <f>'Milling Down Time Hours'!P26</f>
        <v>605</v>
      </c>
      <c r="S45" s="13"/>
      <c r="T45" s="165"/>
      <c r="U45" s="165"/>
      <c r="V45" s="166"/>
      <c r="W45" s="159">
        <f t="shared" si="2"/>
        <v>0</v>
      </c>
      <c r="X45" s="154">
        <f t="shared" si="3"/>
        <v>0</v>
      </c>
      <c r="Y45" s="154">
        <f t="shared" si="4"/>
        <v>0</v>
      </c>
    </row>
    <row r="46" spans="1:32" ht="15" thickBot="1" x14ac:dyDescent="0.35">
      <c r="B46" s="1415">
        <v>46285</v>
      </c>
      <c r="C46" s="1416"/>
      <c r="D46" s="13"/>
      <c r="E46" s="13"/>
      <c r="F46" s="569" t="s">
        <v>12</v>
      </c>
      <c r="G46" s="6"/>
      <c r="H46" s="6"/>
      <c r="I46" s="614">
        <f t="shared" si="21"/>
        <v>0</v>
      </c>
      <c r="J46" s="6"/>
      <c r="K46" s="13"/>
      <c r="L46" s="13"/>
      <c r="M46" s="27">
        <f t="shared" si="20"/>
        <v>0</v>
      </c>
      <c r="N46" s="39"/>
      <c r="O46" s="13"/>
      <c r="P46" s="39"/>
      <c r="Q46" s="39"/>
      <c r="R46" s="39"/>
      <c r="S46" s="13"/>
      <c r="T46" s="237"/>
      <c r="U46" s="237"/>
      <c r="V46" s="238"/>
      <c r="W46" s="159">
        <f t="shared" si="2"/>
        <v>0</v>
      </c>
      <c r="X46" s="154">
        <f t="shared" si="3"/>
        <v>0</v>
      </c>
      <c r="Y46" s="154">
        <f t="shared" si="4"/>
        <v>0</v>
      </c>
    </row>
    <row r="47" spans="1:32" ht="15" thickBot="1" x14ac:dyDescent="0.35">
      <c r="B47" s="1419"/>
      <c r="C47" s="1420"/>
      <c r="D47" s="36"/>
      <c r="E47" s="36"/>
      <c r="F47" s="568" t="s">
        <v>13</v>
      </c>
      <c r="G47" s="243"/>
      <c r="H47" s="13"/>
      <c r="I47" s="614">
        <f t="shared" si="21"/>
        <v>0</v>
      </c>
      <c r="J47" s="13"/>
      <c r="K47" s="13"/>
      <c r="L47" s="40"/>
      <c r="M47" s="27">
        <f t="shared" si="20"/>
        <v>0</v>
      </c>
      <c r="N47" s="39"/>
      <c r="O47" s="6"/>
      <c r="P47" s="39">
        <f>'Milling Down Time Hours'!Q27</f>
        <v>21.25</v>
      </c>
      <c r="Q47" s="39"/>
      <c r="R47" s="39">
        <f>'Milling Down Time Hours'!P27</f>
        <v>165</v>
      </c>
      <c r="S47" s="13"/>
      <c r="T47" s="1394"/>
      <c r="U47" s="1394"/>
      <c r="V47" s="1389"/>
      <c r="W47" s="159"/>
      <c r="X47" s="154"/>
      <c r="Y47" s="154"/>
    </row>
    <row r="48" spans="1:32" ht="15" thickBot="1" x14ac:dyDescent="0.35">
      <c r="B48" s="1415">
        <v>46286</v>
      </c>
      <c r="C48" s="1416"/>
      <c r="D48" s="13"/>
      <c r="E48" s="13"/>
      <c r="F48" s="569" t="s">
        <v>12</v>
      </c>
      <c r="G48" s="6"/>
      <c r="H48" s="6"/>
      <c r="I48" s="614">
        <f t="shared" si="21"/>
        <v>0</v>
      </c>
      <c r="J48" s="6"/>
      <c r="K48" s="6"/>
      <c r="L48" s="13"/>
      <c r="M48" s="27">
        <f t="shared" si="20"/>
        <v>0</v>
      </c>
      <c r="N48" s="13"/>
      <c r="O48" s="6"/>
      <c r="P48" s="39"/>
      <c r="Q48" s="39"/>
      <c r="R48" s="39"/>
      <c r="S48" s="13"/>
      <c r="T48" s="1398"/>
      <c r="U48" s="1398"/>
      <c r="V48" s="1390"/>
      <c r="W48" s="159"/>
      <c r="X48" s="154"/>
      <c r="Y48" s="154"/>
    </row>
    <row r="49" spans="2:28" ht="15" thickBot="1" x14ac:dyDescent="0.35">
      <c r="B49" s="1419"/>
      <c r="C49" s="1420"/>
      <c r="D49" s="36"/>
      <c r="E49" s="246"/>
      <c r="F49" s="568" t="s">
        <v>13</v>
      </c>
      <c r="G49" s="6"/>
      <c r="H49" s="6"/>
      <c r="I49" s="614">
        <f t="shared" si="21"/>
        <v>0</v>
      </c>
      <c r="J49" s="6"/>
      <c r="K49" s="6"/>
      <c r="L49" s="13"/>
      <c r="M49" s="27">
        <f t="shared" si="20"/>
        <v>0</v>
      </c>
      <c r="N49" s="13"/>
      <c r="O49" s="6"/>
      <c r="P49" s="39">
        <f>'Milling Down Time Hours'!Q55</f>
        <v>0</v>
      </c>
      <c r="Q49" s="39"/>
      <c r="R49" s="39">
        <f>'Milling Down Time Hours'!P55</f>
        <v>0</v>
      </c>
      <c r="S49" s="13"/>
      <c r="T49" s="1394"/>
      <c r="U49" s="1394"/>
      <c r="V49" s="1389"/>
      <c r="W49" s="159"/>
      <c r="X49" s="154"/>
      <c r="Y49" s="154"/>
    </row>
    <row r="50" spans="2:28" ht="15" thickBot="1" x14ac:dyDescent="0.35">
      <c r="B50" s="1415">
        <v>46287</v>
      </c>
      <c r="C50" s="1416"/>
      <c r="D50" s="13"/>
      <c r="E50" s="13"/>
      <c r="F50" s="569" t="s">
        <v>12</v>
      </c>
      <c r="G50" s="6"/>
      <c r="H50" s="6"/>
      <c r="I50" s="614">
        <f t="shared" si="21"/>
        <v>0</v>
      </c>
      <c r="J50" s="6"/>
      <c r="K50" s="6"/>
      <c r="L50" s="13"/>
      <c r="M50" s="27">
        <f t="shared" si="20"/>
        <v>0</v>
      </c>
      <c r="N50" s="13"/>
      <c r="O50" s="6"/>
      <c r="P50" s="39"/>
      <c r="Q50" s="39"/>
      <c r="R50" s="39"/>
      <c r="S50" s="13"/>
      <c r="T50" s="1398"/>
      <c r="U50" s="1398"/>
      <c r="V50" s="1390"/>
      <c r="W50" s="159"/>
      <c r="X50" s="154"/>
      <c r="Y50" s="154"/>
    </row>
    <row r="51" spans="2:28" ht="15" thickBot="1" x14ac:dyDescent="0.35">
      <c r="B51" s="1419"/>
      <c r="C51" s="1420"/>
      <c r="D51" s="36"/>
      <c r="E51" s="246"/>
      <c r="F51" s="568" t="s">
        <v>13</v>
      </c>
      <c r="G51" s="6"/>
      <c r="H51" s="6"/>
      <c r="I51" s="614">
        <f t="shared" si="21"/>
        <v>0</v>
      </c>
      <c r="J51" s="6"/>
      <c r="K51" s="6"/>
      <c r="L51" s="13"/>
      <c r="M51" s="27">
        <f t="shared" si="20"/>
        <v>0</v>
      </c>
      <c r="N51" s="13"/>
      <c r="O51" s="6"/>
      <c r="P51" s="39">
        <f>'Milling Down Time Hours'!Q57</f>
        <v>0</v>
      </c>
      <c r="Q51" s="39"/>
      <c r="R51" s="39">
        <f>'Milling Down Time Hours'!P57</f>
        <v>0</v>
      </c>
      <c r="S51" s="13"/>
      <c r="T51" s="1394"/>
      <c r="U51" s="1394"/>
      <c r="V51" s="1389"/>
      <c r="W51" s="159"/>
      <c r="X51" s="154"/>
      <c r="Y51" s="154"/>
    </row>
    <row r="52" spans="2:28" ht="15" thickBot="1" x14ac:dyDescent="0.35">
      <c r="B52" s="1415">
        <v>46288</v>
      </c>
      <c r="C52" s="1416"/>
      <c r="D52" s="13"/>
      <c r="E52" s="13"/>
      <c r="F52" s="569" t="s">
        <v>12</v>
      </c>
      <c r="G52" s="6"/>
      <c r="H52" s="6"/>
      <c r="I52" s="614">
        <f t="shared" si="21"/>
        <v>0</v>
      </c>
      <c r="J52" s="6"/>
      <c r="K52" s="6"/>
      <c r="L52" s="13"/>
      <c r="M52" s="27">
        <f t="shared" si="20"/>
        <v>0</v>
      </c>
      <c r="N52" s="13"/>
      <c r="O52" s="6"/>
      <c r="P52" s="39"/>
      <c r="Q52" s="39"/>
      <c r="R52" s="39"/>
      <c r="S52" s="13"/>
      <c r="T52" s="1398"/>
      <c r="U52" s="1398"/>
      <c r="V52" s="1390"/>
      <c r="W52" s="159"/>
      <c r="X52" s="154"/>
      <c r="Y52" s="154"/>
    </row>
    <row r="53" spans="2:28" ht="15" thickBot="1" x14ac:dyDescent="0.35">
      <c r="B53" s="1419"/>
      <c r="C53" s="1420"/>
      <c r="D53" s="36"/>
      <c r="E53" s="36"/>
      <c r="F53" s="568" t="s">
        <v>13</v>
      </c>
      <c r="G53" s="6"/>
      <c r="H53" s="6"/>
      <c r="I53" s="614">
        <f t="shared" si="21"/>
        <v>0</v>
      </c>
      <c r="J53" s="6"/>
      <c r="K53" s="6"/>
      <c r="L53" s="13"/>
      <c r="M53" s="27">
        <f t="shared" si="20"/>
        <v>0</v>
      </c>
      <c r="N53" s="13"/>
      <c r="O53" s="6"/>
      <c r="P53" s="39"/>
      <c r="Q53" s="39"/>
      <c r="R53" s="39"/>
      <c r="S53" s="13"/>
      <c r="T53" s="1394"/>
      <c r="U53" s="1394"/>
      <c r="V53" s="1389"/>
      <c r="W53" s="159"/>
      <c r="X53" s="154"/>
      <c r="Y53" s="154"/>
    </row>
    <row r="54" spans="2:28" ht="15" thickBot="1" x14ac:dyDescent="0.35">
      <c r="B54" s="1415">
        <v>46289</v>
      </c>
      <c r="C54" s="1416"/>
      <c r="D54" s="13"/>
      <c r="E54" s="13"/>
      <c r="F54" s="569" t="s">
        <v>12</v>
      </c>
      <c r="G54" s="6"/>
      <c r="H54" s="6"/>
      <c r="I54" s="614">
        <f t="shared" si="21"/>
        <v>0</v>
      </c>
      <c r="J54" s="6"/>
      <c r="K54" s="6"/>
      <c r="L54" s="13"/>
      <c r="M54" s="27">
        <f t="shared" si="20"/>
        <v>0</v>
      </c>
      <c r="N54" s="13"/>
      <c r="O54" s="6"/>
      <c r="P54" s="39"/>
      <c r="Q54" s="39"/>
      <c r="R54" s="39"/>
      <c r="S54" s="13"/>
      <c r="T54" s="1398"/>
      <c r="U54" s="1398"/>
      <c r="V54" s="1390"/>
      <c r="W54" s="159"/>
      <c r="X54" s="154"/>
      <c r="Y54" s="154"/>
      <c r="AB54" s="1">
        <v>9570</v>
      </c>
    </row>
    <row r="55" spans="2:28" ht="15" thickBot="1" x14ac:dyDescent="0.35">
      <c r="B55" s="1419"/>
      <c r="C55" s="1420"/>
      <c r="D55" s="36"/>
      <c r="E55" s="36"/>
      <c r="F55" s="568" t="s">
        <v>13</v>
      </c>
      <c r="G55" s="40"/>
      <c r="H55" s="6"/>
      <c r="I55" s="614">
        <f t="shared" si="21"/>
        <v>0</v>
      </c>
      <c r="J55" s="6"/>
      <c r="K55" s="13"/>
      <c r="L55" s="40"/>
      <c r="M55" s="27">
        <f t="shared" si="20"/>
        <v>0</v>
      </c>
      <c r="N55" s="40"/>
      <c r="O55" s="6"/>
      <c r="P55" s="39">
        <f>'Milling Down Time Hours'!M61</f>
        <v>0</v>
      </c>
      <c r="Q55" s="39"/>
      <c r="R55" s="39">
        <f>'Milling Down Time Hours'!L61</f>
        <v>1</v>
      </c>
      <c r="S55" s="13"/>
      <c r="T55" s="1394"/>
      <c r="U55" s="1394"/>
      <c r="V55" s="1389"/>
      <c r="W55" s="159"/>
      <c r="X55" s="154"/>
      <c r="Y55" s="154"/>
      <c r="AB55" s="1">
        <v>8795</v>
      </c>
    </row>
    <row r="56" spans="2:28" ht="15" thickBot="1" x14ac:dyDescent="0.35">
      <c r="B56" s="1415">
        <v>46290</v>
      </c>
      <c r="C56" s="1416"/>
      <c r="D56" s="13"/>
      <c r="E56" s="13"/>
      <c r="F56" s="569" t="s">
        <v>12</v>
      </c>
      <c r="G56" s="40"/>
      <c r="H56" s="6"/>
      <c r="I56" s="614">
        <f t="shared" si="21"/>
        <v>0</v>
      </c>
      <c r="J56" s="6"/>
      <c r="K56" s="13"/>
      <c r="L56" s="40"/>
      <c r="M56" s="27">
        <f t="shared" si="20"/>
        <v>0</v>
      </c>
      <c r="N56" s="40"/>
      <c r="O56" s="6"/>
      <c r="P56" s="39"/>
      <c r="Q56" s="39"/>
      <c r="R56" s="39"/>
      <c r="S56" s="13"/>
      <c r="T56" s="1398"/>
      <c r="U56" s="1398"/>
      <c r="V56" s="1390"/>
      <c r="W56" s="159"/>
      <c r="X56" s="154"/>
      <c r="Y56" s="154"/>
      <c r="AB56" s="1">
        <f>(AB54-AB55)/AB54</f>
        <v>8.0982236154649945E-2</v>
      </c>
    </row>
    <row r="57" spans="2:28" ht="15" thickBot="1" x14ac:dyDescent="0.35">
      <c r="B57" s="1419"/>
      <c r="C57" s="1420"/>
      <c r="D57" s="36"/>
      <c r="E57" s="36"/>
      <c r="F57" s="568" t="s">
        <v>13</v>
      </c>
      <c r="G57" s="40"/>
      <c r="H57" s="6"/>
      <c r="I57" s="614">
        <f t="shared" si="21"/>
        <v>0</v>
      </c>
      <c r="J57" s="6"/>
      <c r="K57" s="6"/>
      <c r="L57" s="40"/>
      <c r="M57" s="27">
        <f t="shared" si="20"/>
        <v>0</v>
      </c>
      <c r="N57" s="40"/>
      <c r="O57" s="6"/>
      <c r="P57" s="39">
        <f>'Milling Down Time Hours'!M63</f>
        <v>0</v>
      </c>
      <c r="Q57" s="39"/>
      <c r="R57" s="39">
        <f>'Milling Down Time Hours'!L63</f>
        <v>0</v>
      </c>
      <c r="S57" s="13"/>
      <c r="T57" s="1394"/>
      <c r="U57" s="1394"/>
      <c r="V57" s="1389"/>
      <c r="W57" s="159"/>
      <c r="X57" s="154"/>
      <c r="Y57" s="154"/>
    </row>
    <row r="58" spans="2:28" ht="15" thickBot="1" x14ac:dyDescent="0.35">
      <c r="B58" s="1415">
        <v>46291</v>
      </c>
      <c r="C58" s="1416"/>
      <c r="D58" s="13"/>
      <c r="E58" s="13"/>
      <c r="F58" s="569" t="s">
        <v>12</v>
      </c>
      <c r="G58" s="6"/>
      <c r="H58" s="6"/>
      <c r="I58" s="614">
        <f t="shared" si="21"/>
        <v>0</v>
      </c>
      <c r="J58" s="6"/>
      <c r="K58" s="6"/>
      <c r="L58" s="13"/>
      <c r="M58" s="27">
        <f t="shared" si="20"/>
        <v>0</v>
      </c>
      <c r="N58" s="13"/>
      <c r="O58" s="6"/>
      <c r="P58" s="39"/>
      <c r="Q58" s="39"/>
      <c r="R58" s="39"/>
      <c r="S58" s="13"/>
      <c r="T58" s="1398"/>
      <c r="U58" s="1398"/>
      <c r="V58" s="1390"/>
      <c r="W58" s="159"/>
      <c r="X58" s="154"/>
      <c r="Y58" s="154"/>
    </row>
    <row r="59" spans="2:28" ht="15" thickBot="1" x14ac:dyDescent="0.35">
      <c r="B59" s="1419"/>
      <c r="C59" s="1420"/>
      <c r="D59" s="36"/>
      <c r="E59" s="36"/>
      <c r="F59" s="568" t="s">
        <v>13</v>
      </c>
      <c r="G59" s="6"/>
      <c r="H59" s="6"/>
      <c r="I59" s="614">
        <f t="shared" si="21"/>
        <v>0</v>
      </c>
      <c r="J59" s="6"/>
      <c r="K59" s="6"/>
      <c r="L59" s="13"/>
      <c r="M59" s="27">
        <f t="shared" si="20"/>
        <v>0</v>
      </c>
      <c r="N59" s="13"/>
      <c r="O59" s="6"/>
      <c r="P59" s="39">
        <f>'Milling Down Time Hours'!M65</f>
        <v>0</v>
      </c>
      <c r="Q59" s="39"/>
      <c r="R59" s="39">
        <f>'Milling Down Time Hours'!L65</f>
        <v>0</v>
      </c>
      <c r="S59" s="13"/>
      <c r="T59" s="1394"/>
      <c r="U59" s="1394"/>
      <c r="V59" s="1389"/>
      <c r="W59" s="159"/>
      <c r="X59" s="154"/>
      <c r="Y59" s="154"/>
    </row>
    <row r="60" spans="2:28" ht="15" thickBot="1" x14ac:dyDescent="0.35">
      <c r="B60" s="1415">
        <v>46292</v>
      </c>
      <c r="C60" s="1416"/>
      <c r="D60" s="13"/>
      <c r="E60" s="13"/>
      <c r="F60" s="569" t="s">
        <v>12</v>
      </c>
      <c r="G60" s="6"/>
      <c r="H60" s="6"/>
      <c r="I60" s="614">
        <f t="shared" si="21"/>
        <v>0</v>
      </c>
      <c r="J60" s="6"/>
      <c r="K60" s="6"/>
      <c r="L60" s="13"/>
      <c r="M60" s="27">
        <f t="shared" si="20"/>
        <v>0</v>
      </c>
      <c r="N60" s="13"/>
      <c r="O60" s="6"/>
      <c r="P60" s="39"/>
      <c r="Q60" s="39"/>
      <c r="R60" s="39"/>
      <c r="S60" s="13"/>
      <c r="T60" s="1398"/>
      <c r="U60" s="1398"/>
      <c r="V60" s="1390"/>
      <c r="W60" s="159"/>
      <c r="X60" s="154"/>
      <c r="Y60" s="154"/>
    </row>
    <row r="61" spans="2:28" ht="15" thickBot="1" x14ac:dyDescent="0.35">
      <c r="B61" s="1419"/>
      <c r="C61" s="1420"/>
      <c r="D61" s="36"/>
      <c r="E61" s="36"/>
      <c r="F61" s="568" t="s">
        <v>13</v>
      </c>
      <c r="G61" s="6"/>
      <c r="H61" s="6"/>
      <c r="I61" s="614">
        <f t="shared" si="21"/>
        <v>0</v>
      </c>
      <c r="J61" s="6"/>
      <c r="K61" s="6"/>
      <c r="L61" s="13"/>
      <c r="M61" s="27">
        <f t="shared" si="20"/>
        <v>0</v>
      </c>
      <c r="N61" s="13"/>
      <c r="O61" s="6"/>
      <c r="P61" s="39">
        <f>'Milling Down Time Hours'!M67</f>
        <v>0</v>
      </c>
      <c r="Q61" s="39"/>
      <c r="R61" s="39">
        <f>'Milling Down Time Hours'!L67</f>
        <v>0</v>
      </c>
      <c r="S61" s="13"/>
      <c r="T61" s="1394"/>
      <c r="U61" s="1394"/>
      <c r="V61" s="1389"/>
      <c r="W61" s="159"/>
      <c r="X61" s="154"/>
      <c r="Y61" s="154"/>
    </row>
    <row r="62" spans="2:28" ht="15" thickBot="1" x14ac:dyDescent="0.35">
      <c r="B62" s="1415">
        <v>46293</v>
      </c>
      <c r="C62" s="1416"/>
      <c r="D62" s="13"/>
      <c r="E62" s="13"/>
      <c r="F62" s="569" t="s">
        <v>12</v>
      </c>
      <c r="G62" s="6"/>
      <c r="H62" s="6"/>
      <c r="I62" s="614">
        <f t="shared" si="21"/>
        <v>0</v>
      </c>
      <c r="J62" s="6"/>
      <c r="K62" s="6"/>
      <c r="L62" s="13"/>
      <c r="M62" s="27">
        <f t="shared" si="20"/>
        <v>0</v>
      </c>
      <c r="N62" s="13"/>
      <c r="O62" s="6"/>
      <c r="P62" s="39"/>
      <c r="Q62" s="39"/>
      <c r="R62" s="39"/>
      <c r="S62" s="13"/>
      <c r="T62" s="1398"/>
      <c r="U62" s="1398"/>
      <c r="V62" s="1390"/>
      <c r="W62" s="159"/>
      <c r="X62" s="154"/>
      <c r="Y62" s="154"/>
    </row>
    <row r="63" spans="2:28" ht="15" thickBot="1" x14ac:dyDescent="0.35">
      <c r="B63" s="1419"/>
      <c r="C63" s="1420"/>
      <c r="D63" s="36"/>
      <c r="E63" s="36"/>
      <c r="F63" s="568" t="s">
        <v>13</v>
      </c>
      <c r="G63" s="6"/>
      <c r="H63" s="6"/>
      <c r="I63" s="614">
        <f t="shared" si="21"/>
        <v>0</v>
      </c>
      <c r="J63" s="6"/>
      <c r="K63" s="6"/>
      <c r="L63" s="40"/>
      <c r="M63" s="27">
        <f t="shared" si="20"/>
        <v>0</v>
      </c>
      <c r="N63" s="40"/>
      <c r="O63" s="6"/>
      <c r="P63" s="39">
        <f>'Milling Down Time Hours'!Q35</f>
        <v>0</v>
      </c>
      <c r="Q63" s="39"/>
      <c r="R63" s="39">
        <f>'Milling Down Time Hours'!L69</f>
        <v>0</v>
      </c>
      <c r="S63" s="13"/>
      <c r="T63" s="1424"/>
      <c r="U63" s="1424"/>
      <c r="V63" s="1426"/>
      <c r="W63" s="159">
        <f t="shared" ref="W63:W98" si="22">T63*M63</f>
        <v>0</v>
      </c>
      <c r="X63" s="154">
        <f t="shared" ref="X63:X98" si="23">M63*U63</f>
        <v>0</v>
      </c>
      <c r="Y63" s="154">
        <f t="shared" ref="Y63:Y98" si="24">M63*V63</f>
        <v>0</v>
      </c>
    </row>
    <row r="64" spans="2:28" ht="15" thickBot="1" x14ac:dyDescent="0.35">
      <c r="B64" s="1415">
        <v>46294</v>
      </c>
      <c r="C64" s="1416"/>
      <c r="D64" s="13"/>
      <c r="E64" s="13"/>
      <c r="F64" s="569" t="s">
        <v>12</v>
      </c>
      <c r="G64" s="6"/>
      <c r="H64" s="6"/>
      <c r="I64" s="614">
        <f t="shared" si="21"/>
        <v>0</v>
      </c>
      <c r="J64" s="6"/>
      <c r="K64" s="6"/>
      <c r="L64" s="13"/>
      <c r="M64" s="27">
        <f t="shared" si="20"/>
        <v>0</v>
      </c>
      <c r="N64" s="13"/>
      <c r="O64" s="6"/>
      <c r="P64" s="39"/>
      <c r="Q64" s="39"/>
      <c r="R64" s="39"/>
      <c r="S64" s="13"/>
      <c r="T64" s="1425"/>
      <c r="U64" s="1425"/>
      <c r="V64" s="1427"/>
      <c r="W64" s="159">
        <f t="shared" si="22"/>
        <v>0</v>
      </c>
      <c r="X64" s="154">
        <f t="shared" si="23"/>
        <v>0</v>
      </c>
      <c r="Y64" s="154">
        <f t="shared" si="24"/>
        <v>0</v>
      </c>
    </row>
    <row r="65" spans="2:30" ht="15" thickBot="1" x14ac:dyDescent="0.35">
      <c r="B65" s="1419"/>
      <c r="C65" s="1420"/>
      <c r="D65" s="36"/>
      <c r="E65" s="36"/>
      <c r="F65" s="568" t="s">
        <v>13</v>
      </c>
      <c r="G65" s="6"/>
      <c r="H65" s="6"/>
      <c r="I65" s="614">
        <f t="shared" si="21"/>
        <v>0</v>
      </c>
      <c r="J65" s="6"/>
      <c r="K65" s="6"/>
      <c r="L65" s="13"/>
      <c r="M65" s="27">
        <f t="shared" si="20"/>
        <v>0</v>
      </c>
      <c r="N65" s="13"/>
      <c r="O65" s="6"/>
      <c r="P65" s="39">
        <f>'Milling Down Time Hours'!Q36</f>
        <v>0</v>
      </c>
      <c r="Q65" s="39"/>
      <c r="R65" s="39">
        <f>'Milling Down Time Hours'!L71</f>
        <v>0</v>
      </c>
      <c r="S65" s="13"/>
      <c r="T65" s="1424"/>
      <c r="U65" s="1424"/>
      <c r="V65" s="1596"/>
      <c r="W65" s="159">
        <f t="shared" si="22"/>
        <v>0</v>
      </c>
      <c r="X65" s="154">
        <f t="shared" si="23"/>
        <v>0</v>
      </c>
      <c r="Y65" s="154">
        <f t="shared" si="24"/>
        <v>0</v>
      </c>
    </row>
    <row r="66" spans="2:30" ht="15" thickBot="1" x14ac:dyDescent="0.35">
      <c r="B66" s="1415">
        <v>46295</v>
      </c>
      <c r="C66" s="1416"/>
      <c r="D66" s="13"/>
      <c r="E66" s="13"/>
      <c r="F66" s="569" t="s">
        <v>12</v>
      </c>
      <c r="G66" s="6"/>
      <c r="H66" s="6"/>
      <c r="I66" s="614">
        <f t="shared" si="21"/>
        <v>0</v>
      </c>
      <c r="J66" s="6"/>
      <c r="K66" s="6"/>
      <c r="L66" s="13"/>
      <c r="M66" s="27">
        <f t="shared" si="20"/>
        <v>0</v>
      </c>
      <c r="N66" s="13"/>
      <c r="O66" s="6"/>
      <c r="P66" s="39"/>
      <c r="Q66" s="39"/>
      <c r="R66" s="39"/>
      <c r="S66" s="13"/>
      <c r="T66" s="1425"/>
      <c r="U66" s="1425"/>
      <c r="V66" s="1597"/>
      <c r="W66" s="159">
        <f t="shared" si="22"/>
        <v>0</v>
      </c>
      <c r="X66" s="154">
        <f t="shared" si="23"/>
        <v>0</v>
      </c>
      <c r="Y66" s="154">
        <f t="shared" si="24"/>
        <v>0</v>
      </c>
    </row>
    <row r="67" spans="2:30" ht="15" thickBot="1" x14ac:dyDescent="0.35">
      <c r="B67" s="1419"/>
      <c r="C67" s="1420"/>
      <c r="D67" s="36"/>
      <c r="E67" s="36"/>
      <c r="F67" s="568" t="s">
        <v>13</v>
      </c>
      <c r="G67" s="6"/>
      <c r="H67" s="6"/>
      <c r="I67" s="614">
        <f t="shared" si="21"/>
        <v>0</v>
      </c>
      <c r="J67" s="6"/>
      <c r="K67" s="6"/>
      <c r="L67" s="13"/>
      <c r="M67" s="27">
        <f t="shared" si="20"/>
        <v>0</v>
      </c>
      <c r="N67" s="13"/>
      <c r="O67" s="6"/>
      <c r="P67" s="419"/>
      <c r="Q67" s="419"/>
      <c r="R67" s="39">
        <f>'Milling Down Time Hours'!L73</f>
        <v>0</v>
      </c>
      <c r="S67" s="13"/>
      <c r="T67" s="1424"/>
      <c r="U67" s="1424"/>
      <c r="V67" s="1596"/>
      <c r="W67" s="159">
        <f t="shared" si="22"/>
        <v>0</v>
      </c>
      <c r="X67" s="154">
        <f t="shared" si="23"/>
        <v>0</v>
      </c>
      <c r="Y67" s="154">
        <f t="shared" si="24"/>
        <v>0</v>
      </c>
    </row>
    <row r="68" spans="2:30" ht="15" thickBot="1" x14ac:dyDescent="0.35">
      <c r="B68" s="1415">
        <v>46296</v>
      </c>
      <c r="C68" s="1416"/>
      <c r="D68" s="13"/>
      <c r="E68" s="13"/>
      <c r="F68" s="569" t="s">
        <v>12</v>
      </c>
      <c r="G68" s="6"/>
      <c r="H68" s="6"/>
      <c r="I68" s="614">
        <f t="shared" si="21"/>
        <v>0</v>
      </c>
      <c r="J68" s="6"/>
      <c r="K68" s="6"/>
      <c r="L68" s="13"/>
      <c r="M68" s="27">
        <f t="shared" si="20"/>
        <v>0</v>
      </c>
      <c r="N68" s="13"/>
      <c r="O68" s="6"/>
      <c r="P68" s="419"/>
      <c r="Q68" s="419"/>
      <c r="R68" s="39"/>
      <c r="S68" s="13"/>
      <c r="T68" s="1425"/>
      <c r="U68" s="1425"/>
      <c r="V68" s="1597"/>
      <c r="W68" s="159">
        <f t="shared" si="22"/>
        <v>0</v>
      </c>
      <c r="X68" s="154">
        <f t="shared" si="23"/>
        <v>0</v>
      </c>
      <c r="Y68" s="154">
        <f t="shared" si="24"/>
        <v>0</v>
      </c>
    </row>
    <row r="69" spans="2:30" ht="15" thickBot="1" x14ac:dyDescent="0.35">
      <c r="B69" s="1419"/>
      <c r="C69" s="1420"/>
      <c r="D69" s="36"/>
      <c r="E69" s="36"/>
      <c r="F69" s="568" t="s">
        <v>13</v>
      </c>
      <c r="G69" s="6"/>
      <c r="H69" s="6"/>
      <c r="I69" s="614">
        <f t="shared" si="21"/>
        <v>0</v>
      </c>
      <c r="J69" s="6"/>
      <c r="K69" s="6"/>
      <c r="L69" s="13"/>
      <c r="M69" s="27">
        <f t="shared" si="20"/>
        <v>0</v>
      </c>
      <c r="N69" s="13"/>
      <c r="O69" s="6"/>
      <c r="P69" s="39">
        <f>'Milling Down Time Hours'!Q38</f>
        <v>0</v>
      </c>
      <c r="Q69" s="39"/>
      <c r="R69" s="39">
        <f>'Milling Down Time Hours'!L75</f>
        <v>0</v>
      </c>
      <c r="S69" s="13"/>
      <c r="T69" s="1424"/>
      <c r="U69" s="1424"/>
      <c r="V69" s="1426"/>
      <c r="W69" s="159">
        <f t="shared" si="22"/>
        <v>0</v>
      </c>
      <c r="X69" s="154">
        <f t="shared" si="23"/>
        <v>0</v>
      </c>
      <c r="Y69" s="154">
        <f t="shared" si="24"/>
        <v>0</v>
      </c>
    </row>
    <row r="70" spans="2:30" ht="15" thickBot="1" x14ac:dyDescent="0.35">
      <c r="B70" s="1415">
        <v>46297</v>
      </c>
      <c r="C70" s="1416"/>
      <c r="D70" s="13"/>
      <c r="E70" s="13"/>
      <c r="F70" s="569" t="s">
        <v>12</v>
      </c>
      <c r="G70" s="6"/>
      <c r="H70" s="6"/>
      <c r="I70" s="614">
        <f t="shared" si="21"/>
        <v>0</v>
      </c>
      <c r="J70" s="6"/>
      <c r="K70" s="6"/>
      <c r="L70" s="13"/>
      <c r="M70" s="27">
        <f t="shared" si="20"/>
        <v>0</v>
      </c>
      <c r="N70" s="13"/>
      <c r="O70" s="6"/>
      <c r="P70" s="39"/>
      <c r="Q70" s="39"/>
      <c r="R70" s="39"/>
      <c r="S70" s="13"/>
      <c r="T70" s="1425"/>
      <c r="U70" s="1425"/>
      <c r="V70" s="1427"/>
      <c r="W70" s="159">
        <f t="shared" si="22"/>
        <v>0</v>
      </c>
      <c r="X70" s="154">
        <f t="shared" si="23"/>
        <v>0</v>
      </c>
      <c r="Y70" s="154">
        <f t="shared" si="24"/>
        <v>0</v>
      </c>
    </row>
    <row r="71" spans="2:30" ht="15" thickBot="1" x14ac:dyDescent="0.35">
      <c r="B71" s="1419"/>
      <c r="C71" s="1420"/>
      <c r="D71" s="36"/>
      <c r="E71" s="36"/>
      <c r="F71" s="568" t="s">
        <v>13</v>
      </c>
      <c r="G71" s="40"/>
      <c r="H71" s="6"/>
      <c r="I71" s="614">
        <f t="shared" si="21"/>
        <v>0</v>
      </c>
      <c r="J71" s="6"/>
      <c r="K71" s="13"/>
      <c r="L71" s="40"/>
      <c r="M71" s="27">
        <f t="shared" si="20"/>
        <v>0</v>
      </c>
      <c r="N71" s="40"/>
      <c r="O71" s="6"/>
      <c r="P71" s="39">
        <f>'Milling Down Time Hours'!Q39</f>
        <v>0</v>
      </c>
      <c r="Q71" s="39"/>
      <c r="R71" s="39">
        <f>'Milling Down Time Hours'!L77</f>
        <v>0</v>
      </c>
      <c r="S71" s="13"/>
      <c r="T71" s="1424"/>
      <c r="U71" s="1424"/>
      <c r="V71" s="1426"/>
      <c r="W71" s="159">
        <f t="shared" si="22"/>
        <v>0</v>
      </c>
      <c r="X71" s="154">
        <f t="shared" si="23"/>
        <v>0</v>
      </c>
      <c r="Y71" s="154">
        <f t="shared" si="24"/>
        <v>0</v>
      </c>
    </row>
    <row r="72" spans="2:30" ht="15" thickBot="1" x14ac:dyDescent="0.35">
      <c r="B72" s="1415">
        <v>46298</v>
      </c>
      <c r="C72" s="1416"/>
      <c r="D72" s="13"/>
      <c r="E72" s="13"/>
      <c r="F72" s="569" t="s">
        <v>12</v>
      </c>
      <c r="G72" s="13"/>
      <c r="H72" s="6"/>
      <c r="I72" s="614">
        <f t="shared" si="21"/>
        <v>0</v>
      </c>
      <c r="J72" s="6"/>
      <c r="K72" s="13"/>
      <c r="L72" s="13"/>
      <c r="M72" s="27">
        <f t="shared" si="20"/>
        <v>0</v>
      </c>
      <c r="N72" s="13"/>
      <c r="O72" s="6"/>
      <c r="P72" s="39"/>
      <c r="Q72" s="39"/>
      <c r="R72" s="39"/>
      <c r="S72" s="13"/>
      <c r="T72" s="1425"/>
      <c r="U72" s="1425"/>
      <c r="V72" s="1427"/>
      <c r="W72" s="159">
        <f t="shared" si="22"/>
        <v>0</v>
      </c>
      <c r="X72" s="154">
        <f t="shared" si="23"/>
        <v>0</v>
      </c>
      <c r="Y72" s="154">
        <f t="shared" si="24"/>
        <v>0</v>
      </c>
    </row>
    <row r="73" spans="2:30" ht="15" thickBot="1" x14ac:dyDescent="0.35">
      <c r="B73" s="1419"/>
      <c r="C73" s="1420"/>
      <c r="D73" s="36"/>
      <c r="E73" s="36"/>
      <c r="F73" s="568" t="s">
        <v>13</v>
      </c>
      <c r="G73" s="40"/>
      <c r="H73" s="6"/>
      <c r="I73" s="614">
        <f t="shared" si="21"/>
        <v>0</v>
      </c>
      <c r="J73" s="6"/>
      <c r="K73" s="13"/>
      <c r="L73" s="40"/>
      <c r="M73" s="27">
        <f t="shared" ref="M73:M98" si="25">H73*K73*G73</f>
        <v>0</v>
      </c>
      <c r="N73" s="40"/>
      <c r="O73" s="6"/>
      <c r="P73" s="39">
        <f>'Milling Down Time Hours'!Q40</f>
        <v>0</v>
      </c>
      <c r="Q73" s="39"/>
      <c r="R73" s="39">
        <f>'Milling Down Time Hours'!L79</f>
        <v>0</v>
      </c>
      <c r="S73" s="13"/>
      <c r="T73" s="1424"/>
      <c r="U73" s="1424"/>
      <c r="V73" s="1426"/>
      <c r="W73" s="159">
        <f t="shared" si="22"/>
        <v>0</v>
      </c>
      <c r="X73" s="154">
        <f t="shared" si="23"/>
        <v>0</v>
      </c>
      <c r="Y73" s="154">
        <f t="shared" si="24"/>
        <v>0</v>
      </c>
    </row>
    <row r="74" spans="2:30" ht="15" thickBot="1" x14ac:dyDescent="0.35">
      <c r="B74" s="1415">
        <v>46299</v>
      </c>
      <c r="C74" s="1416"/>
      <c r="D74" s="13"/>
      <c r="E74" s="13"/>
      <c r="F74" s="569" t="s">
        <v>12</v>
      </c>
      <c r="G74" s="13"/>
      <c r="H74" s="6"/>
      <c r="I74" s="614">
        <f t="shared" si="21"/>
        <v>0</v>
      </c>
      <c r="J74" s="6"/>
      <c r="K74" s="13"/>
      <c r="L74" s="13"/>
      <c r="M74" s="27">
        <f t="shared" si="25"/>
        <v>0</v>
      </c>
      <c r="N74" s="13"/>
      <c r="O74" s="6"/>
      <c r="P74" s="39"/>
      <c r="Q74" s="39"/>
      <c r="R74" s="39"/>
      <c r="S74" s="13"/>
      <c r="T74" s="1425"/>
      <c r="U74" s="1425"/>
      <c r="V74" s="1427"/>
      <c r="W74" s="159">
        <f t="shared" si="22"/>
        <v>0</v>
      </c>
      <c r="X74" s="154">
        <f t="shared" si="23"/>
        <v>0</v>
      </c>
      <c r="Y74" s="154">
        <f t="shared" si="24"/>
        <v>0</v>
      </c>
      <c r="AD74" s="1">
        <v>0.41899999999999998</v>
      </c>
    </row>
    <row r="75" spans="2:30" ht="15" thickBot="1" x14ac:dyDescent="0.35">
      <c r="B75" s="1419"/>
      <c r="C75" s="1420"/>
      <c r="D75" s="36"/>
      <c r="E75" s="36"/>
      <c r="F75" s="568" t="s">
        <v>13</v>
      </c>
      <c r="G75" s="13"/>
      <c r="H75" s="6"/>
      <c r="I75" s="614">
        <f t="shared" si="21"/>
        <v>0</v>
      </c>
      <c r="J75" s="6"/>
      <c r="K75" s="13"/>
      <c r="L75" s="13"/>
      <c r="M75" s="27">
        <f t="shared" si="25"/>
        <v>0</v>
      </c>
      <c r="N75" s="13"/>
      <c r="O75" s="6"/>
      <c r="P75" s="39">
        <f>'Milling Down Time Hours'!Q41</f>
        <v>0</v>
      </c>
      <c r="Q75" s="39"/>
      <c r="R75" s="39">
        <f>'Milling Down Time Hours'!L81</f>
        <v>0</v>
      </c>
      <c r="S75" s="13"/>
      <c r="T75" s="1394"/>
      <c r="U75" s="1394"/>
      <c r="V75" s="1389"/>
      <c r="W75" s="159">
        <f t="shared" si="22"/>
        <v>0</v>
      </c>
      <c r="X75" s="154">
        <f t="shared" si="23"/>
        <v>0</v>
      </c>
      <c r="Y75" s="154">
        <f t="shared" si="24"/>
        <v>0</v>
      </c>
      <c r="AD75" s="1">
        <v>0.41299999999999998</v>
      </c>
    </row>
    <row r="76" spans="2:30" ht="15" thickBot="1" x14ac:dyDescent="0.35">
      <c r="B76" s="1415">
        <v>46300</v>
      </c>
      <c r="C76" s="1416"/>
      <c r="D76" s="13"/>
      <c r="E76" s="13"/>
      <c r="F76" s="569" t="s">
        <v>12</v>
      </c>
      <c r="G76" s="13"/>
      <c r="H76" s="6"/>
      <c r="I76" s="614">
        <f t="shared" si="21"/>
        <v>0</v>
      </c>
      <c r="J76" s="6"/>
      <c r="K76" s="13"/>
      <c r="L76" s="13"/>
      <c r="M76" s="27">
        <f t="shared" si="25"/>
        <v>0</v>
      </c>
      <c r="N76" s="13"/>
      <c r="O76" s="6"/>
      <c r="P76" s="39"/>
      <c r="Q76" s="39"/>
      <c r="R76" s="39"/>
      <c r="S76" s="13"/>
      <c r="T76" s="1398"/>
      <c r="U76" s="1398"/>
      <c r="V76" s="1390"/>
      <c r="W76" s="159">
        <f t="shared" si="22"/>
        <v>0</v>
      </c>
      <c r="X76" s="154">
        <f t="shared" si="23"/>
        <v>0</v>
      </c>
      <c r="Y76" s="154">
        <f t="shared" si="24"/>
        <v>0</v>
      </c>
      <c r="AD76" s="1">
        <v>0.40400000000000003</v>
      </c>
    </row>
    <row r="77" spans="2:30" ht="15" thickBot="1" x14ac:dyDescent="0.35">
      <c r="B77" s="1419"/>
      <c r="C77" s="1420"/>
      <c r="D77" s="36"/>
      <c r="E77" s="36"/>
      <c r="F77" s="568" t="s">
        <v>13</v>
      </c>
      <c r="G77" s="40"/>
      <c r="H77" s="6"/>
      <c r="I77" s="614">
        <f t="shared" si="21"/>
        <v>0</v>
      </c>
      <c r="J77" s="6"/>
      <c r="K77" s="13"/>
      <c r="L77" s="40"/>
      <c r="M77" s="27">
        <f t="shared" si="25"/>
        <v>0</v>
      </c>
      <c r="N77" s="40"/>
      <c r="O77" s="6"/>
      <c r="P77" s="39">
        <f>'Milling Down Time Hours'!Q42</f>
        <v>0</v>
      </c>
      <c r="Q77" s="39"/>
      <c r="R77" s="39">
        <f>'Milling Down Time Hours'!L83</f>
        <v>0</v>
      </c>
      <c r="S77" s="13"/>
      <c r="T77" s="1424"/>
      <c r="U77" s="1424"/>
      <c r="V77" s="1426"/>
      <c r="W77" s="159">
        <f t="shared" si="22"/>
        <v>0</v>
      </c>
      <c r="X77" s="154">
        <f t="shared" si="23"/>
        <v>0</v>
      </c>
      <c r="Y77" s="154">
        <f t="shared" si="24"/>
        <v>0</v>
      </c>
      <c r="AD77" s="1">
        <v>0.47</v>
      </c>
    </row>
    <row r="78" spans="2:30" ht="15" thickBot="1" x14ac:dyDescent="0.35">
      <c r="B78" s="1415">
        <v>46301</v>
      </c>
      <c r="C78" s="1416"/>
      <c r="D78" s="13"/>
      <c r="E78" s="13"/>
      <c r="F78" s="569" t="s">
        <v>12</v>
      </c>
      <c r="G78" s="13"/>
      <c r="H78" s="6"/>
      <c r="I78" s="614">
        <f t="shared" si="21"/>
        <v>0</v>
      </c>
      <c r="J78" s="6"/>
      <c r="K78" s="6"/>
      <c r="L78" s="13"/>
      <c r="M78" s="27">
        <f t="shared" si="25"/>
        <v>0</v>
      </c>
      <c r="N78" s="13"/>
      <c r="O78" s="6"/>
      <c r="P78" s="39"/>
      <c r="Q78" s="39"/>
      <c r="R78" s="39"/>
      <c r="S78" s="13"/>
      <c r="T78" s="1425"/>
      <c r="U78" s="1425"/>
      <c r="V78" s="1427"/>
      <c r="W78" s="159">
        <f t="shared" si="22"/>
        <v>0</v>
      </c>
      <c r="X78" s="154">
        <f t="shared" si="23"/>
        <v>0</v>
      </c>
      <c r="Y78" s="154">
        <f t="shared" si="24"/>
        <v>0</v>
      </c>
      <c r="AD78" s="1">
        <v>0.46500000000000002</v>
      </c>
    </row>
    <row r="79" spans="2:30" ht="14.55" hidden="1" customHeight="1" thickBot="1" x14ac:dyDescent="0.35">
      <c r="B79" s="1417"/>
      <c r="C79" s="1418"/>
      <c r="D79" s="36"/>
      <c r="E79" s="36"/>
      <c r="F79" s="568" t="s">
        <v>13</v>
      </c>
      <c r="G79" s="40"/>
      <c r="H79" s="6"/>
      <c r="I79" s="614">
        <f t="shared" si="21"/>
        <v>0</v>
      </c>
      <c r="J79" s="6"/>
      <c r="K79" s="13"/>
      <c r="L79" s="13"/>
      <c r="M79" s="27">
        <f t="shared" si="25"/>
        <v>0</v>
      </c>
      <c r="N79" s="13"/>
      <c r="O79" s="6"/>
      <c r="P79" s="1598">
        <f>'Milling Down Time Hours'!Q43</f>
        <v>0</v>
      </c>
      <c r="Q79" s="39"/>
      <c r="R79" s="1598">
        <f>'Milling Down Time Hours'!L85</f>
        <v>0</v>
      </c>
      <c r="S79" s="13"/>
      <c r="T79" s="1424">
        <v>0.35699999999999998</v>
      </c>
      <c r="U79" s="1424">
        <v>1.056</v>
      </c>
      <c r="V79" s="1426">
        <v>32.25</v>
      </c>
      <c r="W79" s="159">
        <f t="shared" si="22"/>
        <v>0</v>
      </c>
      <c r="X79" s="154">
        <f t="shared" si="23"/>
        <v>0</v>
      </c>
      <c r="Y79" s="154">
        <f t="shared" si="24"/>
        <v>0</v>
      </c>
      <c r="AD79" s="1">
        <v>0.51600000000000001</v>
      </c>
    </row>
    <row r="80" spans="2:30" ht="15" hidden="1" customHeight="1" thickBot="1" x14ac:dyDescent="0.35">
      <c r="B80" s="1417"/>
      <c r="C80" s="1418"/>
      <c r="D80" s="13"/>
      <c r="E80" s="13"/>
      <c r="F80" s="569" t="s">
        <v>12</v>
      </c>
      <c r="G80" s="6"/>
      <c r="H80" s="6"/>
      <c r="I80" s="614">
        <f t="shared" si="21"/>
        <v>0</v>
      </c>
      <c r="J80" s="6"/>
      <c r="K80" s="6"/>
      <c r="L80" s="13"/>
      <c r="M80" s="27">
        <f t="shared" si="25"/>
        <v>0</v>
      </c>
      <c r="N80" s="13"/>
      <c r="O80" s="6"/>
      <c r="P80" s="1598"/>
      <c r="Q80" s="39"/>
      <c r="R80" s="1598"/>
      <c r="S80" s="13"/>
      <c r="T80" s="1425"/>
      <c r="U80" s="1425"/>
      <c r="V80" s="1427"/>
      <c r="W80" s="159">
        <f t="shared" si="22"/>
        <v>0</v>
      </c>
      <c r="X80" s="154">
        <f t="shared" si="23"/>
        <v>0</v>
      </c>
      <c r="Y80" s="154">
        <f t="shared" si="24"/>
        <v>0</v>
      </c>
      <c r="AD80" s="117">
        <f>AVERAGE(AD74:AD79)</f>
        <v>0.44783333333333331</v>
      </c>
    </row>
    <row r="81" spans="2:25" ht="14.55" hidden="1" customHeight="1" thickBot="1" x14ac:dyDescent="0.35">
      <c r="B81" s="1417"/>
      <c r="C81" s="1418"/>
      <c r="D81" s="36"/>
      <c r="E81" s="36"/>
      <c r="F81" s="568" t="s">
        <v>13</v>
      </c>
      <c r="G81" s="6"/>
      <c r="H81" s="6"/>
      <c r="I81" s="614">
        <f t="shared" si="21"/>
        <v>0</v>
      </c>
      <c r="J81" s="6"/>
      <c r="K81" s="6"/>
      <c r="L81" s="13"/>
      <c r="M81" s="27">
        <f t="shared" si="25"/>
        <v>0</v>
      </c>
      <c r="N81" s="13"/>
      <c r="O81" s="6"/>
      <c r="P81" s="1598">
        <f>'Milling Down Time Hours'!M87</f>
        <v>0</v>
      </c>
      <c r="Q81" s="39"/>
      <c r="R81" s="1598">
        <f>'Milling Down Time Hours'!L87</f>
        <v>0</v>
      </c>
      <c r="S81" s="13"/>
      <c r="T81" s="1394" t="e">
        <f>SUM(#REF!)</f>
        <v>#REF!</v>
      </c>
      <c r="U81" s="1394" t="e">
        <f t="shared" ref="U81" si="26">SUM(T81:T83)</f>
        <v>#REF!</v>
      </c>
      <c r="V81" s="1389" t="e">
        <f t="shared" ref="V81" si="27">SUM(U81:U83)</f>
        <v>#REF!</v>
      </c>
      <c r="W81" s="159" t="e">
        <f t="shared" si="22"/>
        <v>#REF!</v>
      </c>
      <c r="X81" s="154" t="e">
        <f t="shared" si="23"/>
        <v>#REF!</v>
      </c>
      <c r="Y81" s="154" t="e">
        <f t="shared" si="24"/>
        <v>#REF!</v>
      </c>
    </row>
    <row r="82" spans="2:25" ht="15" hidden="1" customHeight="1" thickBot="1" x14ac:dyDescent="0.35">
      <c r="B82" s="1417"/>
      <c r="C82" s="1418"/>
      <c r="D82" s="13"/>
      <c r="E82" s="13"/>
      <c r="F82" s="569" t="s">
        <v>12</v>
      </c>
      <c r="G82" s="6"/>
      <c r="H82" s="6"/>
      <c r="I82" s="614">
        <f t="shared" si="21"/>
        <v>0</v>
      </c>
      <c r="J82" s="6"/>
      <c r="K82" s="6"/>
      <c r="L82" s="13"/>
      <c r="M82" s="27">
        <f t="shared" si="25"/>
        <v>0</v>
      </c>
      <c r="N82" s="13"/>
      <c r="O82" s="6"/>
      <c r="P82" s="1598"/>
      <c r="Q82" s="39"/>
      <c r="R82" s="1598"/>
      <c r="S82" s="13"/>
      <c r="T82" s="1398"/>
      <c r="U82" s="1398"/>
      <c r="V82" s="1390"/>
      <c r="W82" s="159">
        <f t="shared" si="22"/>
        <v>0</v>
      </c>
      <c r="X82" s="154">
        <f t="shared" si="23"/>
        <v>0</v>
      </c>
      <c r="Y82" s="154">
        <f t="shared" si="24"/>
        <v>0</v>
      </c>
    </row>
    <row r="83" spans="2:25" ht="14.55" hidden="1" customHeight="1" thickBot="1" x14ac:dyDescent="0.35">
      <c r="B83" s="1417"/>
      <c r="C83" s="1418"/>
      <c r="D83" s="36"/>
      <c r="E83" s="36"/>
      <c r="F83" s="568" t="s">
        <v>13</v>
      </c>
      <c r="G83" s="6"/>
      <c r="H83" s="6"/>
      <c r="I83" s="614">
        <f t="shared" si="21"/>
        <v>0</v>
      </c>
      <c r="J83" s="6"/>
      <c r="K83" s="6"/>
      <c r="L83" s="13"/>
      <c r="M83" s="27">
        <f t="shared" si="25"/>
        <v>0</v>
      </c>
      <c r="N83" s="13"/>
      <c r="O83" s="6"/>
      <c r="P83" s="1598">
        <f>'Milling Down Time Hours'!M89</f>
        <v>0</v>
      </c>
      <c r="Q83" s="39"/>
      <c r="R83" s="1598">
        <f>'Milling Down Time Hours'!L89</f>
        <v>0</v>
      </c>
      <c r="S83" s="13"/>
      <c r="T83" s="1394" t="e">
        <f>SUM(#REF!)</f>
        <v>#REF!</v>
      </c>
      <c r="U83" s="1394" t="e">
        <f t="shared" ref="U83" si="28">SUM(T83:T85)</f>
        <v>#REF!</v>
      </c>
      <c r="V83" s="1389" t="e">
        <f t="shared" ref="V83" si="29">SUM(U83:U85)</f>
        <v>#REF!</v>
      </c>
      <c r="W83" s="159" t="e">
        <f t="shared" si="22"/>
        <v>#REF!</v>
      </c>
      <c r="X83" s="154" t="e">
        <f t="shared" si="23"/>
        <v>#REF!</v>
      </c>
      <c r="Y83" s="154" t="e">
        <f t="shared" si="24"/>
        <v>#REF!</v>
      </c>
    </row>
    <row r="84" spans="2:25" ht="15" hidden="1" customHeight="1" thickBot="1" x14ac:dyDescent="0.35">
      <c r="B84" s="1417"/>
      <c r="C84" s="1418"/>
      <c r="D84" s="13"/>
      <c r="E84" s="13"/>
      <c r="F84" s="569" t="s">
        <v>12</v>
      </c>
      <c r="G84" s="6"/>
      <c r="H84" s="6"/>
      <c r="I84" s="614">
        <f t="shared" si="21"/>
        <v>0</v>
      </c>
      <c r="J84" s="6"/>
      <c r="K84" s="6"/>
      <c r="L84" s="13"/>
      <c r="M84" s="27">
        <f t="shared" si="25"/>
        <v>0</v>
      </c>
      <c r="N84" s="13"/>
      <c r="O84" s="6"/>
      <c r="P84" s="1598"/>
      <c r="Q84" s="39"/>
      <c r="R84" s="1598"/>
      <c r="S84" s="13"/>
      <c r="T84" s="1398"/>
      <c r="U84" s="1398"/>
      <c r="V84" s="1390"/>
      <c r="W84" s="159">
        <f t="shared" si="22"/>
        <v>0</v>
      </c>
      <c r="X84" s="154">
        <f t="shared" si="23"/>
        <v>0</v>
      </c>
      <c r="Y84" s="154">
        <f t="shared" si="24"/>
        <v>0</v>
      </c>
    </row>
    <row r="85" spans="2:25" ht="14.55" hidden="1" customHeight="1" thickBot="1" x14ac:dyDescent="0.35">
      <c r="B85" s="1417"/>
      <c r="C85" s="1418"/>
      <c r="D85" s="36"/>
      <c r="E85" s="36"/>
      <c r="F85" s="568" t="s">
        <v>13</v>
      </c>
      <c r="G85" s="6"/>
      <c r="H85" s="6"/>
      <c r="I85" s="614">
        <f t="shared" si="21"/>
        <v>0</v>
      </c>
      <c r="J85" s="6"/>
      <c r="K85" s="6"/>
      <c r="L85" s="13"/>
      <c r="M85" s="27">
        <f t="shared" si="25"/>
        <v>0</v>
      </c>
      <c r="N85" s="13"/>
      <c r="O85" s="6"/>
      <c r="P85" s="1598">
        <f>'Milling Down Time Hours'!M91</f>
        <v>0</v>
      </c>
      <c r="Q85" s="39"/>
      <c r="R85" s="1598">
        <f>'Milling Down Time Hours'!L91</f>
        <v>0</v>
      </c>
      <c r="S85" s="13"/>
      <c r="T85" s="1394" t="e">
        <f>SUM(#REF!)</f>
        <v>#REF!</v>
      </c>
      <c r="U85" s="1394" t="e">
        <f t="shared" ref="U85" si="30">SUM(T85:T87)</f>
        <v>#REF!</v>
      </c>
      <c r="V85" s="1389" t="e">
        <f t="shared" ref="V85" si="31">SUM(U85:U87)</f>
        <v>#REF!</v>
      </c>
      <c r="W85" s="159" t="e">
        <f t="shared" si="22"/>
        <v>#REF!</v>
      </c>
      <c r="X85" s="154" t="e">
        <f t="shared" si="23"/>
        <v>#REF!</v>
      </c>
      <c r="Y85" s="154" t="e">
        <f t="shared" si="24"/>
        <v>#REF!</v>
      </c>
    </row>
    <row r="86" spans="2:25" ht="15" hidden="1" customHeight="1" thickBot="1" x14ac:dyDescent="0.35">
      <c r="B86" s="1417"/>
      <c r="C86" s="1418"/>
      <c r="D86" s="13"/>
      <c r="E86" s="13"/>
      <c r="F86" s="569" t="s">
        <v>12</v>
      </c>
      <c r="G86" s="6"/>
      <c r="H86" s="6"/>
      <c r="I86" s="614">
        <f t="shared" si="21"/>
        <v>0</v>
      </c>
      <c r="J86" s="6"/>
      <c r="K86" s="6"/>
      <c r="L86" s="13"/>
      <c r="M86" s="27">
        <f t="shared" si="25"/>
        <v>0</v>
      </c>
      <c r="N86" s="13"/>
      <c r="O86" s="6"/>
      <c r="P86" s="1598"/>
      <c r="Q86" s="39"/>
      <c r="R86" s="1598"/>
      <c r="S86" s="13"/>
      <c r="T86" s="1398"/>
      <c r="U86" s="1398"/>
      <c r="V86" s="1390"/>
      <c r="W86" s="159">
        <f t="shared" si="22"/>
        <v>0</v>
      </c>
      <c r="X86" s="154">
        <f t="shared" si="23"/>
        <v>0</v>
      </c>
      <c r="Y86" s="154">
        <f t="shared" si="24"/>
        <v>0</v>
      </c>
    </row>
    <row r="87" spans="2:25" ht="14.55" hidden="1" customHeight="1" thickBot="1" x14ac:dyDescent="0.35">
      <c r="B87" s="1417"/>
      <c r="C87" s="1418"/>
      <c r="D87" s="36"/>
      <c r="E87" s="36"/>
      <c r="F87" s="568" t="s">
        <v>13</v>
      </c>
      <c r="G87" s="6"/>
      <c r="H87" s="6"/>
      <c r="I87" s="614">
        <f t="shared" si="21"/>
        <v>0</v>
      </c>
      <c r="J87" s="6"/>
      <c r="K87" s="6"/>
      <c r="L87" s="13"/>
      <c r="M87" s="27">
        <f t="shared" si="25"/>
        <v>0</v>
      </c>
      <c r="N87" s="13"/>
      <c r="O87" s="6"/>
      <c r="P87" s="1598">
        <f>'Milling Down Time Hours'!M93</f>
        <v>0</v>
      </c>
      <c r="Q87" s="39"/>
      <c r="R87" s="1598">
        <f>'Milling Down Time Hours'!L93</f>
        <v>0</v>
      </c>
      <c r="S87" s="13"/>
      <c r="T87" s="1394" t="e">
        <f>SUM(#REF!)</f>
        <v>#REF!</v>
      </c>
      <c r="U87" s="1394" t="e">
        <f t="shared" ref="U87" si="32">SUM(T87:T89)</f>
        <v>#REF!</v>
      </c>
      <c r="V87" s="1389" t="e">
        <f t="shared" ref="V87" si="33">SUM(U87:U89)</f>
        <v>#REF!</v>
      </c>
      <c r="W87" s="159" t="e">
        <f t="shared" si="22"/>
        <v>#REF!</v>
      </c>
      <c r="X87" s="154" t="e">
        <f t="shared" si="23"/>
        <v>#REF!</v>
      </c>
      <c r="Y87" s="154" t="e">
        <f t="shared" si="24"/>
        <v>#REF!</v>
      </c>
    </row>
    <row r="88" spans="2:25" ht="15" hidden="1" customHeight="1" thickBot="1" x14ac:dyDescent="0.35">
      <c r="B88" s="1417"/>
      <c r="C88" s="1418"/>
      <c r="D88" s="13"/>
      <c r="E88" s="13"/>
      <c r="F88" s="569" t="s">
        <v>12</v>
      </c>
      <c r="G88" s="6"/>
      <c r="H88" s="6"/>
      <c r="I88" s="614">
        <f t="shared" si="21"/>
        <v>0</v>
      </c>
      <c r="J88" s="6"/>
      <c r="K88" s="6"/>
      <c r="L88" s="13"/>
      <c r="M88" s="27">
        <f t="shared" si="25"/>
        <v>0</v>
      </c>
      <c r="N88" s="13"/>
      <c r="O88" s="6"/>
      <c r="P88" s="1598"/>
      <c r="Q88" s="39"/>
      <c r="R88" s="1598"/>
      <c r="S88" s="13"/>
      <c r="T88" s="1398"/>
      <c r="U88" s="1398"/>
      <c r="V88" s="1390"/>
      <c r="W88" s="159">
        <f t="shared" si="22"/>
        <v>0</v>
      </c>
      <c r="X88" s="154">
        <f t="shared" si="23"/>
        <v>0</v>
      </c>
      <c r="Y88" s="154">
        <f t="shared" si="24"/>
        <v>0</v>
      </c>
    </row>
    <row r="89" spans="2:25" ht="14.55" hidden="1" customHeight="1" thickBot="1" x14ac:dyDescent="0.35">
      <c r="B89" s="1417"/>
      <c r="C89" s="1418"/>
      <c r="D89" s="36"/>
      <c r="E89" s="36"/>
      <c r="F89" s="568" t="s">
        <v>13</v>
      </c>
      <c r="G89" s="6"/>
      <c r="H89" s="6"/>
      <c r="I89" s="614">
        <f t="shared" si="21"/>
        <v>0</v>
      </c>
      <c r="J89" s="6"/>
      <c r="K89" s="6"/>
      <c r="L89" s="13"/>
      <c r="M89" s="27">
        <f t="shared" si="25"/>
        <v>0</v>
      </c>
      <c r="N89" s="13"/>
      <c r="O89" s="6"/>
      <c r="P89" s="1598">
        <f>'Milling Down Time Hours'!M95</f>
        <v>0</v>
      </c>
      <c r="Q89" s="39"/>
      <c r="R89" s="1598">
        <f>'Milling Down Time Hours'!L95</f>
        <v>0</v>
      </c>
      <c r="S89" s="13"/>
      <c r="T89" s="1394" t="e">
        <f>SUM(#REF!)</f>
        <v>#REF!</v>
      </c>
      <c r="U89" s="1394" t="e">
        <f t="shared" ref="U89" si="34">SUM(T89:T91)</f>
        <v>#REF!</v>
      </c>
      <c r="V89" s="1389" t="e">
        <f t="shared" ref="V89" si="35">SUM(U89:U91)</f>
        <v>#REF!</v>
      </c>
      <c r="W89" s="159" t="e">
        <f t="shared" si="22"/>
        <v>#REF!</v>
      </c>
      <c r="X89" s="154" t="e">
        <f t="shared" si="23"/>
        <v>#REF!</v>
      </c>
      <c r="Y89" s="154" t="e">
        <f t="shared" si="24"/>
        <v>#REF!</v>
      </c>
    </row>
    <row r="90" spans="2:25" ht="15" hidden="1" customHeight="1" thickBot="1" x14ac:dyDescent="0.35">
      <c r="B90" s="1417"/>
      <c r="C90" s="1418"/>
      <c r="D90" s="13"/>
      <c r="E90" s="13"/>
      <c r="F90" s="569" t="s">
        <v>12</v>
      </c>
      <c r="G90" s="6"/>
      <c r="H90" s="6"/>
      <c r="I90" s="614">
        <f t="shared" si="21"/>
        <v>0</v>
      </c>
      <c r="J90" s="6"/>
      <c r="K90" s="6"/>
      <c r="L90" s="13"/>
      <c r="M90" s="27">
        <f t="shared" si="25"/>
        <v>0</v>
      </c>
      <c r="N90" s="13"/>
      <c r="O90" s="6"/>
      <c r="P90" s="1598"/>
      <c r="Q90" s="39"/>
      <c r="R90" s="1598"/>
      <c r="S90" s="13"/>
      <c r="T90" s="1398"/>
      <c r="U90" s="1398"/>
      <c r="V90" s="1390"/>
      <c r="W90" s="159">
        <f t="shared" si="22"/>
        <v>0</v>
      </c>
      <c r="X90" s="154">
        <f t="shared" si="23"/>
        <v>0</v>
      </c>
      <c r="Y90" s="154">
        <f t="shared" si="24"/>
        <v>0</v>
      </c>
    </row>
    <row r="91" spans="2:25" ht="14.55" hidden="1" customHeight="1" thickBot="1" x14ac:dyDescent="0.35">
      <c r="B91" s="1417"/>
      <c r="C91" s="1418"/>
      <c r="D91" s="36"/>
      <c r="E91" s="36"/>
      <c r="F91" s="568" t="s">
        <v>13</v>
      </c>
      <c r="G91" s="6"/>
      <c r="H91" s="6"/>
      <c r="I91" s="614">
        <f t="shared" si="21"/>
        <v>0</v>
      </c>
      <c r="J91" s="6"/>
      <c r="K91" s="6"/>
      <c r="L91" s="13"/>
      <c r="M91" s="27">
        <f t="shared" si="25"/>
        <v>0</v>
      </c>
      <c r="N91" s="13"/>
      <c r="O91" s="6"/>
      <c r="P91" s="1598">
        <f>'Milling Down Time Hours'!M97</f>
        <v>0</v>
      </c>
      <c r="Q91" s="39"/>
      <c r="R91" s="1598">
        <f>'Milling Down Time Hours'!L97</f>
        <v>0</v>
      </c>
      <c r="S91" s="13"/>
      <c r="T91" s="1394" t="e">
        <f>SUM(#REF!)</f>
        <v>#REF!</v>
      </c>
      <c r="U91" s="1394" t="e">
        <f t="shared" ref="U91" si="36">SUM(T91:T93)</f>
        <v>#REF!</v>
      </c>
      <c r="V91" s="1389" t="e">
        <f t="shared" ref="V91" si="37">SUM(U91:U93)</f>
        <v>#REF!</v>
      </c>
      <c r="W91" s="159" t="e">
        <f t="shared" si="22"/>
        <v>#REF!</v>
      </c>
      <c r="X91" s="154" t="e">
        <f t="shared" si="23"/>
        <v>#REF!</v>
      </c>
      <c r="Y91" s="154" t="e">
        <f t="shared" si="24"/>
        <v>#REF!</v>
      </c>
    </row>
    <row r="92" spans="2:25" ht="15" hidden="1" customHeight="1" thickBot="1" x14ac:dyDescent="0.35">
      <c r="B92" s="1417"/>
      <c r="C92" s="1418"/>
      <c r="D92" s="13"/>
      <c r="E92" s="13"/>
      <c r="F92" s="569" t="s">
        <v>12</v>
      </c>
      <c r="G92" s="6"/>
      <c r="H92" s="6"/>
      <c r="I92" s="614">
        <f t="shared" si="21"/>
        <v>0</v>
      </c>
      <c r="J92" s="6"/>
      <c r="K92" s="6"/>
      <c r="L92" s="13"/>
      <c r="M92" s="27">
        <f t="shared" si="25"/>
        <v>0</v>
      </c>
      <c r="N92" s="13"/>
      <c r="O92" s="6"/>
      <c r="P92" s="1598"/>
      <c r="Q92" s="39"/>
      <c r="R92" s="1598"/>
      <c r="S92" s="13"/>
      <c r="T92" s="1398"/>
      <c r="U92" s="1398"/>
      <c r="V92" s="1390"/>
      <c r="W92" s="159">
        <f t="shared" si="22"/>
        <v>0</v>
      </c>
      <c r="X92" s="154">
        <f t="shared" si="23"/>
        <v>0</v>
      </c>
      <c r="Y92" s="154">
        <f t="shared" si="24"/>
        <v>0</v>
      </c>
    </row>
    <row r="93" spans="2:25" ht="14.55" hidden="1" customHeight="1" thickBot="1" x14ac:dyDescent="0.35">
      <c r="B93" s="1417"/>
      <c r="C93" s="1418"/>
      <c r="D93" s="36"/>
      <c r="E93" s="36"/>
      <c r="F93" s="568" t="s">
        <v>13</v>
      </c>
      <c r="G93" s="6"/>
      <c r="H93" s="6"/>
      <c r="I93" s="614">
        <f t="shared" si="21"/>
        <v>0</v>
      </c>
      <c r="J93" s="6"/>
      <c r="K93" s="6"/>
      <c r="L93" s="13"/>
      <c r="M93" s="27">
        <f t="shared" si="25"/>
        <v>0</v>
      </c>
      <c r="N93" s="13"/>
      <c r="O93" s="6"/>
      <c r="P93" s="1598">
        <f>'Milling Down Time Hours'!M99</f>
        <v>0</v>
      </c>
      <c r="Q93" s="39"/>
      <c r="R93" s="1598">
        <f>'Milling Down Time Hours'!L99</f>
        <v>0</v>
      </c>
      <c r="S93" s="13"/>
      <c r="T93" s="1394" t="e">
        <f>SUM(#REF!)</f>
        <v>#REF!</v>
      </c>
      <c r="U93" s="1394" t="e">
        <f t="shared" ref="U93" si="38">SUM(T93:T95)</f>
        <v>#REF!</v>
      </c>
      <c r="V93" s="1389" t="e">
        <f t="shared" ref="V93" si="39">SUM(U93:U95)</f>
        <v>#REF!</v>
      </c>
      <c r="W93" s="159" t="e">
        <f t="shared" si="22"/>
        <v>#REF!</v>
      </c>
      <c r="X93" s="154" t="e">
        <f t="shared" si="23"/>
        <v>#REF!</v>
      </c>
      <c r="Y93" s="154" t="e">
        <f t="shared" si="24"/>
        <v>#REF!</v>
      </c>
    </row>
    <row r="94" spans="2:25" ht="15" hidden="1" customHeight="1" thickBot="1" x14ac:dyDescent="0.35">
      <c r="B94" s="1417"/>
      <c r="C94" s="1418"/>
      <c r="D94" s="13"/>
      <c r="E94" s="13"/>
      <c r="F94" s="569" t="s">
        <v>12</v>
      </c>
      <c r="G94" s="6"/>
      <c r="H94" s="6"/>
      <c r="I94" s="614">
        <f t="shared" si="21"/>
        <v>0</v>
      </c>
      <c r="J94" s="6"/>
      <c r="K94" s="6"/>
      <c r="L94" s="13"/>
      <c r="M94" s="27">
        <f t="shared" si="25"/>
        <v>0</v>
      </c>
      <c r="N94" s="13"/>
      <c r="O94" s="6"/>
      <c r="P94" s="1598"/>
      <c r="Q94" s="39"/>
      <c r="R94" s="1598"/>
      <c r="S94" s="13"/>
      <c r="T94" s="1398"/>
      <c r="U94" s="1398"/>
      <c r="V94" s="1390"/>
      <c r="W94" s="159">
        <f t="shared" si="22"/>
        <v>0</v>
      </c>
      <c r="X94" s="154">
        <f t="shared" si="23"/>
        <v>0</v>
      </c>
      <c r="Y94" s="154">
        <f t="shared" si="24"/>
        <v>0</v>
      </c>
    </row>
    <row r="95" spans="2:25" ht="14.55" hidden="1" customHeight="1" thickBot="1" x14ac:dyDescent="0.35">
      <c r="B95" s="1417"/>
      <c r="C95" s="1418"/>
      <c r="D95" s="36"/>
      <c r="E95" s="36"/>
      <c r="F95" s="568" t="s">
        <v>13</v>
      </c>
      <c r="G95" s="6"/>
      <c r="H95" s="6"/>
      <c r="I95" s="614">
        <f t="shared" si="21"/>
        <v>0</v>
      </c>
      <c r="J95" s="6"/>
      <c r="K95" s="6"/>
      <c r="L95" s="13"/>
      <c r="M95" s="27">
        <f t="shared" si="25"/>
        <v>0</v>
      </c>
      <c r="N95" s="13"/>
      <c r="O95" s="6"/>
      <c r="P95" s="1598">
        <f>'Milling Down Time Hours'!M101</f>
        <v>0</v>
      </c>
      <c r="Q95" s="39"/>
      <c r="R95" s="1598">
        <f>'Milling Down Time Hours'!L101</f>
        <v>0</v>
      </c>
      <c r="S95" s="13"/>
      <c r="T95" s="1394" t="e">
        <f>SUM(#REF!)</f>
        <v>#REF!</v>
      </c>
      <c r="U95" s="1394" t="e">
        <f>SUM(T95:T99)</f>
        <v>#REF!</v>
      </c>
      <c r="V95" s="1389" t="e">
        <f>SUM(U95:U99)</f>
        <v>#REF!</v>
      </c>
      <c r="W95" s="159" t="e">
        <f t="shared" si="22"/>
        <v>#REF!</v>
      </c>
      <c r="X95" s="154" t="e">
        <f t="shared" si="23"/>
        <v>#REF!</v>
      </c>
      <c r="Y95" s="154" t="e">
        <f t="shared" si="24"/>
        <v>#REF!</v>
      </c>
    </row>
    <row r="96" spans="2:25" ht="14.55" hidden="1" customHeight="1" thickBot="1" x14ac:dyDescent="0.35">
      <c r="B96" s="1417"/>
      <c r="C96" s="1418"/>
      <c r="D96" s="95"/>
      <c r="E96" s="95"/>
      <c r="F96" s="569" t="s">
        <v>12</v>
      </c>
      <c r="G96" s="178"/>
      <c r="H96" s="178"/>
      <c r="I96" s="614">
        <f t="shared" si="21"/>
        <v>0</v>
      </c>
      <c r="J96" s="178"/>
      <c r="K96" s="178"/>
      <c r="L96" s="95"/>
      <c r="M96" s="27">
        <f t="shared" si="25"/>
        <v>0</v>
      </c>
      <c r="N96" s="95"/>
      <c r="O96" s="178"/>
      <c r="P96" s="1598"/>
      <c r="Q96" s="39"/>
      <c r="R96" s="1598"/>
      <c r="S96" s="95"/>
      <c r="T96" s="1395"/>
      <c r="U96" s="1395"/>
      <c r="V96" s="1396"/>
      <c r="W96" s="159">
        <f t="shared" si="22"/>
        <v>0</v>
      </c>
      <c r="X96" s="154">
        <f t="shared" si="23"/>
        <v>0</v>
      </c>
      <c r="Y96" s="154">
        <f t="shared" si="24"/>
        <v>0</v>
      </c>
    </row>
    <row r="97" spans="2:27" ht="15" thickBot="1" x14ac:dyDescent="0.35">
      <c r="B97" s="1419"/>
      <c r="C97" s="1420"/>
      <c r="D97" s="512"/>
      <c r="E97" s="512"/>
      <c r="F97" s="568" t="s">
        <v>13</v>
      </c>
      <c r="G97" s="40"/>
      <c r="H97" s="6"/>
      <c r="I97" s="614">
        <f t="shared" si="21"/>
        <v>0</v>
      </c>
      <c r="J97" s="6"/>
      <c r="K97" s="13"/>
      <c r="L97" s="40"/>
      <c r="M97" s="27">
        <f t="shared" si="25"/>
        <v>0</v>
      </c>
      <c r="N97" s="40"/>
      <c r="O97" s="6"/>
      <c r="P97" s="39">
        <f>'Milling Down Time Hours'!Q43</f>
        <v>0</v>
      </c>
      <c r="Q97" s="39"/>
      <c r="R97" s="39"/>
      <c r="S97" s="13"/>
      <c r="T97" s="154"/>
      <c r="U97" s="154"/>
      <c r="V97" s="418"/>
      <c r="W97" s="159">
        <f t="shared" si="22"/>
        <v>0</v>
      </c>
      <c r="X97" s="154">
        <f t="shared" si="23"/>
        <v>0</v>
      </c>
      <c r="Y97" s="154">
        <f t="shared" si="24"/>
        <v>0</v>
      </c>
    </row>
    <row r="98" spans="2:27" ht="15" thickBot="1" x14ac:dyDescent="0.35">
      <c r="B98" s="447"/>
      <c r="C98" s="448"/>
      <c r="D98" s="512"/>
      <c r="E98" s="512"/>
      <c r="F98" s="569" t="s">
        <v>12</v>
      </c>
      <c r="G98" s="6"/>
      <c r="H98" s="6"/>
      <c r="I98" s="614">
        <f t="shared" si="21"/>
        <v>0</v>
      </c>
      <c r="J98" s="6"/>
      <c r="K98" s="6"/>
      <c r="L98" s="13"/>
      <c r="M98" s="27">
        <f t="shared" si="25"/>
        <v>0</v>
      </c>
      <c r="N98" s="13"/>
      <c r="O98" s="6"/>
      <c r="P98" s="39"/>
      <c r="Q98" s="39"/>
      <c r="R98" s="39"/>
      <c r="S98" s="13"/>
      <c r="T98" s="154"/>
      <c r="U98" s="154"/>
      <c r="V98" s="418"/>
      <c r="W98" s="159">
        <f t="shared" si="22"/>
        <v>0</v>
      </c>
      <c r="X98" s="154">
        <f t="shared" si="23"/>
        <v>0</v>
      </c>
      <c r="Y98" s="154">
        <f t="shared" si="24"/>
        <v>0</v>
      </c>
      <c r="AA98" s="446">
        <f>SUM(Z5:Z17)</f>
        <v>1188347787.2522082</v>
      </c>
    </row>
    <row r="99" spans="2:27" ht="18" x14ac:dyDescent="0.35">
      <c r="B99" s="125" t="s">
        <v>121</v>
      </c>
      <c r="C99" s="126"/>
      <c r="D99" s="465"/>
      <c r="E99" s="465"/>
      <c r="F99" s="126"/>
      <c r="G99" s="126"/>
      <c r="H99" s="126"/>
      <c r="I99" s="126"/>
      <c r="J99" s="126"/>
      <c r="K99" s="126"/>
      <c r="L99" s="142">
        <f>AVERAGE(L5:L98)</f>
        <v>0.72363636363636363</v>
      </c>
      <c r="M99" s="449">
        <f>SUM(M5:M98)</f>
        <v>1723.7849127500003</v>
      </c>
      <c r="N99" s="142"/>
      <c r="O99" s="126"/>
      <c r="P99" s="127">
        <f>'Milling Down Time Hours'!Q59</f>
        <v>438.86666666666662</v>
      </c>
      <c r="Q99" s="127"/>
      <c r="R99" s="465"/>
      <c r="S99" s="465"/>
      <c r="T99" s="118">
        <f>AVERAGE(T5:T26)*0.9</f>
        <v>0.64852941176470591</v>
      </c>
      <c r="U99" s="118">
        <f>AVERAGE(U5:U26)*0.9</f>
        <v>0.64822941176470594</v>
      </c>
      <c r="V99" s="118">
        <f>AVERAGE(V5:V26)*0.9</f>
        <v>7.6009235294117659</v>
      </c>
      <c r="W99" s="119">
        <f>SUM(W5:W16)</f>
        <v>426.93208973421673</v>
      </c>
      <c r="X99" s="119">
        <f>SUM(X5:X16)</f>
        <v>424.70192465699336</v>
      </c>
      <c r="Y99" s="119">
        <f>SUM(Y5:Y16)</f>
        <v>5118.8794089371868</v>
      </c>
    </row>
    <row r="101" spans="2:27" x14ac:dyDescent="0.3">
      <c r="Z101" s="1" t="s">
        <v>203</v>
      </c>
      <c r="AA101" s="1">
        <f>MIN(Z5:Z98)</f>
        <v>0</v>
      </c>
    </row>
    <row r="102" spans="2:27" x14ac:dyDescent="0.3">
      <c r="N102" s="43">
        <f>MAX(N5:N30)</f>
        <v>262.08779999999996</v>
      </c>
      <c r="Z102" s="1" t="s">
        <v>202</v>
      </c>
      <c r="AA102" s="136">
        <f>MAX(Z5:Z98)</f>
        <v>196686945</v>
      </c>
    </row>
    <row r="103" spans="2:27" x14ac:dyDescent="0.3">
      <c r="W103" s="136"/>
    </row>
  </sheetData>
  <mergeCells count="171">
    <mergeCell ref="B36:C37"/>
    <mergeCell ref="B38:C39"/>
    <mergeCell ref="R89:R90"/>
    <mergeCell ref="A5:A8"/>
    <mergeCell ref="A9:A14"/>
    <mergeCell ref="A16:A19"/>
    <mergeCell ref="A20:A23"/>
    <mergeCell ref="A25:A27"/>
    <mergeCell ref="B50:C51"/>
    <mergeCell ref="B52:C53"/>
    <mergeCell ref="B54:C55"/>
    <mergeCell ref="B56:C57"/>
    <mergeCell ref="B58:C59"/>
    <mergeCell ref="B60:C61"/>
    <mergeCell ref="B62:C63"/>
    <mergeCell ref="B64:C65"/>
    <mergeCell ref="B66:C67"/>
    <mergeCell ref="B44:C45"/>
    <mergeCell ref="B68:C69"/>
    <mergeCell ref="B70:C71"/>
    <mergeCell ref="A29:A31"/>
    <mergeCell ref="P85:P86"/>
    <mergeCell ref="B17:C18"/>
    <mergeCell ref="B25:C26"/>
    <mergeCell ref="B76:C77"/>
    <mergeCell ref="B78:C97"/>
    <mergeCell ref="B46:C47"/>
    <mergeCell ref="B48:C49"/>
    <mergeCell ref="P95:P96"/>
    <mergeCell ref="R95:R96"/>
    <mergeCell ref="T95:T96"/>
    <mergeCell ref="P79:P80"/>
    <mergeCell ref="R79:R80"/>
    <mergeCell ref="B72:C73"/>
    <mergeCell ref="B74:C75"/>
    <mergeCell ref="P91:P92"/>
    <mergeCell ref="P87:P88"/>
    <mergeCell ref="R87:R88"/>
    <mergeCell ref="P89:P90"/>
    <mergeCell ref="R85:R86"/>
    <mergeCell ref="P83:P84"/>
    <mergeCell ref="T59:T60"/>
    <mergeCell ref="P93:P94"/>
    <mergeCell ref="R93:R94"/>
    <mergeCell ref="R91:R92"/>
    <mergeCell ref="T91:T92"/>
    <mergeCell ref="P81:P82"/>
    <mergeCell ref="R81:R82"/>
    <mergeCell ref="R83:R84"/>
    <mergeCell ref="T63:T64"/>
    <mergeCell ref="T69:T70"/>
    <mergeCell ref="T71:T72"/>
    <mergeCell ref="T73:T74"/>
    <mergeCell ref="T75:T76"/>
    <mergeCell ref="U73:U74"/>
    <mergeCell ref="U59:U60"/>
    <mergeCell ref="T83:T84"/>
    <mergeCell ref="V77:V78"/>
    <mergeCell ref="T55:T56"/>
    <mergeCell ref="T57:T58"/>
    <mergeCell ref="T39:T40"/>
    <mergeCell ref="U49:U50"/>
    <mergeCell ref="V49:V50"/>
    <mergeCell ref="T65:T66"/>
    <mergeCell ref="U51:U52"/>
    <mergeCell ref="U53:U54"/>
    <mergeCell ref="U75:U76"/>
    <mergeCell ref="U55:U56"/>
    <mergeCell ref="V73:V74"/>
    <mergeCell ref="V61:V62"/>
    <mergeCell ref="V75:V76"/>
    <mergeCell ref="T47:T48"/>
    <mergeCell ref="T49:T50"/>
    <mergeCell ref="T51:T52"/>
    <mergeCell ref="U61:U62"/>
    <mergeCell ref="T67:T68"/>
    <mergeCell ref="T61:T62"/>
    <mergeCell ref="V95:V96"/>
    <mergeCell ref="T89:T90"/>
    <mergeCell ref="U89:U90"/>
    <mergeCell ref="V89:V90"/>
    <mergeCell ref="U79:U80"/>
    <mergeCell ref="V79:V80"/>
    <mergeCell ref="U81:U82"/>
    <mergeCell ref="V81:V82"/>
    <mergeCell ref="U83:U84"/>
    <mergeCell ref="V83:V84"/>
    <mergeCell ref="U85:U86"/>
    <mergeCell ref="V85:V86"/>
    <mergeCell ref="T81:T82"/>
    <mergeCell ref="V91:V92"/>
    <mergeCell ref="T87:T88"/>
    <mergeCell ref="U87:U88"/>
    <mergeCell ref="V87:V88"/>
    <mergeCell ref="T93:T94"/>
    <mergeCell ref="U93:U94"/>
    <mergeCell ref="U95:U96"/>
    <mergeCell ref="V93:V94"/>
    <mergeCell ref="U91:U92"/>
    <mergeCell ref="N25:N26"/>
    <mergeCell ref="V39:V40"/>
    <mergeCell ref="T85:T86"/>
    <mergeCell ref="U47:U48"/>
    <mergeCell ref="U57:U58"/>
    <mergeCell ref="U67:U68"/>
    <mergeCell ref="U77:U78"/>
    <mergeCell ref="T79:T80"/>
    <mergeCell ref="T77:T78"/>
    <mergeCell ref="U63:U64"/>
    <mergeCell ref="V63:V64"/>
    <mergeCell ref="U65:U66"/>
    <mergeCell ref="V65:V66"/>
    <mergeCell ref="V67:V68"/>
    <mergeCell ref="U69:U70"/>
    <mergeCell ref="V69:V70"/>
    <mergeCell ref="U71:U72"/>
    <mergeCell ref="V71:V72"/>
    <mergeCell ref="T53:T54"/>
    <mergeCell ref="V47:V48"/>
    <mergeCell ref="N27:N28"/>
    <mergeCell ref="N30:N31"/>
    <mergeCell ref="V55:V56"/>
    <mergeCell ref="V57:V58"/>
    <mergeCell ref="N34:N35"/>
    <mergeCell ref="V51:V52"/>
    <mergeCell ref="V53:V54"/>
    <mergeCell ref="V59:V60"/>
    <mergeCell ref="B4:C4"/>
    <mergeCell ref="B5:C6"/>
    <mergeCell ref="B7:C8"/>
    <mergeCell ref="P7:P8"/>
    <mergeCell ref="N5:N6"/>
    <mergeCell ref="P5:P6"/>
    <mergeCell ref="B21:C22"/>
    <mergeCell ref="B30:C31"/>
    <mergeCell ref="D13:D14"/>
    <mergeCell ref="N17:N18"/>
    <mergeCell ref="N19:N20"/>
    <mergeCell ref="N9:N10"/>
    <mergeCell ref="B34:C35"/>
    <mergeCell ref="B9:C10"/>
    <mergeCell ref="B11:C12"/>
    <mergeCell ref="B13:C14"/>
    <mergeCell ref="S28:S31"/>
    <mergeCell ref="B42:C43"/>
    <mergeCell ref="N21:N22"/>
    <mergeCell ref="U39:U40"/>
    <mergeCell ref="B40:C41"/>
    <mergeCell ref="B29:C29"/>
    <mergeCell ref="H2:K2"/>
    <mergeCell ref="N7:N8"/>
    <mergeCell ref="P9:P10"/>
    <mergeCell ref="B28:C28"/>
    <mergeCell ref="S5:S8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  <mergeCell ref="N11:N12"/>
    <mergeCell ref="P11:P12"/>
    <mergeCell ref="P13:P14"/>
    <mergeCell ref="R13:R14"/>
    <mergeCell ref="B32:C33"/>
    <mergeCell ref="N32:N33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AAS lab Crushing Daily </vt:lpstr>
      <vt:lpstr>Daily Summary </vt:lpstr>
      <vt:lpstr>Reagent Consumption</vt:lpstr>
      <vt:lpstr>Crushing</vt:lpstr>
      <vt:lpstr>Crushing Down Time Hours</vt:lpstr>
      <vt:lpstr>Tailing Check </vt:lpstr>
      <vt:lpstr>LT Ball Mill</vt:lpstr>
      <vt:lpstr>Milling Down Time Hours</vt:lpstr>
      <vt:lpstr>LT Floculation</vt:lpstr>
      <vt:lpstr>Filter Press</vt:lpstr>
      <vt:lpstr>Milling and Leach Feed</vt:lpstr>
      <vt:lpstr>Rom File Inventory</vt:lpstr>
      <vt:lpstr>Stock File Management</vt:lpstr>
      <vt:lpstr>Filter Press Down Time Hours </vt:lpstr>
      <vt:lpstr>Au Cal Leaching Tank</vt:lpstr>
      <vt:lpstr>Leach Time Process&amp;Down Time</vt:lpstr>
      <vt:lpstr>Leaching</vt:lpstr>
      <vt:lpstr>Fuel Consumption</vt:lpstr>
      <vt:lpstr>Milling and Leach Feed_OLD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2026-10-06T08:51:35Z</dcterms:modified>
</cp:coreProperties>
</file>