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4D09C304-DF16-4EC1-81D6-0B8A67C7A1C7}" xr6:coauthVersionLast="47" xr6:coauthVersionMax="47" xr10:uidLastSave="{00000000-0000-0000-0000-000000000000}"/>
  <bookViews>
    <workbookView xWindow="-108" yWindow="-108" windowWidth="30936" windowHeight="16776" firstSheet="10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02" i="21" l="1"/>
  <c r="V102" i="21"/>
  <c r="T102" i="21"/>
  <c r="N54" i="20"/>
  <c r="N55" i="20"/>
  <c r="N56" i="20"/>
  <c r="N57" i="20"/>
  <c r="N58" i="20"/>
  <c r="N59" i="20"/>
  <c r="N53" i="20"/>
  <c r="P53" i="20"/>
  <c r="AB103" i="21"/>
  <c r="AB104" i="21"/>
  <c r="AB105" i="21"/>
  <c r="AB106" i="21"/>
  <c r="AB107" i="21"/>
  <c r="AB108" i="21"/>
  <c r="AB109" i="21"/>
  <c r="AB110" i="21"/>
  <c r="AB111" i="21"/>
  <c r="AB112" i="21"/>
  <c r="S102" i="21"/>
  <c r="H104" i="21"/>
  <c r="Z104" i="21"/>
  <c r="J104" i="21"/>
  <c r="M103" i="21"/>
  <c r="H103" i="21"/>
  <c r="Z103" i="21"/>
  <c r="J103" i="21"/>
  <c r="AB66" i="21"/>
  <c r="AB67" i="21"/>
  <c r="AB68" i="21"/>
  <c r="AB69" i="21"/>
  <c r="AB70" i="21"/>
  <c r="AB71" i="21"/>
  <c r="AB72" i="21"/>
  <c r="AB73" i="21"/>
  <c r="AB74" i="21"/>
  <c r="AB75" i="21"/>
  <c r="AB76" i="21"/>
  <c r="AB77" i="21"/>
  <c r="AB78" i="21"/>
  <c r="AB79" i="21"/>
  <c r="AB80" i="21"/>
  <c r="AB81" i="21"/>
  <c r="AB82" i="21"/>
  <c r="AB83" i="21"/>
  <c r="AB84" i="21"/>
  <c r="AB85" i="21"/>
  <c r="AB86" i="21"/>
  <c r="AB87" i="21"/>
  <c r="AB88" i="21"/>
  <c r="AB89" i="21"/>
  <c r="AB90" i="21"/>
  <c r="AB91" i="21"/>
  <c r="AB92" i="21"/>
  <c r="AB93" i="21"/>
  <c r="AB94" i="21"/>
  <c r="AB95" i="21"/>
  <c r="AB96" i="21"/>
  <c r="AB97" i="21"/>
  <c r="AB98" i="21"/>
  <c r="AB99" i="21"/>
  <c r="AB100" i="21"/>
  <c r="AB101" i="21"/>
  <c r="H102" i="21"/>
  <c r="J102" i="21"/>
  <c r="Z102" i="21"/>
  <c r="AQ21" i="13"/>
  <c r="AV21" i="13"/>
  <c r="AC21" i="13"/>
  <c r="N125" i="1"/>
  <c r="I121" i="1"/>
  <c r="K121" i="1" s="1"/>
  <c r="M121" i="1" s="1"/>
  <c r="I120" i="1"/>
  <c r="K120" i="1" s="1"/>
  <c r="M120" i="1" s="1"/>
  <c r="BA23" i="13"/>
  <c r="BB23" i="13"/>
  <c r="BA22" i="13"/>
  <c r="BB22" i="13"/>
  <c r="AZ22" i="13"/>
  <c r="BF22" i="13"/>
  <c r="AD21" i="13"/>
  <c r="AE22" i="13"/>
  <c r="AE21" i="13"/>
  <c r="AE23" i="13"/>
  <c r="AD23" i="13"/>
  <c r="AD22" i="13"/>
  <c r="AO22" i="13"/>
  <c r="AP22" i="13"/>
  <c r="AQ22" i="13"/>
  <c r="AO23" i="13"/>
  <c r="AP23" i="13"/>
  <c r="AQ23" i="13"/>
  <c r="AO24" i="13"/>
  <c r="AP24" i="13"/>
  <c r="AQ24" i="13"/>
  <c r="AO25" i="13"/>
  <c r="AP25" i="13"/>
  <c r="AQ25" i="13"/>
  <c r="AO26" i="13"/>
  <c r="AP26" i="13"/>
  <c r="AQ26" i="13"/>
  <c r="AO27" i="13"/>
  <c r="AP27" i="13"/>
  <c r="AQ27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AG22" i="13"/>
  <c r="AH22" i="13"/>
  <c r="AF22" i="13"/>
  <c r="AB23" i="13"/>
  <c r="AC23" i="13"/>
  <c r="AA23" i="13"/>
  <c r="Y23" i="13"/>
  <c r="Z23" i="13"/>
  <c r="X23" i="13"/>
  <c r="S98" i="21"/>
  <c r="N99" i="21"/>
  <c r="N79" i="21"/>
  <c r="W101" i="21"/>
  <c r="X101" i="21"/>
  <c r="Y101" i="21"/>
  <c r="U101" i="21"/>
  <c r="V101" i="21"/>
  <c r="T101" i="21"/>
  <c r="U100" i="21"/>
  <c r="V100" i="21"/>
  <c r="T100" i="21"/>
  <c r="U99" i="21"/>
  <c r="V99" i="21"/>
  <c r="T99" i="21"/>
  <c r="U98" i="21"/>
  <c r="V98" i="21"/>
  <c r="T98" i="21"/>
  <c r="H18" i="15"/>
  <c r="I18" i="15"/>
  <c r="G18" i="15"/>
  <c r="AB50" i="21"/>
  <c r="AB51" i="21"/>
  <c r="AB52" i="21"/>
  <c r="AB53" i="21"/>
  <c r="AB54" i="21"/>
  <c r="AB55" i="21"/>
  <c r="AB56" i="21"/>
  <c r="AB57" i="21"/>
  <c r="AB58" i="21"/>
  <c r="AB59" i="21"/>
  <c r="AB60" i="21"/>
  <c r="AB61" i="21"/>
  <c r="AB62" i="21"/>
  <c r="AB63" i="21"/>
  <c r="AB64" i="21"/>
  <c r="AB65" i="21"/>
  <c r="M108" i="21"/>
  <c r="W108" i="21"/>
  <c r="X108" i="21"/>
  <c r="Y108" i="21"/>
  <c r="M110" i="21"/>
  <c r="W110" i="21"/>
  <c r="X110" i="21"/>
  <c r="Y110" i="21"/>
  <c r="M112" i="21"/>
  <c r="W112" i="21"/>
  <c r="X112" i="21"/>
  <c r="Y112" i="21"/>
  <c r="J101" i="21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AR22" i="13"/>
  <c r="O22" i="13"/>
  <c r="W22" i="13"/>
  <c r="U78" i="21"/>
  <c r="V78" i="21"/>
  <c r="T78" i="21"/>
  <c r="U77" i="21"/>
  <c r="V77" i="21"/>
  <c r="T77" i="21"/>
  <c r="U76" i="21"/>
  <c r="V76" i="21"/>
  <c r="T76" i="21"/>
  <c r="U75" i="21"/>
  <c r="Y22" i="13" s="1"/>
  <c r="AM22" i="13" s="1"/>
  <c r="V75" i="21"/>
  <c r="T75" i="21"/>
  <c r="J98" i="21"/>
  <c r="H98" i="21" s="1"/>
  <c r="R79" i="21"/>
  <c r="P79" i="21" s="1"/>
  <c r="A22" i="13"/>
  <c r="L22" i="13"/>
  <c r="N22" i="13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L121" i="1" l="1"/>
  <c r="L120" i="1"/>
  <c r="L119" i="1"/>
  <c r="K113" i="1"/>
  <c r="M113" i="1" s="1"/>
  <c r="X22" i="13"/>
  <c r="AL22" i="13" s="1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K110" i="1"/>
  <c r="M110" i="1" s="1"/>
  <c r="M104" i="21"/>
  <c r="N103" i="21" s="1"/>
  <c r="W104" i="21"/>
  <c r="X104" i="21"/>
  <c r="Y104" i="21"/>
  <c r="M106" i="21"/>
  <c r="W106" i="21" s="1"/>
  <c r="X106" i="21"/>
  <c r="Y106" i="2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J86" i="5"/>
  <c r="K86" i="5"/>
  <c r="G87" i="5"/>
  <c r="J87" i="5"/>
  <c r="K87" i="5" s="1"/>
  <c r="G88" i="5"/>
  <c r="J88" i="5" s="1"/>
  <c r="K88" i="5" s="1"/>
  <c r="G89" i="5"/>
  <c r="J89" i="5"/>
  <c r="K89" i="5"/>
  <c r="G90" i="5"/>
  <c r="J90" i="5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R103" i="21" l="1"/>
  <c r="Q103" i="21" s="1"/>
  <c r="P103" i="21" s="1"/>
  <c r="J83" i="5"/>
  <c r="K83" i="5" s="1"/>
  <c r="J73" i="5"/>
  <c r="K73" i="5" s="1"/>
  <c r="P38" i="5"/>
  <c r="R75" i="21"/>
  <c r="Q75" i="21" s="1"/>
  <c r="J74" i="5"/>
  <c r="K74" i="5" s="1"/>
  <c r="R76" i="21"/>
  <c r="P76" i="21" s="1"/>
  <c r="J75" i="5"/>
  <c r="K75" i="5" s="1"/>
  <c r="R77" i="21"/>
  <c r="P32" i="5"/>
  <c r="R61" i="21"/>
  <c r="P61" i="21" s="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J82" i="5"/>
  <c r="K82" i="5" s="1"/>
  <c r="R102" i="21"/>
  <c r="Q102" i="21" s="1"/>
  <c r="P102" i="21" s="1"/>
  <c r="I104" i="21"/>
  <c r="O104" i="21"/>
  <c r="J80" i="5"/>
  <c r="R100" i="21"/>
  <c r="Q100" i="21" s="1"/>
  <c r="P100" i="21" s="1"/>
  <c r="I100" i="21" s="1"/>
  <c r="J81" i="5"/>
  <c r="K81" i="5" s="1"/>
  <c r="R101" i="21"/>
  <c r="Q101" i="21" s="1"/>
  <c r="P101" i="21" s="1"/>
  <c r="O101" i="21" s="1"/>
  <c r="N120" i="1"/>
  <c r="L107" i="1"/>
  <c r="I99" i="21"/>
  <c r="H101" i="21"/>
  <c r="H76" i="21"/>
  <c r="H77" i="21" s="1"/>
  <c r="L111" i="1"/>
  <c r="N110" i="1" s="1"/>
  <c r="L112" i="1"/>
  <c r="K109" i="1"/>
  <c r="M109" i="1" s="1"/>
  <c r="M75" i="21"/>
  <c r="P75" i="21"/>
  <c r="I76" i="21"/>
  <c r="Q76" i="21"/>
  <c r="Z21" i="13"/>
  <c r="Y21" i="13"/>
  <c r="AM21" i="13" s="1"/>
  <c r="BE21" i="13" s="1"/>
  <c r="X21" i="13"/>
  <c r="L108" i="1"/>
  <c r="L106" i="1"/>
  <c r="L104" i="1"/>
  <c r="L105" i="1"/>
  <c r="M61" i="21"/>
  <c r="W61" i="21" s="1"/>
  <c r="M62" i="21"/>
  <c r="H61" i="21"/>
  <c r="H62" i="21"/>
  <c r="I62" i="21" s="1"/>
  <c r="Q62" i="21"/>
  <c r="Q61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103" i="21" l="1"/>
  <c r="I103" i="21"/>
  <c r="Q77" i="21"/>
  <c r="P77" i="21"/>
  <c r="I77" i="21" s="1"/>
  <c r="S32" i="5"/>
  <c r="Q32" i="5"/>
  <c r="R32" i="5" s="1"/>
  <c r="K78" i="5"/>
  <c r="L77" i="5"/>
  <c r="I102" i="21"/>
  <c r="O102" i="21"/>
  <c r="L79" i="5"/>
  <c r="K80" i="5"/>
  <c r="I101" i="21"/>
  <c r="M76" i="21"/>
  <c r="I75" i="21"/>
  <c r="C22" i="13"/>
  <c r="D22" i="13" s="1"/>
  <c r="H78" i="21"/>
  <c r="N106" i="1"/>
  <c r="H63" i="21"/>
  <c r="H64" i="21" s="1"/>
  <c r="H65" i="21" s="1"/>
  <c r="O75" i="21"/>
  <c r="AL21" i="13"/>
  <c r="N104" i="1"/>
  <c r="O61" i="21"/>
  <c r="X61" i="21"/>
  <c r="Y61" i="21"/>
  <c r="O21" i="13"/>
  <c r="I61" i="21"/>
  <c r="X62" i="21"/>
  <c r="Y62" i="21"/>
  <c r="O62" i="21"/>
  <c r="N61" i="21"/>
  <c r="M63" i="21"/>
  <c r="W62" i="21"/>
  <c r="L35" i="12"/>
  <c r="H29" i="12"/>
  <c r="H35" i="12" s="1"/>
  <c r="N20" i="13"/>
  <c r="K20" i="13"/>
  <c r="L51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0" i="12"/>
  <c r="G150" i="12" s="1"/>
  <c r="M147" i="12"/>
  <c r="M148" i="12"/>
  <c r="M149" i="12"/>
  <c r="L147" i="12"/>
  <c r="L148" i="12"/>
  <c r="L149" i="12"/>
  <c r="L150" i="12"/>
  <c r="M150" i="12" s="1"/>
  <c r="L151" i="12"/>
  <c r="M151" i="12" s="1"/>
  <c r="L152" i="12"/>
  <c r="M152" i="12" s="1"/>
  <c r="L153" i="12"/>
  <c r="M153" i="12" s="1"/>
  <c r="L154" i="12"/>
  <c r="M154" i="12" s="1"/>
  <c r="L146" i="12"/>
  <c r="M146" i="12" s="1"/>
  <c r="F149" i="12"/>
  <c r="G149" i="12" s="1"/>
  <c r="F146" i="12"/>
  <c r="G146" i="12" s="1"/>
  <c r="F147" i="12"/>
  <c r="G147" i="12" s="1"/>
  <c r="F148" i="12"/>
  <c r="G148" i="12" s="1"/>
  <c r="F145" i="12"/>
  <c r="F153" i="12" s="1"/>
  <c r="G156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4" i="1"/>
  <c r="G14" i="15"/>
  <c r="H14" i="15"/>
  <c r="I14" i="15"/>
  <c r="AH18" i="13" s="1"/>
  <c r="BD22" i="13"/>
  <c r="BE22" i="13"/>
  <c r="BE23" i="13"/>
  <c r="BF23" i="13"/>
  <c r="BE24" i="13"/>
  <c r="BF24" i="13"/>
  <c r="BE25" i="13"/>
  <c r="BF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L113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4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M156" i="12" l="1"/>
  <c r="M155" i="12"/>
  <c r="G152" i="12"/>
  <c r="L156" i="12"/>
  <c r="J29" i="12"/>
  <c r="M29" i="12" s="1"/>
  <c r="M77" i="21"/>
  <c r="AT21" i="13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L88" i="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G153" i="12" l="1"/>
  <c r="G151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N77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31" i="7"/>
  <c r="N31" i="7" s="1"/>
  <c r="L35" i="7"/>
  <c r="N35" i="7" s="1"/>
  <c r="L37" i="7"/>
  <c r="N37" i="7" s="1"/>
  <c r="L38" i="7"/>
  <c r="N38" i="7" s="1"/>
  <c r="L40" i="7"/>
  <c r="N40" i="7" s="1"/>
  <c r="L43" i="7"/>
  <c r="N43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G43" i="5"/>
  <c r="R44" i="21" s="1"/>
  <c r="P44" i="21" s="1"/>
  <c r="J43" i="5"/>
  <c r="L43" i="5"/>
  <c r="P24" i="5"/>
  <c r="G42" i="5"/>
  <c r="R43" i="21" s="1"/>
  <c r="P43" i="21" s="1"/>
  <c r="Q24" i="5"/>
  <c r="J42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S24" i="5"/>
  <c r="N17" i="13"/>
  <c r="J41" i="21"/>
  <c r="Z15" i="12"/>
  <c r="T17" i="13"/>
  <c r="T18" i="13"/>
  <c r="A18" i="13" s="1"/>
  <c r="U38" i="21"/>
  <c r="V38" i="21"/>
  <c r="T38" i="21"/>
  <c r="Z40" i="21"/>
  <c r="J40" i="21" s="1"/>
  <c r="L29" i="5"/>
  <c r="L31" i="5"/>
  <c r="L33" i="5"/>
  <c r="U37" i="21"/>
  <c r="V37" i="21"/>
  <c r="T37" i="21"/>
  <c r="T36" i="21"/>
  <c r="N8" i="20"/>
  <c r="P8" i="20"/>
  <c r="F8" i="20"/>
  <c r="H8" i="20"/>
  <c r="AB33" i="21"/>
  <c r="Z39" i="21"/>
  <c r="J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K42" i="5"/>
  <c r="K43" i="5"/>
  <c r="K44" i="5"/>
  <c r="G45" i="5"/>
  <c r="J54" i="5"/>
  <c r="K54" i="5" s="1"/>
  <c r="J55" i="5"/>
  <c r="J56" i="5"/>
  <c r="K56" i="5" s="1"/>
  <c r="J59" i="5"/>
  <c r="L59" i="5" s="1"/>
  <c r="K59" i="5"/>
  <c r="J60" i="5"/>
  <c r="K60" i="5" s="1"/>
  <c r="P19" i="5"/>
  <c r="P18" i="5"/>
  <c r="P17" i="5"/>
  <c r="P16" i="5"/>
  <c r="P12" i="5"/>
  <c r="S12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P8" i="5" s="1"/>
  <c r="G10" i="5"/>
  <c r="P7" i="5" s="1"/>
  <c r="R10" i="21"/>
  <c r="Q10" i="21" s="1"/>
  <c r="G7" i="5"/>
  <c r="P6" i="5" s="1"/>
  <c r="G6" i="5"/>
  <c r="R6" i="21" s="1"/>
  <c r="Q6" i="21" s="1"/>
  <c r="J6" i="5"/>
  <c r="L5" i="5" s="1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102" i="2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M79" i="21"/>
  <c r="X79" i="21" s="1"/>
  <c r="R78" i="21"/>
  <c r="X78" i="21"/>
  <c r="Y75" i="2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R15" i="21"/>
  <c r="Q15" i="21" s="1"/>
  <c r="J7" i="5"/>
  <c r="J10" i="5"/>
  <c r="K10" i="5" s="1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24" i="1"/>
  <c r="V20" i="13"/>
  <c r="AR20" i="13" s="1"/>
  <c r="V21" i="13"/>
  <c r="V22" i="13"/>
  <c r="V23" i="13"/>
  <c r="AR23" i="13" s="1"/>
  <c r="BD23" i="13" s="1"/>
  <c r="AZ23" i="13" s="1"/>
  <c r="V24" i="13"/>
  <c r="AR24" i="13" s="1"/>
  <c r="BD24" i="13" s="1"/>
  <c r="V25" i="13"/>
  <c r="AR25" i="13" s="1"/>
  <c r="BD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T14" i="13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U13" i="13"/>
  <c r="M28" i="4" s="1"/>
  <c r="H33" i="4"/>
  <c r="H25" i="21"/>
  <c r="J22" i="5"/>
  <c r="L21" i="5" s="1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 s="1"/>
  <c r="R73" i="4"/>
  <c r="I73" i="4" s="1"/>
  <c r="R75" i="4"/>
  <c r="I75" i="4"/>
  <c r="R77" i="4"/>
  <c r="I77" i="4"/>
  <c r="R79" i="4"/>
  <c r="I79" i="4"/>
  <c r="R81" i="4"/>
  <c r="I81" i="4" s="1"/>
  <c r="R83" i="4"/>
  <c r="I83" i="4"/>
  <c r="R85" i="4"/>
  <c r="I85" i="4"/>
  <c r="R87" i="4"/>
  <c r="I87" i="4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4" i="13"/>
  <c r="AT25" i="13"/>
  <c r="AT26" i="13"/>
  <c r="AT30" i="13"/>
  <c r="AT34" i="13"/>
  <c r="AT35" i="13"/>
  <c r="AT36" i="13"/>
  <c r="AT37" i="13"/>
  <c r="AT38" i="13"/>
  <c r="AT39" i="13"/>
  <c r="AT40" i="13"/>
  <c r="AT41" i="13"/>
  <c r="AT42" i="13"/>
  <c r="AT46" i="13"/>
  <c r="AT50" i="13"/>
  <c r="AT51" i="13"/>
  <c r="AT52" i="13"/>
  <c r="AT53" i="13"/>
  <c r="AT54" i="13"/>
  <c r="AT55" i="13"/>
  <c r="AT56" i="13"/>
  <c r="AT57" i="13"/>
  <c r="AT58" i="13"/>
  <c r="AF11" i="13"/>
  <c r="U95" i="13" s="1"/>
  <c r="H7" i="15"/>
  <c r="AG11" i="13"/>
  <c r="V95" i="13" s="1"/>
  <c r="I7" i="15"/>
  <c r="AH11" i="13"/>
  <c r="G7" i="15"/>
  <c r="U11" i="13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 s="1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L41" i="5" s="1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J40" i="5"/>
  <c r="K40" i="5" s="1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L53" i="7" s="1"/>
  <c r="N53" i="7" s="1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G27" i="5"/>
  <c r="J27" i="5"/>
  <c r="L27" i="5" s="1"/>
  <c r="K27" i="5"/>
  <c r="G25" i="5"/>
  <c r="J25" i="5"/>
  <c r="K25" i="5"/>
  <c r="G24" i="5"/>
  <c r="J24" i="5"/>
  <c r="K24" i="5"/>
  <c r="G23" i="5"/>
  <c r="J23" i="5"/>
  <c r="L23" i="5" s="1"/>
  <c r="K23" i="5"/>
  <c r="G20" i="5"/>
  <c r="J20" i="5"/>
  <c r="K20" i="5"/>
  <c r="G19" i="5"/>
  <c r="J19" i="5"/>
  <c r="L19" i="5" s="1"/>
  <c r="K19" i="5"/>
  <c r="G18" i="5"/>
  <c r="J18" i="5"/>
  <c r="K18" i="5"/>
  <c r="G13" i="5"/>
  <c r="G12" i="5"/>
  <c r="G9" i="5"/>
  <c r="G8" i="5"/>
  <c r="J13" i="5"/>
  <c r="K13" i="5"/>
  <c r="J35" i="5"/>
  <c r="L35" i="5" s="1"/>
  <c r="K35" i="5"/>
  <c r="J36" i="5"/>
  <c r="K36" i="5"/>
  <c r="J8" i="5"/>
  <c r="K8" i="5"/>
  <c r="R8" i="21"/>
  <c r="Q8" i="21" s="1"/>
  <c r="J9" i="5"/>
  <c r="L9" i="5" s="1"/>
  <c r="K9" i="5"/>
  <c r="R9" i="21"/>
  <c r="Q9" i="21" s="1"/>
  <c r="J12" i="5"/>
  <c r="K12" i="5"/>
  <c r="R12" i="21"/>
  <c r="Q12" i="21" s="1"/>
  <c r="R21" i="4"/>
  <c r="R21" i="21"/>
  <c r="P21" i="21" s="1"/>
  <c r="R34" i="4"/>
  <c r="R33" i="4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R19" i="4"/>
  <c r="Q12" i="5"/>
  <c r="J31" i="7"/>
  <c r="S16" i="5"/>
  <c r="P69" i="4"/>
  <c r="R38" i="5"/>
  <c r="R33" i="5"/>
  <c r="L52" i="7" s="1"/>
  <c r="N52" i="7" s="1"/>
  <c r="Q20" i="4"/>
  <c r="P20" i="4"/>
  <c r="P30" i="4"/>
  <c r="P21" i="4"/>
  <c r="Q21" i="4"/>
  <c r="Q33" i="4"/>
  <c r="P33" i="4"/>
  <c r="P31" i="4"/>
  <c r="Q31" i="4"/>
  <c r="J41" i="7"/>
  <c r="R39" i="5"/>
  <c r="Q20" i="5"/>
  <c r="R20" i="5" s="1"/>
  <c r="L39" i="7" s="1"/>
  <c r="S21" i="5"/>
  <c r="P29" i="4"/>
  <c r="Q29" i="4"/>
  <c r="P27" i="4"/>
  <c r="Q27" i="4"/>
  <c r="J36" i="7"/>
  <c r="S19" i="5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P63" i="4"/>
  <c r="R35" i="5"/>
  <c r="L54" i="7" s="1"/>
  <c r="N54" i="7" s="1"/>
  <c r="I11" i="4"/>
  <c r="I7" i="4"/>
  <c r="R24" i="5"/>
  <c r="P41" i="4"/>
  <c r="R12" i="5"/>
  <c r="N18" i="7"/>
  <c r="N16" i="7"/>
  <c r="P71" i="4"/>
  <c r="N8" i="7"/>
  <c r="R19" i="5"/>
  <c r="J34" i="7"/>
  <c r="R16" i="5"/>
  <c r="J37" i="7"/>
  <c r="P35" i="4"/>
  <c r="C13" i="13"/>
  <c r="C15" i="13"/>
  <c r="C14" i="13"/>
  <c r="R18" i="5"/>
  <c r="J38" i="7"/>
  <c r="R21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P27" i="5" l="1"/>
  <c r="R46" i="21"/>
  <c r="P25" i="5"/>
  <c r="J45" i="5"/>
  <c r="L55" i="5"/>
  <c r="K55" i="5"/>
  <c r="S17" i="5"/>
  <c r="V12" i="5" s="1"/>
  <c r="Q17" i="5"/>
  <c r="R17" i="5" s="1"/>
  <c r="L36" i="7" s="1"/>
  <c r="N36" i="7" s="1"/>
  <c r="J14" i="5"/>
  <c r="P9" i="5"/>
  <c r="Q8" i="5"/>
  <c r="S8" i="5"/>
  <c r="Q7" i="5"/>
  <c r="S7" i="5"/>
  <c r="R9" i="4"/>
  <c r="S6" i="5"/>
  <c r="Q6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K67" i="5" s="1"/>
  <c r="P36" i="5"/>
  <c r="J69" i="5"/>
  <c r="K69" i="5" s="1"/>
  <c r="P37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P42" i="21" s="1"/>
  <c r="R38" i="21"/>
  <c r="P38" i="21" s="1"/>
  <c r="J37" i="5"/>
  <c r="P22" i="5"/>
  <c r="J39" i="5"/>
  <c r="R40" i="21"/>
  <c r="P40" i="21" s="1"/>
  <c r="Y102" i="21"/>
  <c r="N101" i="21"/>
  <c r="J35" i="12"/>
  <c r="F57" i="7"/>
  <c r="X62" i="7" s="1"/>
  <c r="AT23" i="13"/>
  <c r="W96" i="21"/>
  <c r="W88" i="21"/>
  <c r="X97" i="21"/>
  <c r="W97" i="21"/>
  <c r="X98" i="21"/>
  <c r="W98" i="21"/>
  <c r="O98" i="21"/>
  <c r="M99" i="21"/>
  <c r="M100" i="21" s="1"/>
  <c r="M101" i="21" s="1"/>
  <c r="T113" i="21"/>
  <c r="P78" i="21"/>
  <c r="I78" i="21" s="1"/>
  <c r="Q78" i="21"/>
  <c r="C23" i="13"/>
  <c r="D23" i="13" s="1"/>
  <c r="W92" i="21"/>
  <c r="W86" i="21"/>
  <c r="Y93" i="21"/>
  <c r="W93" i="21"/>
  <c r="Y81" i="21"/>
  <c r="W81" i="21"/>
  <c r="Y87" i="21"/>
  <c r="W87" i="21"/>
  <c r="W84" i="21"/>
  <c r="X95" i="21"/>
  <c r="W95" i="21"/>
  <c r="X83" i="21"/>
  <c r="W83" i="21"/>
  <c r="U90" i="21"/>
  <c r="X90" i="21" s="1"/>
  <c r="W90" i="21"/>
  <c r="Y91" i="21"/>
  <c r="W91" i="21"/>
  <c r="X85" i="21"/>
  <c r="W85" i="21"/>
  <c r="U94" i="21"/>
  <c r="V94" i="21" s="1"/>
  <c r="Y94" i="21" s="1"/>
  <c r="W94" i="21"/>
  <c r="U82" i="21"/>
  <c r="W82" i="21"/>
  <c r="X89" i="21"/>
  <c r="W89" i="2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W76" i="2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N65" i="21"/>
  <c r="P63" i="21"/>
  <c r="I63" i="21"/>
  <c r="Q63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I7" i="21"/>
  <c r="W68" i="21"/>
  <c r="X34" i="21"/>
  <c r="X68" i="21"/>
  <c r="P29" i="21"/>
  <c r="X69" i="21"/>
  <c r="P24" i="21"/>
  <c r="O24" i="21" s="1"/>
  <c r="Y70" i="21"/>
  <c r="X102" i="21"/>
  <c r="X72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I9" i="21"/>
  <c r="P36" i="21"/>
  <c r="Q19" i="21"/>
  <c r="W64" i="21"/>
  <c r="Y77" i="21"/>
  <c r="Y85" i="21"/>
  <c r="I6" i="21"/>
  <c r="X64" i="21"/>
  <c r="AB21" i="13" s="1"/>
  <c r="W78" i="21"/>
  <c r="Q22" i="21"/>
  <c r="H8" i="21"/>
  <c r="I8" i="21" s="1"/>
  <c r="Y78" i="21"/>
  <c r="P20" i="21"/>
  <c r="W67" i="21"/>
  <c r="Y79" i="21"/>
  <c r="Y83" i="21"/>
  <c r="Q21" i="21"/>
  <c r="Q23" i="21"/>
  <c r="P32" i="21"/>
  <c r="O32" i="21" s="1"/>
  <c r="AA115" i="21"/>
  <c r="X67" i="21"/>
  <c r="P72" i="2"/>
  <c r="Y8" i="2" s="1"/>
  <c r="Y26" i="2" s="1"/>
  <c r="J50" i="5"/>
  <c r="C17" i="13"/>
  <c r="V82" i="21"/>
  <c r="Y82" i="21" s="1"/>
  <c r="X82" i="21"/>
  <c r="C18" i="13"/>
  <c r="Y73" i="21"/>
  <c r="Q41" i="21"/>
  <c r="Q30" i="21"/>
  <c r="X15" i="21"/>
  <c r="X74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X5" i="21"/>
  <c r="Q43" i="21"/>
  <c r="X12" i="21"/>
  <c r="X24" i="21"/>
  <c r="W65" i="21"/>
  <c r="Q44" i="21"/>
  <c r="Y74" i="21"/>
  <c r="Y15" i="21"/>
  <c r="Y65" i="21"/>
  <c r="AN21" i="13" s="1"/>
  <c r="X76" i="21"/>
  <c r="Q39" i="21"/>
  <c r="Q5" i="21"/>
  <c r="W12" i="21"/>
  <c r="AB12" i="21" s="1"/>
  <c r="W24" i="21"/>
  <c r="AB24" i="21" s="1"/>
  <c r="W66" i="21"/>
  <c r="Y76" i="21"/>
  <c r="Y98" i="21"/>
  <c r="AI11" i="21"/>
  <c r="AI12" i="21" s="1"/>
  <c r="AI13" i="21" s="1"/>
  <c r="U88" i="21"/>
  <c r="X73" i="21"/>
  <c r="U84" i="21"/>
  <c r="Y14" i="21"/>
  <c r="Q45" i="21"/>
  <c r="Y24" i="21"/>
  <c r="U113" i="21"/>
  <c r="U92" i="21"/>
  <c r="V92" i="21" s="1"/>
  <c r="Y92" i="21" s="1"/>
  <c r="Q38" i="21"/>
  <c r="V113" i="21"/>
  <c r="P37" i="21"/>
  <c r="Q25" i="21"/>
  <c r="X66" i="21"/>
  <c r="W77" i="21"/>
  <c r="X93" i="21"/>
  <c r="W102" i="21"/>
  <c r="AB102" i="21" s="1"/>
  <c r="O5" i="21"/>
  <c r="AA116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O42" i="21" s="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S25" i="5" l="1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C11" i="13" s="1"/>
  <c r="D11" i="13" s="1"/>
  <c r="R7" i="5"/>
  <c r="L26" i="7" s="1"/>
  <c r="N26" i="7" s="1"/>
  <c r="P9" i="21"/>
  <c r="J26" i="7"/>
  <c r="I9" i="4"/>
  <c r="O9" i="4"/>
  <c r="P7" i="21"/>
  <c r="R6" i="5"/>
  <c r="L25" i="7" s="1"/>
  <c r="N25" i="7" s="1"/>
  <c r="J25" i="7"/>
  <c r="P7" i="4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4" i="12"/>
  <c r="M37" i="12" s="1"/>
  <c r="AC22" i="13"/>
  <c r="AN22" i="13" s="1"/>
  <c r="R113" i="21"/>
  <c r="AB22" i="13"/>
  <c r="X100" i="21"/>
  <c r="Y100" i="21"/>
  <c r="O100" i="21"/>
  <c r="W100" i="21"/>
  <c r="V90" i="21"/>
  <c r="Y90" i="21" s="1"/>
  <c r="X94" i="21"/>
  <c r="O99" i="21"/>
  <c r="Y99" i="21"/>
  <c r="W99" i="21"/>
  <c r="X99" i="21"/>
  <c r="AA22" i="13"/>
  <c r="AC26" i="2"/>
  <c r="C21" i="13"/>
  <c r="D21" i="13" s="1"/>
  <c r="BF21" i="13"/>
  <c r="M12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BA21" i="13" s="1"/>
  <c r="AP12" i="13"/>
  <c r="BM10" i="13"/>
  <c r="O63" i="2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Z21" i="13" s="1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4" i="1"/>
  <c r="C26" i="7"/>
  <c r="C29" i="7"/>
  <c r="G14" i="7"/>
  <c r="H14" i="7" s="1"/>
  <c r="E14" i="7"/>
  <c r="L12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P43" i="4" l="1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13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P113" i="21"/>
  <c r="J36" i="12"/>
  <c r="AV22" i="13"/>
  <c r="Y35" i="21"/>
  <c r="N124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O17" i="4" l="1"/>
  <c r="C12" i="13"/>
  <c r="N57" i="7"/>
  <c r="N41" i="7"/>
  <c r="L57" i="7"/>
  <c r="X57" i="2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N44" i="21"/>
  <c r="BA18" i="13"/>
  <c r="X113" i="21"/>
  <c r="Y113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D12" i="13" l="1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AA20" i="13" s="1"/>
  <c r="S56" i="21"/>
  <c r="N57" i="21"/>
  <c r="N102" i="4"/>
  <c r="X58" i="21"/>
  <c r="AB20" i="13" s="1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Y52" i="21"/>
  <c r="AV18" i="13"/>
  <c r="BF18" i="13"/>
  <c r="N30" i="21"/>
  <c r="W113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U67" i="13" l="1"/>
  <c r="M76" i="13" s="1"/>
  <c r="J68" i="13"/>
  <c r="P67" i="13" s="1"/>
  <c r="M75" i="13" s="1"/>
  <c r="M70" i="13"/>
  <c r="M72" i="13" s="1"/>
  <c r="M73" i="13" s="1"/>
  <c r="N67" i="13"/>
  <c r="M74" i="13" s="1"/>
  <c r="M77" i="13"/>
  <c r="M113" i="21"/>
  <c r="BF20" i="13"/>
  <c r="BB20" i="13" s="1"/>
  <c r="AE16" i="13"/>
  <c r="H54" i="21"/>
  <c r="I54" i="21" s="1"/>
  <c r="N52" i="21"/>
  <c r="O54" i="21"/>
  <c r="S48" i="21"/>
  <c r="S113" i="21" s="1"/>
  <c r="Y54" i="21"/>
  <c r="W54" i="21"/>
  <c r="X54" i="21"/>
  <c r="X53" i="21"/>
  <c r="AB19" i="13" s="1"/>
  <c r="Y53" i="21"/>
  <c r="W53" i="21"/>
  <c r="O53" i="21"/>
  <c r="BB18" i="13"/>
  <c r="AE17" i="13"/>
  <c r="AD17" i="13"/>
  <c r="AD18" i="13"/>
  <c r="AE18" i="13"/>
  <c r="O113" i="21" l="1"/>
  <c r="AC19" i="13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<sst xmlns="http://schemas.openxmlformats.org/spreadsheetml/2006/main" count="2776" uniqueCount="797">
  <si>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</si>
  <si>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</si>
  <si>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</si>
  <si>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</si>
  <si>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</si>
  <si>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</si>
  <si>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</si>
  <si>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</si>
  <si>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</si>
  <si>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</si>
  <si>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</si>
  <si>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</si>
  <si>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</si>
  <si>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</si>
  <si>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</si>
  <si>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</si>
  <si>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</si>
  <si>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</si>
  <si>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</si>
  <si>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</si>
  <si>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</si>
  <si>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</si>
  <si>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</si>
  <si>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</si>
  <si>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</si>
  <si>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</si>
  <si>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</si>
  <si>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</si>
  <si>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</si>
  <si>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</si>
  <si>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</si>
  <si>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</si>
  <si>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</si>
  <si>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</si>
  <si>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</si>
  <si>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</si>
  <si>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</si>
  <si>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</si>
  <si>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</si>
  <si>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</si>
  <si>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</si>
  <si>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</si>
  <si>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</si>
  <si>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</si>
  <si>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</si>
  <si>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</si>
  <si>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</si>
  <si>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</si>
  <si>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</si>
  <si>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</si>
  <si>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</si>
  <si>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</si>
  <si>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</si>
  <si>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</si>
  <si>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</si>
  <si>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</si>
  <si>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</si>
  <si>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</si>
  <si>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</si>
  <si>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</si>
  <si>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</si>
  <si>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</si>
  <si>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</si>
  <si>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</si>
  <si>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</si>
  <si>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</si>
  <si>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</si>
  <si>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</si>
  <si>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</si>
  <si>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</si>
  <si>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</si>
  <si>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</si>
  <si>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</si>
  <si>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</si>
  <si>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</si>
  <si>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</si>
  <si>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</si>
  <si>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</si>
  <si>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</si>
  <si>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</si>
  <si>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</si>
  <si>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</si>
  <si>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</si>
  <si>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</si>
  <si>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</si>
  <si>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</si>
  <si>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</si>
  <si>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</si>
  <si>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</si>
  <si>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</si>
  <si>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</si>
  <si>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</si>
  <si>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</si>
  <si>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</si>
  <si>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</si>
  <si>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</si>
  <si>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</si>
  <si>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</si>
  <si>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</si>
  <si>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</si>
  <si>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</si>
  <si>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</si>
  <si>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</si>
  <si>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</si>
  <si>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</si>
  <si>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</si>
  <si>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</si>
  <si>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</si>
  <si>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</si>
  <si>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</si>
  <si>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</si>
  <si>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</si>
  <si>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</si>
  <si>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</si>
  <si>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</si>
  <si>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</si>
  <si>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</si>
  <si>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</si>
  <si>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</si>
  <si>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</si>
  <si>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</si>
  <si>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</si>
  <si>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</si>
  <si>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</si>
  <si>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</si>
  <si>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</si>
  <si>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</si>
  <si>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</si>
  <si>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</si>
  <si>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</si>
  <si>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</si>
  <si>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</si>
  <si>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</si>
  <si>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</si>
  <si>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</si>
  <si>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</si>
  <si>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</si>
  <si>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</si>
  <si>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</si>
  <si>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</si>
  <si>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</si>
  <si>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</si>
  <si>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</si>
  <si>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</si>
  <si>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</si>
  <si>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</si>
  <si>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</si>
  <si>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</si>
  <si>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</si>
  <si>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</si>
  <si>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</si>
  <si>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</si>
  <si>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</si>
  <si>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</si>
  <si>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</si>
  <si>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</si>
  <si>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</si>
  <si>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</si>
  <si>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</si>
  <si>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</si>
  <si>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</si>
  <si>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</si>
  <si>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</si>
  <si>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</si>
  <si>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</si>
  <si>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</si>
  <si>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</si>
  <si>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</si>
  <si>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</si>
  <si>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</si>
  <si>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</si>
  <si>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</si>
  <si>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</si>
  <si>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</si>
  <si>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</si>
  <si>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</si>
  <si>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</si>
  <si>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</si>
  <si>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</si>
  <si>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</si>
  <si>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</si>
  <si>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</si>
  <si>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</si>
  <si>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</si>
  <si>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</si>
  <si>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</si>
  <si>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</si>
  <si>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</si>
  <si>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</si>
  <si>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</si>
  <si>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</si>
  <si>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</si>
  <si>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</si>
  <si>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</si>
  <si>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</si>
  <si>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</si>
  <si>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</si>
  <si>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</si>
  <si>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</si>
  <si>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</si>
  <si>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</si>
  <si>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</si>
  <si>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</si>
  <si>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</si>
  <si>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</si>
  <si>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</si>
  <si>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</si>
  <si>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</si>
  <si>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</si>
  <si>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</si>
  <si>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</si>
  <si>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</si>
  <si>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</si>
  <si>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</si>
  <si>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</si>
  <si>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</si>
  <si>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</si>
  <si>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</si>
  <si>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</si>
  <si>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</si>
  <si>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</si>
  <si>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</si>
  <si>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</si>
  <si>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</si>
  <si>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</si>
  <si>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</si>
  <si>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</si>
  <si>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</si>
  <si>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</si>
  <si>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</si>
  <si>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</si>
  <si>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</si>
  <si>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</si>
  <si>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</si>
  <si>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</si>
  <si>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</si>
  <si>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</si>
  <si>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</si>
  <si>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</si>
  <si>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</si>
  <si>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</si>
  <si>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</si>
  <si>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</si>
  <si>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</si>
  <si>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</si>
  <si>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</si>
  <si>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</si>
  <si>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</si>
  <si>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</si>
  <si>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</si>
  <si>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</si>
  <si>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</si>
  <si>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</si>
  <si>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</si>
  <si>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</si>
  <si>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</si>
  <si>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</si>
  <si>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</si>
  <si>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</si>
  <si>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</si>
  <si>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</si>
  <si>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</si>
  <si>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</si>
  <si>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</si>
  <si>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</si>
  <si>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</si>
  <si>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</si>
  <si>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</si>
  <si>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</si>
  <si>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</si>
  <si>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</si>
  <si>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</si>
  <si>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</si>
  <si>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</si>
  <si>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</si>
  <si>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</si>
  <si>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</si>
  <si>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</si>
  <si>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</si>
  <si>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</si>
  <si>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</si>
  <si>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</si>
  <si>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</si>
  <si>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</si>
  <si>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</si>
  <si>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</si>
  <si>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</si>
  <si>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</si>
  <si>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</si>
  <si>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</si>
  <si>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</si>
  <si>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</si>
  <si>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</si>
  <si>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</si>
  <si>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</si>
  <si>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</si>
  <si>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</si>
  <si>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</si>
  <si>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</si>
  <si>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</si>
  <si>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</si>
  <si>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</si>
  <si>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</si>
  <si>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</si>
  <si>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</si>
  <si>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</si>
  <si>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</si>
  <si>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</si>
  <si>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</si>
  <si>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</si>
  <si>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</si>
  <si>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</si>
  <si>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</si>
  <si>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</si>
  <si>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</si>
  <si>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</si>
  <si>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</si>
  <si>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</si>
  <si>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</si>
  <si>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</si>
  <si>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</si>
  <si>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</si>
  <si>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</si>
  <si>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</si>
  <si>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</si>
  <si>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</si>
  <si>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</si>
  <si>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</si>
  <si>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</si>
  <si>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</si>
  <si>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</si>
  <si>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</si>
  <si>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</si>
  <si>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</si>
  <si>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</si>
  <si>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</si>
  <si>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</si>
  <si>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</si>
  <si>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</si>
  <si>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</si>
  <si>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</si>
  <si>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</si>
  <si>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</si>
  <si>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</si>
  <si>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</si>
  <si>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</si>
  <si>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</si>
  <si>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</si>
  <si>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</si>
  <si>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</si>
  <si>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</si>
  <si>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</si>
  <si>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</si>
  <si>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</si>
  <si>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</si>
  <si>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</si>
  <si>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</si>
  <si>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</si>
  <si>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</si>
  <si>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</si>
  <si>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</si>
  <si>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</si>
  <si>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</si>
  <si>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</si>
  <si>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</si>
  <si>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</si>
  <si>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</si>
  <si>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</si>
  <si>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</si>
  <si>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</si>
  <si>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</si>
  <si>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</si>
  <si>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</si>
  <si>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</si>
  <si>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</si>
  <si>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</si>
  <si>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</si>
  <si>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</si>
  <si>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</si>
  <si>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</si>
  <si>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</si>
  <si>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</si>
  <si>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</si>
  <si>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</si>
  <si>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</si>
  <si>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</si>
  <si>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</si>
  <si>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</si>
  <si>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</si>
  <si>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</si>
  <si>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</si>
  <si>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</si>
  <si>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</si>
  <si>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</si>
  <si>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</si>
  <si>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</si>
  <si>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</si>
  <si>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</si>
  <si>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</si>
  <si>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</si>
  <si>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</si>
  <si>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</si>
  <si>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</si>
  <si>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</si>
  <si>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</si>
  <si>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</si>
  <si>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</si>
  <si>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</si>
  <si>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</si>
  <si>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</si>
  <si>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</si>
  <si>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</si>
  <si>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</si>
  <si>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</si>
  <si>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</si>
  <si>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</si>
  <si>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</si>
  <si>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</si>
  <si>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</si>
  <si>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</si>
  <si>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</si>
  <si>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</si>
  <si>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</si>
  <si>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</si>
  <si>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</si>
  <si>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</si>
  <si>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</si>
  <si>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</si>
  <si>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</si>
  <si>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</si>
  <si>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</si>
  <si>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</si>
  <si>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</si>
  <si>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</si>
  <si>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</si>
  <si>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</si>
  <si>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</si>
  <si>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</si>
  <si>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</si>
  <si>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</si>
  <si>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</si>
  <si>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</si>
  <si>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</si>
  <si>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</si>
  <si>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</si>
  <si>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</si>
  <si>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</si>
  <si>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</si>
  <si>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</si>
  <si>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</si>
  <si>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</si>
  <si>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</si>
  <si>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</si>
  <si>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</si>
  <si>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</si>
  <si>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</si>
  <si>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</si>
  <si>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</si>
  <si>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</si>
  <si>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</si>
  <si>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</si>
  <si>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</si>
  <si>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</si>
  <si>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</si>
  <si>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</si>
  <si>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</si>
  <si>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</si>
  <si>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</si>
  <si>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</si>
  <si>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</si>
  <si>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</si>
  <si>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</si>
  <si>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</si>
  <si>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</si>
  <si>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</si>
  <si>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</si>
  <si>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</si>
  <si>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</si>
  <si>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</si>
  <si>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</si>
  <si>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</si>
  <si>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</si>
  <si>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</si>
  <si>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</si>
  <si>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</si>
  <si>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</si>
  <si>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</si>
  <si>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</si>
  <si>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</si>
  <si>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</si>
  <si>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</si>
  <si>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</si>
  <si>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</si>
  <si>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</si>
  <si>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</si>
  <si>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</si>
  <si>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</si>
  <si>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</si>
  <si>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</si>
  <si>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</si>
  <si>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</si>
  <si>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</si>
  <si>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</si>
  <si>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</si>
  <si>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</si>
  <si>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</si>
  <si>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</si>
  <si>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</si>
  <si>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</si>
  <si>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</si>
  <si>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</si>
  <si>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</si>
  <si>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</si>
  <si>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</si>
  <si>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</si>
  <si>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</si>
  <si>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</si>
  <si>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</si>
  <si>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</si>
  <si>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</si>
  <si>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</si>
  <si>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</si>
  <si>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</si>
  <si>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</si>
  <si>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</si>
  <si>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</si>
  <si>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</si>
  <si>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</si>
  <si>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</si>
  <si>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</si>
  <si>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</si>
  <si>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</si>
  <si>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</si>
  <si>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</si>
  <si>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</si>
  <si>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</si>
  <si>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</si>
  <si>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</si>
  <si>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</si>
  <si>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</si>
  <si>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</si>
  <si>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</si>
  <si>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</si>
  <si>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</si>
  <si>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</si>
  <si>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</si>
  <si>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</si>
  <si>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</si>
  <si>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</si>
  <si>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</si>
  <si>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</si>
  <si>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</si>
  <si>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</si>
  <si>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</si>
  <si>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</si>
  <si>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</si>
  <si>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</si>
  <si>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</si>
  <si>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</si>
  <si>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</si>
  <si>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</si>
  <si>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</si>
  <si>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</si>
  <si>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</si>
  <si>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</si>
  <si>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</si>
  <si>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</si>
  <si>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</si>
  <si>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</si>
  <si>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</si>
  <si>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</si>
  <si>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</si>
  <si>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</si>
  <si>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</si>
  <si>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</si>
  <si>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</si>
  <si>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</si>
  <si>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</si>
  <si>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</si>
  <si>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</si>
  <si>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</si>
  <si>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</si>
  <si>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</si>
  <si>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</si>
  <si>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</si>
  <si>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</si>
  <si>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</si>
  <si>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</si>
  <si>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</si>
  <si>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</si>
  <si>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</si>
  <si>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</si>
  <si>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</si>
  <si>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</si>
  <si>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</si>
  <si>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</si>
  <si>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</si>
  <si>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</si>
  <si>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</si>
  <si>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</si>
  <si>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</si>
  <si>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</si>
  <si>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</si>
  <si>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</si>
  <si>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</si>
  <si>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</si>
  <si>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</si>
  <si>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</si>
  <si>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</si>
  <si>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</si>
  <si>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</si>
  <si>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</si>
  <si>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</si>
  <si>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</si>
  <si>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</si>
  <si>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</si>
  <si>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</si>
  <si>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</si>
  <si>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</si>
  <si>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</si>
  <si>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</si>
  <si>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</si>
  <si>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</si>
  <si>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</si>
  <si>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</si>
  <si>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</si>
  <si>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</si>
  <si>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</si>
  <si>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</si>
  <si>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</si>
  <si>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</si>
  <si>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</si>
  <si>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</si>
  <si>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</si>
  <si>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</si>
  <si>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</si>
  <si>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</si>
  <si>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</si>
  <si>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</si>
  <si>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</si>
  <si>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</si>
  <si>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</si>
  <si>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</si>
  <si>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</si>
  <si>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</si>
  <si>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</si>
  <si>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</si>
  <si>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</si>
  <si>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</si>
  <si>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</si>
  <si>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</si>
  <si>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</si>
  <si>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</si>
  <si>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</si>
  <si>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</si>
  <si>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</si>
  <si>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</si>
  <si>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</si>
  <si>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</si>
  <si>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</si>
  <si>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</si>
  <si>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</si>
  <si>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</si>
  <si>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</si>
  <si>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</si>
  <si>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</si>
  <si>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</si>
  <si>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</si>
  <si>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</si>
  <si>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</si>
  <si>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</si>
  <si>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</si>
  <si>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</si>
  <si>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</si>
  <si>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</si>
  <si>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</si>
  <si>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</si>
  <si>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</si>
  <si>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</si>
  <si>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</si>
  <si>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</si>
  <si>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</si>
  <si>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</si>
  <si>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</si>
  <si>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</si>
  <si>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</si>
  <si>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</si>
  <si>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</si>
  <si>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</si>
  <si>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</si>
  <si>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</si>
  <si>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</si>
  <si>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</si>
  <si>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</si>
  <si>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</si>
  <si>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</si>
  <si>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</si>
  <si>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</si>
  <si>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</si>
  <si>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</si>
  <si>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</si>
  <si>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</si>
  <si>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</si>
  <si>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</si>
  <si>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</si>
  <si>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</si>
  <si>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</si>
  <si>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</si>
  <si>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</si>
  <si>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</si>
  <si>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</si>
  <si>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</si>
  <si>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</si>
  <si>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</si>
  <si>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</si>
  <si>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</si>
  <si>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</si>
  <si>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</si>
  <si>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</si>
  <si>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</si>
  <si>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</si>
  <si>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</si>
  <si>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</si>
  <si>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</si>
  <si>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</si>
  <si>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</si>
  <si>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</si>
  <si>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</si>
  <si>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</si>
  <si>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</si>
  <si>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</si>
  <si>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</si>
  <si>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</si>
  <si>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</si>
  <si>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</si>
  <si>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</si>
  <si>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</si>
  <si>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</si>
  <si>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</si>
  <si>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</si>
  <si>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</si>
  <si>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</si>
  <si>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</si>
  <si>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</si>
  <si>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</si>
  <si>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</si>
  <si>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</si>
  <si>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</si>
  <si>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</si>
  <si>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</si>
  <si>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</si>
  <si>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</si>
  <si>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</si>
  <si>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</si>
  <si>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</si>
  <si>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</si>
  <si>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</si>
  <si>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</si>
  <si>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</si>
  <si>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</si>
  <si>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</si>
  <si>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</si>
  <si>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</si>
  <si>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</si>
  <si>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</si>
  <si>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</si>
  <si>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</si>
  <si>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</si>
  <si>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</si>
  <si>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</si>
  <si>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</si>
  <si>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</si>
  <si>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</si>
  <si>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</si>
  <si>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</si>
  <si>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</si>
  <si>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</si>
  <si>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</si>
  <si>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</si>
  <si>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</si>
  <si>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</si>
  <si>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</si>
  <si>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</si>
  <si>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</si>
  <si>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</si>
  <si>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</si>
  <si>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</si>
  <si>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</si>
  <si>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</si>
  <si>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</si>
  <si>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</si>
  <si>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Batch 15 Tank 3</t>
  </si>
  <si>
    <t>Running ball mill 1,2,3 7:00</t>
  </si>
  <si>
    <t>Octa</t>
  </si>
  <si>
    <t>Running Ball Mill 1,2,3 19:30</t>
  </si>
  <si>
    <t>Unknown User</t>
  </si>
  <si>
    <t>UNKNOWN 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</si>
</sst>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1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84" fillId="0" borderId="0" applyFont="0" applyFill="0" applyBorder="0" applyAlignment="0" applyProtection="0"/>
    <xf numFmtId="9" fontId="84" fillId="0" borderId="0" applyFont="0" applyFill="0" applyBorder="0" applyAlignment="0" applyProtection="0"/>
    <xf numFmtId="43" fontId="85" fillId="0" borderId="0" applyFont="0" applyFill="0" applyBorder="0" applyAlignment="0" applyProtection="0"/>
  </cellStyleXfs>
  <cellXfs count="167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5" fillId="2" borderId="12" xfId="0" applyFont="1" applyFill="1" applyBorder="1"/>
    <xf numFmtId="0" fontId="0" fillId="2" borderId="12" xfId="0" applyFill="1" applyBorder="1"/>
    <xf numFmtId="0" fontId="85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6" fillId="4" borderId="12" xfId="0" applyFont="1" applyFill="1" applyBorder="1" applyAlignment="1">
      <alignment horizontal="center"/>
    </xf>
    <xf numFmtId="0" fontId="86" fillId="3" borderId="12" xfId="0" applyFont="1" applyFill="1" applyBorder="1" applyAlignment="1">
      <alignment horizontal="center"/>
    </xf>
    <xf numFmtId="0" fontId="85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6" fillId="3" borderId="12" xfId="0" applyFont="1" applyFill="1" applyBorder="1"/>
    <xf numFmtId="0" fontId="0" fillId="3" borderId="12" xfId="0" applyFill="1" applyBorder="1"/>
    <xf numFmtId="0" fontId="86" fillId="3" borderId="31" xfId="0" applyFont="1" applyFill="1" applyBorder="1" applyAlignment="1">
      <alignment horizontal="center"/>
    </xf>
    <xf numFmtId="0" fontId="86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7" fillId="5" borderId="0" xfId="0" applyFont="1" applyFill="1"/>
    <xf numFmtId="0" fontId="88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9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9" fillId="2" borderId="0" xfId="3" applyNumberFormat="1" applyFont="1" applyFill="1"/>
    <xf numFmtId="170" fontId="89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5" fillId="2" borderId="12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0" fillId="5" borderId="0" xfId="2" applyNumberFormat="1" applyFont="1" applyFill="1"/>
    <xf numFmtId="172" fontId="89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1" fillId="6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1" fillId="8" borderId="12" xfId="0" applyFont="1" applyFill="1" applyBorder="1" applyAlignment="1">
      <alignment horizontal="center" vertical="center"/>
    </xf>
    <xf numFmtId="0" fontId="91" fillId="9" borderId="12" xfId="0" applyFont="1" applyFill="1" applyBorder="1" applyAlignment="1">
      <alignment horizontal="center" vertical="center"/>
    </xf>
    <xf numFmtId="14" fontId="91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1" fillId="7" borderId="20" xfId="0" applyNumberFormat="1" applyFont="1" applyFill="1" applyBorder="1" applyAlignment="1">
      <alignment horizontal="center" vertical="center"/>
    </xf>
    <xf numFmtId="14" fontId="91" fillId="7" borderId="21" xfId="0" applyNumberFormat="1" applyFont="1" applyFill="1" applyBorder="1" applyAlignment="1">
      <alignment horizontal="center" vertical="center"/>
    </xf>
    <xf numFmtId="14" fontId="91" fillId="7" borderId="28" xfId="0" applyNumberFormat="1" applyFont="1" applyFill="1" applyBorder="1" applyAlignment="1">
      <alignment horizontal="center" vertical="center"/>
    </xf>
    <xf numFmtId="0" fontId="86" fillId="10" borderId="12" xfId="0" applyFont="1" applyFill="1" applyBorder="1" applyAlignment="1">
      <alignment horizontal="center"/>
    </xf>
    <xf numFmtId="0" fontId="93" fillId="11" borderId="12" xfId="0" applyFont="1" applyFill="1" applyBorder="1" applyAlignment="1">
      <alignment horizontal="center" vertical="center"/>
    </xf>
    <xf numFmtId="0" fontId="86" fillId="10" borderId="12" xfId="0" applyFont="1" applyFill="1" applyBorder="1" applyAlignment="1">
      <alignment horizontal="center" vertical="center"/>
    </xf>
    <xf numFmtId="14" fontId="93" fillId="12" borderId="12" xfId="0" applyNumberFormat="1" applyFont="1" applyFill="1" applyBorder="1" applyAlignment="1">
      <alignment horizontal="center" vertical="center"/>
    </xf>
    <xf numFmtId="0" fontId="93" fillId="13" borderId="12" xfId="0" applyFont="1" applyFill="1" applyBorder="1" applyAlignment="1">
      <alignment horizontal="center" vertical="center"/>
    </xf>
    <xf numFmtId="0" fontId="85" fillId="0" borderId="7" xfId="0" applyFont="1" applyBorder="1" applyAlignment="1">
      <alignment horizontal="center"/>
    </xf>
    <xf numFmtId="20" fontId="85" fillId="2" borderId="28" xfId="0" applyNumberFormat="1" applyFont="1" applyFill="1" applyBorder="1" applyAlignment="1">
      <alignment horizontal="center" vertical="center"/>
    </xf>
    <xf numFmtId="1" fontId="85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5" fillId="2" borderId="12" xfId="0" applyNumberFormat="1" applyFont="1" applyFill="1" applyBorder="1" applyAlignment="1">
      <alignment horizontal="center" vertical="center"/>
    </xf>
    <xf numFmtId="0" fontId="86" fillId="3" borderId="12" xfId="0" applyFont="1" applyFill="1" applyBorder="1" applyAlignment="1">
      <alignment horizontal="right"/>
    </xf>
    <xf numFmtId="1" fontId="86" fillId="3" borderId="20" xfId="0" applyNumberFormat="1" applyFont="1" applyFill="1" applyBorder="1" applyAlignment="1">
      <alignment horizontal="right"/>
    </xf>
    <xf numFmtId="9" fontId="86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6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1" fillId="0" borderId="0" xfId="0" applyFont="1"/>
    <xf numFmtId="1" fontId="91" fillId="0" borderId="0" xfId="0" applyNumberFormat="1" applyFont="1" applyAlignment="1">
      <alignment horizontal="center"/>
    </xf>
    <xf numFmtId="0" fontId="91" fillId="0" borderId="0" xfId="0" applyFont="1" applyAlignment="1">
      <alignment horizontal="center"/>
    </xf>
    <xf numFmtId="0" fontId="97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91" fillId="0" borderId="38" xfId="0" applyFont="1" applyBorder="1"/>
    <xf numFmtId="1" fontId="91" fillId="0" borderId="38" xfId="0" applyNumberFormat="1" applyFont="1" applyBorder="1" applyAlignment="1">
      <alignment horizontal="center"/>
    </xf>
    <xf numFmtId="0" fontId="91" fillId="0" borderId="38" xfId="0" applyFont="1" applyBorder="1" applyAlignment="1">
      <alignment horizontal="center"/>
    </xf>
    <xf numFmtId="164" fontId="91" fillId="0" borderId="38" xfId="1" applyFont="1" applyBorder="1" applyAlignment="1">
      <alignment horizontal="center"/>
    </xf>
    <xf numFmtId="0" fontId="91" fillId="0" borderId="39" xfId="0" applyFont="1" applyBorder="1"/>
    <xf numFmtId="0" fontId="93" fillId="0" borderId="0" xfId="0" applyFont="1" applyAlignment="1">
      <alignment wrapText="1"/>
    </xf>
    <xf numFmtId="0" fontId="93" fillId="3" borderId="45" xfId="0" applyFont="1" applyFill="1" applyBorder="1" applyAlignment="1">
      <alignment horizontal="center" vertical="center" wrapText="1"/>
    </xf>
    <xf numFmtId="0" fontId="91" fillId="0" borderId="47" xfId="0" applyFont="1" applyBorder="1"/>
    <xf numFmtId="173" fontId="91" fillId="0" borderId="48" xfId="0" applyNumberFormat="1" applyFont="1" applyBorder="1" applyAlignment="1">
      <alignment horizontal="center"/>
    </xf>
    <xf numFmtId="1" fontId="91" fillId="0" borderId="48" xfId="0" applyNumberFormat="1" applyFont="1" applyBorder="1" applyAlignment="1">
      <alignment horizontal="center"/>
    </xf>
    <xf numFmtId="174" fontId="91" fillId="0" borderId="48" xfId="0" applyNumberFormat="1" applyFont="1" applyBorder="1" applyAlignment="1">
      <alignment horizontal="center"/>
    </xf>
    <xf numFmtId="0" fontId="91" fillId="0" borderId="48" xfId="0" applyFont="1" applyBorder="1"/>
    <xf numFmtId="9" fontId="91" fillId="0" borderId="48" xfId="0" applyNumberFormat="1" applyFont="1" applyBorder="1" applyAlignment="1">
      <alignment horizontal="center"/>
    </xf>
    <xf numFmtId="0" fontId="91" fillId="0" borderId="48" xfId="0" applyFont="1" applyBorder="1" applyAlignment="1">
      <alignment horizontal="center"/>
    </xf>
    <xf numFmtId="9" fontId="91" fillId="0" borderId="49" xfId="0" applyNumberFormat="1" applyFont="1" applyBorder="1" applyAlignment="1">
      <alignment horizontal="center"/>
    </xf>
    <xf numFmtId="0" fontId="91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2" fillId="2" borderId="12" xfId="0" applyFont="1" applyFill="1" applyBorder="1"/>
    <xf numFmtId="14" fontId="91" fillId="2" borderId="12" xfId="0" applyNumberFormat="1" applyFont="1" applyFill="1" applyBorder="1" applyAlignment="1">
      <alignment horizontal="center" vertical="center"/>
    </xf>
    <xf numFmtId="0" fontId="86" fillId="10" borderId="20" xfId="0" applyFont="1" applyFill="1" applyBorder="1"/>
    <xf numFmtId="0" fontId="86" fillId="10" borderId="28" xfId="0" applyFont="1" applyFill="1" applyBorder="1"/>
    <xf numFmtId="14" fontId="91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6" fillId="16" borderId="12" xfId="0" applyFont="1" applyFill="1" applyBorder="1" applyAlignment="1">
      <alignment horizontal="center"/>
    </xf>
    <xf numFmtId="0" fontId="86" fillId="10" borderId="7" xfId="0" applyFont="1" applyFill="1" applyBorder="1" applyAlignment="1">
      <alignment horizontal="center"/>
    </xf>
    <xf numFmtId="9" fontId="91" fillId="0" borderId="12" xfId="0" applyNumberFormat="1" applyFont="1" applyBorder="1" applyAlignment="1">
      <alignment horizontal="center"/>
    </xf>
    <xf numFmtId="0" fontId="86" fillId="17" borderId="12" xfId="0" applyFont="1" applyFill="1" applyBorder="1" applyAlignment="1">
      <alignment horizontal="center"/>
    </xf>
    <xf numFmtId="0" fontId="86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6" fillId="3" borderId="0" xfId="0" applyFont="1" applyFill="1" applyAlignment="1">
      <alignment horizontal="center"/>
    </xf>
    <xf numFmtId="0" fontId="86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6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1" fillId="18" borderId="12" xfId="0" applyNumberFormat="1" applyFont="1" applyFill="1" applyBorder="1" applyAlignment="1">
      <alignment horizontal="center"/>
    </xf>
    <xf numFmtId="2" fontId="101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6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6" fillId="3" borderId="20" xfId="0" applyNumberFormat="1" applyFont="1" applyFill="1" applyBorder="1" applyAlignment="1">
      <alignment horizontal="right"/>
    </xf>
    <xf numFmtId="0" fontId="101" fillId="18" borderId="7" xfId="0" applyFont="1" applyFill="1" applyBorder="1"/>
    <xf numFmtId="0" fontId="101" fillId="18" borderId="29" xfId="0" applyFont="1" applyFill="1" applyBorder="1"/>
    <xf numFmtId="174" fontId="101" fillId="18" borderId="29" xfId="0" applyNumberFormat="1" applyFont="1" applyFill="1" applyBorder="1" applyAlignment="1">
      <alignment horizontal="center"/>
    </xf>
    <xf numFmtId="0" fontId="102" fillId="2" borderId="0" xfId="0" applyFont="1" applyFill="1"/>
    <xf numFmtId="176" fontId="91" fillId="0" borderId="48" xfId="0" applyNumberFormat="1" applyFont="1" applyBorder="1" applyAlignment="1">
      <alignment horizontal="center"/>
    </xf>
    <xf numFmtId="0" fontId="85" fillId="2" borderId="7" xfId="0" applyFont="1" applyFill="1" applyBorder="1" applyAlignment="1">
      <alignment horizontal="center" vertical="center"/>
    </xf>
    <xf numFmtId="0" fontId="86" fillId="18" borderId="12" xfId="0" applyFont="1" applyFill="1" applyBorder="1" applyAlignment="1">
      <alignment horizontal="center"/>
    </xf>
    <xf numFmtId="0" fontId="91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6" fillId="2" borderId="0" xfId="0" applyFont="1" applyFill="1" applyAlignment="1">
      <alignment horizontal="center"/>
    </xf>
    <xf numFmtId="0" fontId="85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3" fillId="2" borderId="28" xfId="0" applyFont="1" applyFill="1" applyBorder="1" applyAlignment="1">
      <alignment horizontal="center" vertical="center"/>
    </xf>
    <xf numFmtId="9" fontId="101" fillId="18" borderId="29" xfId="2" applyFont="1" applyFill="1" applyBorder="1" applyAlignment="1">
      <alignment horizontal="center"/>
    </xf>
    <xf numFmtId="0" fontId="86" fillId="20" borderId="12" xfId="0" applyFont="1" applyFill="1" applyBorder="1"/>
    <xf numFmtId="9" fontId="91" fillId="0" borderId="0" xfId="2" applyFont="1" applyAlignment="1">
      <alignment horizontal="center"/>
    </xf>
    <xf numFmtId="0" fontId="86" fillId="0" borderId="12" xfId="0" applyFont="1" applyBorder="1"/>
    <xf numFmtId="176" fontId="0" fillId="0" borderId="12" xfId="0" applyNumberFormat="1" applyBorder="1"/>
    <xf numFmtId="1" fontId="104" fillId="2" borderId="12" xfId="0" applyNumberFormat="1" applyFont="1" applyFill="1" applyBorder="1"/>
    <xf numFmtId="9" fontId="104" fillId="2" borderId="12" xfId="0" applyNumberFormat="1" applyFont="1" applyFill="1" applyBorder="1"/>
    <xf numFmtId="0" fontId="96" fillId="2" borderId="12" xfId="0" applyFont="1" applyFill="1" applyBorder="1"/>
    <xf numFmtId="1" fontId="93" fillId="3" borderId="45" xfId="0" applyNumberFormat="1" applyFont="1" applyFill="1" applyBorder="1" applyAlignment="1">
      <alignment horizontal="center" vertical="center" wrapText="1"/>
    </xf>
    <xf numFmtId="164" fontId="93" fillId="3" borderId="45" xfId="1" applyFont="1" applyFill="1" applyBorder="1" applyAlignment="1">
      <alignment horizontal="center" vertical="center" wrapText="1"/>
    </xf>
    <xf numFmtId="0" fontId="86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2" fillId="2" borderId="28" xfId="0" applyFont="1" applyFill="1" applyBorder="1" applyAlignment="1">
      <alignment vertical="center"/>
    </xf>
    <xf numFmtId="20" fontId="82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1" fillId="8" borderId="20" xfId="0" applyFont="1" applyFill="1" applyBorder="1" applyAlignment="1">
      <alignment horizontal="center" vertical="center"/>
    </xf>
    <xf numFmtId="14" fontId="91" fillId="7" borderId="12" xfId="0" applyNumberFormat="1" applyFont="1" applyFill="1" applyBorder="1" applyAlignment="1">
      <alignment horizontal="center" vertical="center"/>
    </xf>
    <xf numFmtId="20" fontId="79" fillId="2" borderId="28" xfId="0" applyNumberFormat="1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vertical="center"/>
    </xf>
    <xf numFmtId="9" fontId="91" fillId="8" borderId="12" xfId="0" applyNumberFormat="1" applyFont="1" applyFill="1" applyBorder="1" applyAlignment="1">
      <alignment horizontal="center" vertical="center"/>
    </xf>
    <xf numFmtId="1" fontId="91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14" fontId="91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1" fillId="2" borderId="20" xfId="0" applyFont="1" applyFill="1" applyBorder="1" applyAlignment="1">
      <alignment horizontal="center" vertical="center"/>
    </xf>
    <xf numFmtId="14" fontId="91" fillId="7" borderId="28" xfId="0" applyNumberFormat="1" applyFont="1" applyFill="1" applyBorder="1" applyAlignment="1">
      <alignment vertical="center"/>
    </xf>
    <xf numFmtId="0" fontId="92" fillId="2" borderId="28" xfId="0" applyFont="1" applyFill="1" applyBorder="1"/>
    <xf numFmtId="0" fontId="91" fillId="2" borderId="28" xfId="0" applyFont="1" applyFill="1" applyBorder="1" applyAlignment="1">
      <alignment horizontal="center" vertical="center"/>
    </xf>
    <xf numFmtId="14" fontId="91" fillId="7" borderId="10" xfId="0" applyNumberFormat="1" applyFont="1" applyFill="1" applyBorder="1" applyAlignment="1">
      <alignment vertical="center"/>
    </xf>
    <xf numFmtId="14" fontId="91" fillId="7" borderId="10" xfId="0" applyNumberFormat="1" applyFont="1" applyFill="1" applyBorder="1" applyAlignment="1">
      <alignment horizontal="center" vertical="center"/>
    </xf>
    <xf numFmtId="14" fontId="91" fillId="2" borderId="10" xfId="0" applyNumberFormat="1" applyFont="1" applyFill="1" applyBorder="1" applyAlignment="1">
      <alignment vertical="center"/>
    </xf>
    <xf numFmtId="14" fontId="91" fillId="2" borderId="10" xfId="0" applyNumberFormat="1" applyFont="1" applyFill="1" applyBorder="1" applyAlignment="1">
      <alignment horizontal="center" vertical="center"/>
    </xf>
    <xf numFmtId="0" fontId="91" fillId="2" borderId="10" xfId="0" applyFont="1" applyFill="1" applyBorder="1" applyAlignment="1">
      <alignment horizontal="center" vertical="center"/>
    </xf>
    <xf numFmtId="1" fontId="91" fillId="8" borderId="10" xfId="0" applyNumberFormat="1" applyFont="1" applyFill="1" applyBorder="1" applyAlignment="1">
      <alignment horizontal="center" vertical="center"/>
    </xf>
    <xf numFmtId="0" fontId="91" fillId="8" borderId="10" xfId="0" applyFont="1" applyFill="1" applyBorder="1" applyAlignment="1">
      <alignment horizontal="center" vertical="center"/>
    </xf>
    <xf numFmtId="14" fontId="91" fillId="7" borderId="17" xfId="0" applyNumberFormat="1" applyFont="1" applyFill="1" applyBorder="1" applyAlignment="1">
      <alignment vertical="center"/>
    </xf>
    <xf numFmtId="14" fontId="91" fillId="2" borderId="17" xfId="0" applyNumberFormat="1" applyFont="1" applyFill="1" applyBorder="1" applyAlignment="1">
      <alignment vertical="center"/>
    </xf>
    <xf numFmtId="14" fontId="91" fillId="2" borderId="17" xfId="0" applyNumberFormat="1" applyFont="1" applyFill="1" applyBorder="1" applyAlignment="1">
      <alignment horizontal="center" vertical="center"/>
    </xf>
    <xf numFmtId="0" fontId="91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1" fillId="9" borderId="28" xfId="0" applyFont="1" applyFill="1" applyBorder="1" applyAlignment="1">
      <alignment horizontal="center" vertical="center"/>
    </xf>
    <xf numFmtId="0" fontId="92" fillId="2" borderId="10" xfId="0" applyFont="1" applyFill="1" applyBorder="1"/>
    <xf numFmtId="0" fontId="92" fillId="2" borderId="17" xfId="0" applyFont="1" applyFill="1" applyBorder="1"/>
    <xf numFmtId="0" fontId="0" fillId="2" borderId="17" xfId="0" applyFill="1" applyBorder="1"/>
    <xf numFmtId="0" fontId="91" fillId="9" borderId="17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0" fontId="77" fillId="2" borderId="12" xfId="0" applyFont="1" applyFill="1" applyBorder="1" applyAlignment="1">
      <alignment horizontal="center" vertical="center"/>
    </xf>
    <xf numFmtId="9" fontId="91" fillId="2" borderId="12" xfId="0" applyNumberFormat="1" applyFont="1" applyFill="1" applyBorder="1" applyAlignment="1">
      <alignment horizontal="center" vertical="center"/>
    </xf>
    <xf numFmtId="1" fontId="91" fillId="8" borderId="28" xfId="0" applyNumberFormat="1" applyFont="1" applyFill="1" applyBorder="1" applyAlignment="1">
      <alignment horizontal="center" vertical="center"/>
    </xf>
    <xf numFmtId="0" fontId="86" fillId="18" borderId="28" xfId="0" applyFont="1" applyFill="1" applyBorder="1" applyAlignment="1">
      <alignment horizontal="center" vertical="center"/>
    </xf>
    <xf numFmtId="0" fontId="86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1" fillId="0" borderId="47" xfId="0" applyNumberFormat="1" applyFont="1" applyBorder="1" applyAlignment="1">
      <alignment horizontal="center"/>
    </xf>
    <xf numFmtId="1" fontId="91" fillId="0" borderId="12" xfId="0" applyNumberFormat="1" applyFont="1" applyBorder="1" applyAlignment="1">
      <alignment horizontal="center"/>
    </xf>
    <xf numFmtId="174" fontId="91" fillId="0" borderId="12" xfId="0" applyNumberFormat="1" applyFont="1" applyBorder="1" applyAlignment="1">
      <alignment horizontal="center"/>
    </xf>
    <xf numFmtId="0" fontId="91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1" fillId="2" borderId="12" xfId="0" applyFont="1" applyFill="1" applyBorder="1" applyAlignment="1">
      <alignment vertical="top" wrapText="1"/>
    </xf>
    <xf numFmtId="0" fontId="86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6" fillId="18" borderId="30" xfId="0" applyFont="1" applyFill="1" applyBorder="1" applyAlignment="1">
      <alignment horizontal="center" vertical="center"/>
    </xf>
    <xf numFmtId="0" fontId="86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6" fillId="20" borderId="12" xfId="0" applyFont="1" applyFill="1" applyBorder="1" applyAlignment="1">
      <alignment horizontal="center"/>
    </xf>
    <xf numFmtId="0" fontId="86" fillId="18" borderId="20" xfId="0" applyFont="1" applyFill="1" applyBorder="1" applyAlignment="1">
      <alignment horizontal="center" vertical="center"/>
    </xf>
    <xf numFmtId="0" fontId="86" fillId="18" borderId="21" xfId="0" applyFont="1" applyFill="1" applyBorder="1" applyAlignment="1">
      <alignment horizontal="center" vertical="center"/>
    </xf>
    <xf numFmtId="164" fontId="86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6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6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9" fillId="2" borderId="12" xfId="0" applyNumberFormat="1" applyFont="1" applyFill="1" applyBorder="1" applyAlignment="1">
      <alignment horizontal="center" vertical="center"/>
    </xf>
    <xf numFmtId="0" fontId="86" fillId="18" borderId="30" xfId="0" applyFont="1" applyFill="1" applyBorder="1" applyAlignment="1">
      <alignment horizontal="center"/>
    </xf>
    <xf numFmtId="0" fontId="86" fillId="18" borderId="32" xfId="0" applyFont="1" applyFill="1" applyBorder="1" applyAlignment="1">
      <alignment horizontal="center"/>
    </xf>
    <xf numFmtId="0" fontId="86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6" fillId="4" borderId="12" xfId="0" applyFont="1" applyFill="1" applyBorder="1"/>
    <xf numFmtId="0" fontId="86" fillId="18" borderId="12" xfId="0" applyFont="1" applyFill="1" applyBorder="1"/>
    <xf numFmtId="0" fontId="86" fillId="18" borderId="12" xfId="0" applyFont="1" applyFill="1" applyBorder="1" applyAlignment="1">
      <alignment horizontal="left"/>
    </xf>
    <xf numFmtId="0" fontId="67" fillId="2" borderId="12" xfId="0" applyFont="1" applyFill="1" applyBorder="1"/>
    <xf numFmtId="0" fontId="85" fillId="3" borderId="0" xfId="0" applyFont="1" applyFill="1" applyAlignment="1">
      <alignment horizontal="center"/>
    </xf>
    <xf numFmtId="0" fontId="85" fillId="3" borderId="19" xfId="0" applyFont="1" applyFill="1" applyBorder="1" applyAlignment="1">
      <alignment horizontal="center"/>
    </xf>
    <xf numFmtId="0" fontId="85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7" fillId="2" borderId="28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01" fillId="3" borderId="19" xfId="0" applyFont="1" applyFill="1" applyBorder="1" applyAlignment="1">
      <alignment horizontal="center" vertical="center"/>
    </xf>
    <xf numFmtId="165" fontId="101" fillId="3" borderId="21" xfId="1" applyNumberFormat="1" applyFont="1" applyFill="1" applyBorder="1" applyAlignment="1">
      <alignment horizontal="center" vertical="center"/>
    </xf>
    <xf numFmtId="166" fontId="101" fillId="3" borderId="21" xfId="0" applyNumberFormat="1" applyFont="1" applyFill="1" applyBorder="1" applyAlignment="1">
      <alignment horizontal="center" vertical="center"/>
    </xf>
    <xf numFmtId="9" fontId="101" fillId="3" borderId="21" xfId="2" applyFont="1" applyFill="1" applyBorder="1" applyAlignment="1">
      <alignment horizontal="center" vertical="center"/>
    </xf>
    <xf numFmtId="9" fontId="101" fillId="3" borderId="22" xfId="2" applyFont="1" applyFill="1" applyBorder="1" applyAlignment="1">
      <alignment horizontal="center" vertical="center" wrapText="1"/>
    </xf>
    <xf numFmtId="14" fontId="106" fillId="2" borderId="9" xfId="0" applyNumberFormat="1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vertical="center"/>
    </xf>
    <xf numFmtId="165" fontId="106" fillId="2" borderId="10" xfId="1" applyNumberFormat="1" applyFont="1" applyFill="1" applyBorder="1" applyAlignment="1">
      <alignment horizontal="center" vertical="center"/>
    </xf>
    <xf numFmtId="166" fontId="106" fillId="2" borderId="10" xfId="0" applyNumberFormat="1" applyFont="1" applyFill="1" applyBorder="1" applyAlignment="1">
      <alignment horizontal="center" vertical="center"/>
    </xf>
    <xf numFmtId="9" fontId="106" fillId="2" borderId="10" xfId="2" applyFont="1" applyFill="1" applyBorder="1" applyAlignment="1">
      <alignment horizontal="center" vertical="center"/>
    </xf>
    <xf numFmtId="167" fontId="106" fillId="2" borderId="11" xfId="1" applyNumberFormat="1" applyFont="1" applyFill="1" applyBorder="1" applyAlignment="1">
      <alignment horizontal="center" vertical="center"/>
    </xf>
    <xf numFmtId="0" fontId="106" fillId="2" borderId="11" xfId="0" applyFont="1" applyFill="1" applyBorder="1" applyAlignment="1">
      <alignment horizontal="center" vertical="center"/>
    </xf>
    <xf numFmtId="1" fontId="106" fillId="2" borderId="11" xfId="0" applyNumberFormat="1" applyFont="1" applyFill="1" applyBorder="1" applyAlignment="1">
      <alignment horizontal="center" vertical="center"/>
    </xf>
    <xf numFmtId="165" fontId="106" fillId="2" borderId="10" xfId="0" applyNumberFormat="1" applyFont="1" applyFill="1" applyBorder="1" applyAlignment="1">
      <alignment horizontal="center" vertical="center"/>
    </xf>
    <xf numFmtId="0" fontId="106" fillId="2" borderId="12" xfId="0" applyFont="1" applyFill="1" applyBorder="1"/>
    <xf numFmtId="14" fontId="106" fillId="2" borderId="14" xfId="0" applyNumberFormat="1" applyFont="1" applyFill="1" applyBorder="1" applyAlignment="1">
      <alignment horizontal="center" vertical="center"/>
    </xf>
    <xf numFmtId="0" fontId="106" fillId="2" borderId="15" xfId="0" applyFont="1" applyFill="1" applyBorder="1" applyAlignment="1">
      <alignment vertical="center"/>
    </xf>
    <xf numFmtId="165" fontId="106" fillId="2" borderId="15" xfId="1" applyNumberFormat="1" applyFont="1" applyFill="1" applyBorder="1" applyAlignment="1">
      <alignment horizontal="center" vertical="center"/>
    </xf>
    <xf numFmtId="166" fontId="106" fillId="2" borderId="15" xfId="0" applyNumberFormat="1" applyFont="1" applyFill="1" applyBorder="1" applyAlignment="1">
      <alignment horizontal="center" vertical="center"/>
    </xf>
    <xf numFmtId="9" fontId="106" fillId="2" borderId="15" xfId="2" applyFont="1" applyFill="1" applyBorder="1" applyAlignment="1">
      <alignment horizontal="center" vertical="center"/>
    </xf>
    <xf numFmtId="165" fontId="106" fillId="2" borderId="17" xfId="1" applyNumberFormat="1" applyFont="1" applyFill="1" applyBorder="1" applyAlignment="1">
      <alignment horizontal="center" vertical="center"/>
    </xf>
    <xf numFmtId="167" fontId="106" fillId="2" borderId="16" xfId="1" applyNumberFormat="1" applyFont="1" applyFill="1" applyBorder="1" applyAlignment="1">
      <alignment horizontal="center" vertical="center"/>
    </xf>
    <xf numFmtId="165" fontId="106" fillId="2" borderId="12" xfId="0" applyNumberFormat="1" applyFont="1" applyFill="1" applyBorder="1"/>
    <xf numFmtId="168" fontId="106" fillId="2" borderId="12" xfId="0" applyNumberFormat="1" applyFont="1" applyFill="1" applyBorder="1"/>
    <xf numFmtId="165" fontId="106" fillId="2" borderId="15" xfId="0" applyNumberFormat="1" applyFont="1" applyFill="1" applyBorder="1" applyAlignment="1">
      <alignment horizontal="center" vertical="center"/>
    </xf>
    <xf numFmtId="165" fontId="106" fillId="2" borderId="17" xfId="0" applyNumberFormat="1" applyFont="1" applyFill="1" applyBorder="1" applyAlignment="1">
      <alignment horizontal="center" vertical="center"/>
    </xf>
    <xf numFmtId="167" fontId="106" fillId="2" borderId="12" xfId="0" applyNumberFormat="1" applyFont="1" applyFill="1" applyBorder="1"/>
    <xf numFmtId="0" fontId="106" fillId="2" borderId="17" xfId="0" applyFont="1" applyFill="1" applyBorder="1" applyAlignment="1">
      <alignment vertical="center"/>
    </xf>
    <xf numFmtId="1" fontId="106" fillId="2" borderId="16" xfId="0" applyNumberFormat="1" applyFont="1" applyFill="1" applyBorder="1" applyAlignment="1">
      <alignment horizontal="center" vertical="center"/>
    </xf>
    <xf numFmtId="14" fontId="106" fillId="2" borderId="19" xfId="0" applyNumberFormat="1" applyFont="1" applyFill="1" applyBorder="1" applyAlignment="1">
      <alignment horizontal="center" vertical="center"/>
    </xf>
    <xf numFmtId="0" fontId="106" fillId="2" borderId="20" xfId="0" applyFont="1" applyFill="1" applyBorder="1" applyAlignment="1">
      <alignment vertical="center"/>
    </xf>
    <xf numFmtId="165" fontId="106" fillId="2" borderId="20" xfId="1" applyNumberFormat="1" applyFont="1" applyFill="1" applyBorder="1" applyAlignment="1">
      <alignment horizontal="center" vertical="center"/>
    </xf>
    <xf numFmtId="166" fontId="106" fillId="2" borderId="21" xfId="0" applyNumberFormat="1" applyFont="1" applyFill="1" applyBorder="1" applyAlignment="1">
      <alignment horizontal="center" vertical="center"/>
    </xf>
    <xf numFmtId="9" fontId="106" fillId="2" borderId="21" xfId="2" applyFont="1" applyFill="1" applyBorder="1" applyAlignment="1">
      <alignment horizontal="center" vertical="center"/>
    </xf>
    <xf numFmtId="167" fontId="106" fillId="2" borderId="22" xfId="1" applyNumberFormat="1" applyFont="1" applyFill="1" applyBorder="1" applyAlignment="1">
      <alignment horizontal="center" vertical="center"/>
    </xf>
    <xf numFmtId="1" fontId="106" fillId="2" borderId="22" xfId="0" applyNumberFormat="1" applyFont="1" applyFill="1" applyBorder="1" applyAlignment="1">
      <alignment horizontal="center" vertical="center"/>
    </xf>
    <xf numFmtId="165" fontId="106" fillId="2" borderId="21" xfId="0" applyNumberFormat="1" applyFont="1" applyFill="1" applyBorder="1" applyAlignment="1">
      <alignment horizontal="center" vertical="center"/>
    </xf>
    <xf numFmtId="165" fontId="106" fillId="2" borderId="20" xfId="0" applyNumberFormat="1" applyFont="1" applyFill="1" applyBorder="1" applyAlignment="1">
      <alignment horizontal="center" vertical="center"/>
    </xf>
    <xf numFmtId="165" fontId="106" fillId="2" borderId="23" xfId="0" applyNumberFormat="1" applyFont="1" applyFill="1" applyBorder="1" applyAlignment="1">
      <alignment horizontal="center" vertical="center"/>
    </xf>
    <xf numFmtId="165" fontId="106" fillId="2" borderId="25" xfId="0" applyNumberFormat="1" applyFont="1" applyFill="1" applyBorder="1" applyAlignment="1">
      <alignment horizontal="center" vertical="center"/>
    </xf>
    <xf numFmtId="0" fontId="106" fillId="2" borderId="16" xfId="0" applyFont="1" applyFill="1" applyBorder="1" applyAlignment="1">
      <alignment horizontal="center" vertical="center"/>
    </xf>
    <xf numFmtId="0" fontId="106" fillId="2" borderId="27" xfId="0" applyFont="1" applyFill="1" applyBorder="1" applyAlignment="1">
      <alignment vertical="center"/>
    </xf>
    <xf numFmtId="165" fontId="106" fillId="2" borderId="27" xfId="1" applyNumberFormat="1" applyFont="1" applyFill="1" applyBorder="1" applyAlignment="1">
      <alignment horizontal="center" vertical="center"/>
    </xf>
    <xf numFmtId="166" fontId="106" fillId="2" borderId="27" xfId="0" applyNumberFormat="1" applyFont="1" applyFill="1" applyBorder="1" applyAlignment="1">
      <alignment horizontal="center" vertical="center"/>
    </xf>
    <xf numFmtId="9" fontId="106" fillId="2" borderId="27" xfId="2" applyFont="1" applyFill="1" applyBorder="1" applyAlignment="1">
      <alignment horizontal="center" vertical="center"/>
    </xf>
    <xf numFmtId="165" fontId="106" fillId="2" borderId="15" xfId="0" applyNumberFormat="1" applyFont="1" applyFill="1" applyBorder="1" applyAlignment="1">
      <alignment vertical="center"/>
    </xf>
    <xf numFmtId="165" fontId="106" fillId="2" borderId="17" xfId="0" applyNumberFormat="1" applyFont="1" applyFill="1" applyBorder="1" applyAlignment="1">
      <alignment vertical="center"/>
    </xf>
    <xf numFmtId="175" fontId="106" fillId="2" borderId="27" xfId="2" applyNumberFormat="1" applyFont="1" applyFill="1" applyBorder="1" applyAlignment="1">
      <alignment horizontal="center" vertical="center"/>
    </xf>
    <xf numFmtId="14" fontId="101" fillId="4" borderId="19" xfId="0" applyNumberFormat="1" applyFont="1" applyFill="1" applyBorder="1" applyAlignment="1">
      <alignment horizontal="center" vertical="center"/>
    </xf>
    <xf numFmtId="0" fontId="101" fillId="4" borderId="21" xfId="0" applyFont="1" applyFill="1" applyBorder="1" applyAlignment="1">
      <alignment vertical="center"/>
    </xf>
    <xf numFmtId="165" fontId="101" fillId="4" borderId="21" xfId="1" applyNumberFormat="1" applyFont="1" applyFill="1" applyBorder="1" applyAlignment="1">
      <alignment horizontal="center" vertical="center"/>
    </xf>
    <xf numFmtId="166" fontId="101" fillId="4" borderId="21" xfId="0" applyNumberFormat="1" applyFont="1" applyFill="1" applyBorder="1" applyAlignment="1">
      <alignment horizontal="center" vertical="center"/>
    </xf>
    <xf numFmtId="9" fontId="101" fillId="4" borderId="21" xfId="2" applyFont="1" applyFill="1" applyBorder="1" applyAlignment="1">
      <alignment horizontal="center" vertical="center"/>
    </xf>
    <xf numFmtId="167" fontId="101" fillId="4" borderId="22" xfId="1" applyNumberFormat="1" applyFont="1" applyFill="1" applyBorder="1" applyAlignment="1">
      <alignment horizontal="center" vertical="center"/>
    </xf>
    <xf numFmtId="0" fontId="101" fillId="4" borderId="22" xfId="0" applyFont="1" applyFill="1" applyBorder="1" applyAlignment="1">
      <alignment horizontal="center" vertical="center"/>
    </xf>
    <xf numFmtId="1" fontId="101" fillId="4" borderId="22" xfId="0" applyNumberFormat="1" applyFont="1" applyFill="1" applyBorder="1" applyAlignment="1">
      <alignment horizontal="center" vertical="center"/>
    </xf>
    <xf numFmtId="165" fontId="101" fillId="4" borderId="21" xfId="0" applyNumberFormat="1" applyFont="1" applyFill="1" applyBorder="1" applyAlignment="1">
      <alignment horizontal="center" vertical="center"/>
    </xf>
    <xf numFmtId="0" fontId="101" fillId="4" borderId="17" xfId="0" applyFont="1" applyFill="1" applyBorder="1"/>
    <xf numFmtId="165" fontId="101" fillId="4" borderId="17" xfId="1" applyNumberFormat="1" applyFont="1" applyFill="1" applyBorder="1" applyAlignment="1">
      <alignment horizontal="center" vertical="center"/>
    </xf>
    <xf numFmtId="9" fontId="101" fillId="4" borderId="17" xfId="2" applyFont="1" applyFill="1" applyBorder="1" applyAlignment="1">
      <alignment horizontal="center" vertical="center"/>
    </xf>
    <xf numFmtId="1" fontId="101" fillId="4" borderId="17" xfId="0" applyNumberFormat="1" applyFont="1" applyFill="1" applyBorder="1" applyAlignment="1">
      <alignment horizontal="center"/>
    </xf>
    <xf numFmtId="165" fontId="101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1" fillId="4" borderId="54" xfId="0" applyNumberFormat="1" applyFont="1" applyFill="1" applyBorder="1" applyAlignment="1">
      <alignment vertical="center"/>
    </xf>
    <xf numFmtId="0" fontId="101" fillId="3" borderId="22" xfId="0" applyFont="1" applyFill="1" applyBorder="1" applyAlignment="1">
      <alignment horizontal="center" vertical="center" wrapText="1"/>
    </xf>
    <xf numFmtId="0" fontId="101" fillId="3" borderId="21" xfId="0" applyFont="1" applyFill="1" applyBorder="1" applyAlignment="1">
      <alignment horizontal="center" vertical="center"/>
    </xf>
    <xf numFmtId="0" fontId="101" fillId="3" borderId="21" xfId="0" applyFont="1" applyFill="1" applyBorder="1" applyAlignment="1">
      <alignment horizontal="center" vertical="center" wrapText="1"/>
    </xf>
    <xf numFmtId="0" fontId="101" fillId="20" borderId="28" xfId="0" applyFont="1" applyFill="1" applyBorder="1" applyAlignment="1">
      <alignment horizontal="center" vertical="center"/>
    </xf>
    <xf numFmtId="14" fontId="106" fillId="17" borderId="9" xfId="0" applyNumberFormat="1" applyFont="1" applyFill="1" applyBorder="1" applyAlignment="1">
      <alignment horizontal="center" vertical="center"/>
    </xf>
    <xf numFmtId="0" fontId="106" fillId="17" borderId="10" xfId="0" applyFont="1" applyFill="1" applyBorder="1" applyAlignment="1">
      <alignment vertical="center"/>
    </xf>
    <xf numFmtId="165" fontId="106" fillId="17" borderId="10" xfId="1" applyNumberFormat="1" applyFont="1" applyFill="1" applyBorder="1" applyAlignment="1">
      <alignment horizontal="center" vertical="center"/>
    </xf>
    <xf numFmtId="166" fontId="106" fillId="17" borderId="10" xfId="0" applyNumberFormat="1" applyFont="1" applyFill="1" applyBorder="1" applyAlignment="1">
      <alignment horizontal="center" vertical="center"/>
    </xf>
    <xf numFmtId="9" fontId="106" fillId="17" borderId="10" xfId="2" applyFont="1" applyFill="1" applyBorder="1" applyAlignment="1">
      <alignment horizontal="center" vertical="center"/>
    </xf>
    <xf numFmtId="167" fontId="106" fillId="17" borderId="11" xfId="1" applyNumberFormat="1" applyFont="1" applyFill="1" applyBorder="1" applyAlignment="1">
      <alignment horizontal="center" vertical="center"/>
    </xf>
    <xf numFmtId="1" fontId="106" fillId="17" borderId="11" xfId="0" applyNumberFormat="1" applyFont="1" applyFill="1" applyBorder="1" applyAlignment="1">
      <alignment horizontal="center" vertical="center"/>
    </xf>
    <xf numFmtId="165" fontId="106" fillId="17" borderId="10" xfId="0" applyNumberFormat="1" applyFont="1" applyFill="1" applyBorder="1" applyAlignment="1">
      <alignment horizontal="center" vertical="center"/>
    </xf>
    <xf numFmtId="0" fontId="106" fillId="17" borderId="12" xfId="0" applyFont="1" applyFill="1" applyBorder="1"/>
    <xf numFmtId="14" fontId="106" fillId="17" borderId="14" xfId="0" applyNumberFormat="1" applyFont="1" applyFill="1" applyBorder="1" applyAlignment="1">
      <alignment horizontal="center" vertical="center"/>
    </xf>
    <xf numFmtId="0" fontId="106" fillId="17" borderId="15" xfId="0" applyFont="1" applyFill="1" applyBorder="1" applyAlignment="1">
      <alignment vertical="center"/>
    </xf>
    <xf numFmtId="165" fontId="106" fillId="17" borderId="17" xfId="1" applyNumberFormat="1" applyFont="1" applyFill="1" applyBorder="1" applyAlignment="1">
      <alignment horizontal="center" vertical="center"/>
    </xf>
    <xf numFmtId="9" fontId="106" fillId="17" borderId="15" xfId="2" applyFont="1" applyFill="1" applyBorder="1" applyAlignment="1">
      <alignment horizontal="center" vertical="center"/>
    </xf>
    <xf numFmtId="167" fontId="106" fillId="17" borderId="16" xfId="1" applyNumberFormat="1" applyFont="1" applyFill="1" applyBorder="1" applyAlignment="1">
      <alignment horizontal="center" vertical="center"/>
    </xf>
    <xf numFmtId="165" fontId="106" fillId="17" borderId="15" xfId="0" applyNumberFormat="1" applyFont="1" applyFill="1" applyBorder="1" applyAlignment="1">
      <alignment horizontal="center" vertical="center"/>
    </xf>
    <xf numFmtId="165" fontId="106" fillId="17" borderId="12" xfId="0" applyNumberFormat="1" applyFont="1" applyFill="1" applyBorder="1"/>
    <xf numFmtId="165" fontId="106" fillId="17" borderId="17" xfId="0" applyNumberFormat="1" applyFont="1" applyFill="1" applyBorder="1" applyAlignment="1">
      <alignment horizontal="center" vertical="center"/>
    </xf>
    <xf numFmtId="0" fontId="106" fillId="17" borderId="17" xfId="0" applyFont="1" applyFill="1" applyBorder="1" applyAlignment="1">
      <alignment vertical="center"/>
    </xf>
    <xf numFmtId="1" fontId="106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6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6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6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6" fillId="2" borderId="12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3" fillId="2" borderId="7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left" vertical="center"/>
    </xf>
    <xf numFmtId="0" fontId="106" fillId="2" borderId="12" xfId="0" applyFont="1" applyFill="1" applyBorder="1" applyAlignment="1">
      <alignment wrapText="1"/>
    </xf>
    <xf numFmtId="0" fontId="6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6" fillId="4" borderId="12" xfId="0" applyFont="1" applyFill="1" applyBorder="1" applyAlignment="1">
      <alignment horizontal="center" wrapText="1"/>
    </xf>
    <xf numFmtId="166" fontId="107" fillId="17" borderId="10" xfId="0" applyNumberFormat="1" applyFont="1" applyFill="1" applyBorder="1" applyAlignment="1">
      <alignment horizontal="center" vertical="center"/>
    </xf>
    <xf numFmtId="166" fontId="107" fillId="2" borderId="21" xfId="0" applyNumberFormat="1" applyFont="1" applyFill="1" applyBorder="1" applyAlignment="1">
      <alignment horizontal="center" vertical="center"/>
    </xf>
    <xf numFmtId="166" fontId="107" fillId="17" borderId="15" xfId="0" applyNumberFormat="1" applyFont="1" applyFill="1" applyBorder="1" applyAlignment="1">
      <alignment horizontal="center" vertical="center"/>
    </xf>
    <xf numFmtId="166" fontId="107" fillId="2" borderId="15" xfId="0" applyNumberFormat="1" applyFont="1" applyFill="1" applyBorder="1" applyAlignment="1">
      <alignment horizontal="center" vertical="center"/>
    </xf>
    <xf numFmtId="166" fontId="107" fillId="2" borderId="10" xfId="0" applyNumberFormat="1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vertical="center"/>
    </xf>
    <xf numFmtId="0" fontId="6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1" fillId="18" borderId="12" xfId="0" applyFont="1" applyFill="1" applyBorder="1" applyAlignment="1">
      <alignment horizontal="center"/>
    </xf>
    <xf numFmtId="0" fontId="86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6" fillId="18" borderId="12" xfId="0" applyNumberFormat="1" applyFont="1" applyFill="1" applyBorder="1" applyAlignment="1">
      <alignment horizontal="center" wrapText="1"/>
    </xf>
    <xf numFmtId="14" fontId="60" fillId="2" borderId="12" xfId="0" applyNumberFormat="1" applyFont="1" applyFill="1" applyBorder="1"/>
    <xf numFmtId="0" fontId="59" fillId="2" borderId="12" xfId="0" applyFont="1" applyFill="1" applyBorder="1" applyAlignment="1">
      <alignment vertical="center"/>
    </xf>
    <xf numFmtId="0" fontId="59" fillId="2" borderId="12" xfId="0" applyFont="1" applyFill="1" applyBorder="1" applyAlignment="1">
      <alignment horizontal="center" vertical="center"/>
    </xf>
    <xf numFmtId="173" fontId="91" fillId="0" borderId="47" xfId="0" applyNumberFormat="1" applyFont="1" applyBorder="1" applyAlignment="1">
      <alignment horizontal="center"/>
    </xf>
    <xf numFmtId="1" fontId="91" fillId="0" borderId="20" xfId="0" applyNumberFormat="1" applyFont="1" applyBorder="1" applyAlignment="1">
      <alignment horizontal="center"/>
    </xf>
    <xf numFmtId="0" fontId="91" fillId="0" borderId="20" xfId="0" applyFont="1" applyBorder="1"/>
    <xf numFmtId="9" fontId="91" fillId="0" borderId="20" xfId="0" applyNumberFormat="1" applyFont="1" applyBorder="1" applyAlignment="1">
      <alignment horizontal="center"/>
    </xf>
    <xf numFmtId="0" fontId="91" fillId="0" borderId="20" xfId="0" applyFont="1" applyBorder="1" applyAlignment="1">
      <alignment horizontal="center"/>
    </xf>
    <xf numFmtId="173" fontId="91" fillId="14" borderId="12" xfId="0" applyNumberFormat="1" applyFont="1" applyFill="1" applyBorder="1" applyAlignment="1">
      <alignment horizontal="center"/>
    </xf>
    <xf numFmtId="164" fontId="91" fillId="14" borderId="12" xfId="1" applyFont="1" applyFill="1" applyBorder="1" applyAlignment="1">
      <alignment horizontal="center"/>
    </xf>
    <xf numFmtId="0" fontId="91" fillId="21" borderId="12" xfId="0" applyFont="1" applyFill="1" applyBorder="1" applyAlignment="1">
      <alignment horizontal="center"/>
    </xf>
    <xf numFmtId="0" fontId="91" fillId="14" borderId="12" xfId="0" applyFont="1" applyFill="1" applyBorder="1"/>
    <xf numFmtId="1" fontId="91" fillId="21" borderId="12" xfId="0" applyNumberFormat="1" applyFont="1" applyFill="1" applyBorder="1" applyAlignment="1">
      <alignment horizontal="center"/>
    </xf>
    <xf numFmtId="2" fontId="91" fillId="21" borderId="12" xfId="0" applyNumberFormat="1" applyFont="1" applyFill="1" applyBorder="1" applyAlignment="1">
      <alignment horizontal="center"/>
    </xf>
    <xf numFmtId="176" fontId="91" fillId="21" borderId="12" xfId="0" applyNumberFormat="1" applyFont="1" applyFill="1" applyBorder="1" applyAlignment="1">
      <alignment horizontal="center"/>
    </xf>
    <xf numFmtId="9" fontId="91" fillId="21" borderId="12" xfId="0" applyNumberFormat="1" applyFont="1" applyFill="1" applyBorder="1" applyAlignment="1">
      <alignment horizontal="center"/>
    </xf>
    <xf numFmtId="0" fontId="91" fillId="14" borderId="12" xfId="0" applyFont="1" applyFill="1" applyBorder="1" applyAlignment="1">
      <alignment horizontal="center"/>
    </xf>
    <xf numFmtId="0" fontId="93" fillId="21" borderId="12" xfId="0" applyFont="1" applyFill="1" applyBorder="1" applyAlignment="1">
      <alignment horizontal="center" wrapText="1"/>
    </xf>
    <xf numFmtId="164" fontId="91" fillId="21" borderId="12" xfId="1" applyFont="1" applyFill="1" applyBorder="1" applyAlignment="1">
      <alignment horizontal="center"/>
    </xf>
    <xf numFmtId="1" fontId="91" fillId="14" borderId="48" xfId="0" applyNumberFormat="1" applyFont="1" applyFill="1" applyBorder="1" applyAlignment="1">
      <alignment horizontal="center"/>
    </xf>
    <xf numFmtId="0" fontId="86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8" fillId="2" borderId="7" xfId="0" applyFont="1" applyFill="1" applyBorder="1" applyAlignment="1">
      <alignment vertical="center"/>
    </xf>
    <xf numFmtId="0" fontId="86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6" fillId="2" borderId="7" xfId="0" applyFont="1" applyFill="1" applyBorder="1" applyAlignment="1">
      <alignment vertical="center"/>
    </xf>
    <xf numFmtId="0" fontId="89" fillId="16" borderId="0" xfId="0" applyFont="1" applyFill="1"/>
    <xf numFmtId="0" fontId="0" fillId="16" borderId="0" xfId="0" applyFill="1"/>
    <xf numFmtId="180" fontId="89" fillId="16" borderId="0" xfId="3" applyNumberFormat="1" applyFont="1" applyFill="1"/>
    <xf numFmtId="0" fontId="86" fillId="0" borderId="0" xfId="0" applyFont="1" applyAlignment="1">
      <alignment horizontal="center"/>
    </xf>
    <xf numFmtId="0" fontId="86" fillId="18" borderId="7" xfId="0" applyFont="1" applyFill="1" applyBorder="1" applyAlignment="1">
      <alignment horizontal="center"/>
    </xf>
    <xf numFmtId="0" fontId="86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9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6" fillId="4" borderId="12" xfId="0" applyNumberFormat="1" applyFont="1" applyFill="1" applyBorder="1" applyAlignment="1">
      <alignment horizontal="center"/>
    </xf>
    <xf numFmtId="0" fontId="85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2" fillId="2" borderId="7" xfId="0" applyFont="1" applyFill="1" applyBorder="1" applyAlignment="1">
      <alignment vertical="center"/>
    </xf>
    <xf numFmtId="0" fontId="51" fillId="2" borderId="28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5" fillId="2" borderId="13" xfId="0" applyNumberFormat="1" applyFont="1" applyFill="1" applyBorder="1" applyAlignment="1">
      <alignment vertical="center"/>
    </xf>
    <xf numFmtId="14" fontId="85" fillId="2" borderId="14" xfId="0" applyNumberFormat="1" applyFont="1" applyFill="1" applyBorder="1" applyAlignment="1">
      <alignment vertical="center"/>
    </xf>
    <xf numFmtId="1" fontId="101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left" vertical="center"/>
    </xf>
    <xf numFmtId="14" fontId="46" fillId="2" borderId="20" xfId="0" applyNumberFormat="1" applyFont="1" applyFill="1" applyBorder="1" applyAlignment="1">
      <alignment horizontal="center" vertical="center"/>
    </xf>
    <xf numFmtId="0" fontId="46" fillId="2" borderId="7" xfId="0" applyFont="1" applyFill="1" applyBorder="1" applyAlignment="1">
      <alignment vertical="center"/>
    </xf>
    <xf numFmtId="0" fontId="4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1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5" fillId="2" borderId="12" xfId="0" applyNumberFormat="1" applyFont="1" applyFill="1" applyBorder="1" applyAlignment="1">
      <alignment horizontal="center" vertical="center"/>
    </xf>
    <xf numFmtId="1" fontId="85" fillId="2" borderId="12" xfId="0" applyNumberFormat="1" applyFont="1" applyFill="1" applyBorder="1" applyAlignment="1">
      <alignment horizontal="center" vertical="center"/>
    </xf>
    <xf numFmtId="14" fontId="85" fillId="23" borderId="12" xfId="0" applyNumberFormat="1" applyFont="1" applyFill="1" applyBorder="1" applyAlignment="1">
      <alignment horizontal="center" vertical="center"/>
    </xf>
    <xf numFmtId="20" fontId="85" fillId="23" borderId="12" xfId="0" applyNumberFormat="1" applyFont="1" applyFill="1" applyBorder="1" applyAlignment="1">
      <alignment horizontal="center" vertical="center"/>
    </xf>
    <xf numFmtId="1" fontId="85" fillId="23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20" fontId="85" fillId="22" borderId="12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2" fillId="2" borderId="0" xfId="0" applyFont="1" applyFill="1" applyAlignment="1">
      <alignment horizontal="center"/>
    </xf>
    <xf numFmtId="14" fontId="56" fillId="22" borderId="10" xfId="0" applyNumberFormat="1" applyFont="1" applyFill="1" applyBorder="1" applyAlignment="1">
      <alignment horizontal="center" vertical="center"/>
    </xf>
    <xf numFmtId="14" fontId="56" fillId="22" borderId="17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6" fillId="23" borderId="17" xfId="0" applyNumberFormat="1" applyFont="1" applyFill="1" applyBorder="1" applyAlignment="1">
      <alignment horizontal="center" vertical="center"/>
    </xf>
    <xf numFmtId="14" fontId="85" fillId="23" borderId="17" xfId="0" applyNumberFormat="1" applyFont="1" applyFill="1" applyBorder="1" applyAlignment="1">
      <alignment horizontal="center" vertical="center"/>
    </xf>
    <xf numFmtId="14" fontId="5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7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5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8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 wrapText="1"/>
    </xf>
    <xf numFmtId="14" fontId="5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9" fillId="22" borderId="28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47" fillId="23" borderId="20" xfId="0" applyNumberFormat="1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4" fontId="4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6" fillId="2" borderId="0" xfId="0" applyFont="1" applyFill="1"/>
    <xf numFmtId="0" fontId="86" fillId="22" borderId="10" xfId="0" applyFont="1" applyFill="1" applyBorder="1" applyAlignment="1">
      <alignment horizontal="center"/>
    </xf>
    <xf numFmtId="0" fontId="86" fillId="22" borderId="17" xfId="0" applyFont="1" applyFill="1" applyBorder="1" applyAlignment="1">
      <alignment horizontal="center"/>
    </xf>
    <xf numFmtId="0" fontId="86" fillId="23" borderId="10" xfId="0" applyFont="1" applyFill="1" applyBorder="1" applyAlignment="1">
      <alignment horizontal="center"/>
    </xf>
    <xf numFmtId="0" fontId="86" fillId="23" borderId="17" xfId="0" applyFont="1" applyFill="1" applyBorder="1" applyAlignment="1">
      <alignment horizontal="center"/>
    </xf>
    <xf numFmtId="0" fontId="86" fillId="23" borderId="28" xfId="0" applyFont="1" applyFill="1" applyBorder="1" applyAlignment="1">
      <alignment horizontal="center"/>
    </xf>
    <xf numFmtId="0" fontId="86" fillId="23" borderId="20" xfId="0" applyFont="1" applyFill="1" applyBorder="1" applyAlignment="1">
      <alignment horizontal="center"/>
    </xf>
    <xf numFmtId="0" fontId="86" fillId="22" borderId="12" xfId="0" applyFont="1" applyFill="1" applyBorder="1" applyAlignment="1">
      <alignment horizontal="center"/>
    </xf>
    <xf numFmtId="0" fontId="86" fillId="22" borderId="28" xfId="0" applyFont="1" applyFill="1" applyBorder="1" applyAlignment="1">
      <alignment horizontal="center"/>
    </xf>
    <xf numFmtId="0" fontId="86" fillId="23" borderId="12" xfId="0" applyFont="1" applyFill="1" applyBorder="1" applyAlignment="1">
      <alignment horizontal="center"/>
    </xf>
    <xf numFmtId="0" fontId="86" fillId="2" borderId="20" xfId="0" applyFont="1" applyFill="1" applyBorder="1" applyAlignment="1">
      <alignment horizontal="center"/>
    </xf>
    <xf numFmtId="0" fontId="86" fillId="2" borderId="10" xfId="0" applyFont="1" applyFill="1" applyBorder="1" applyAlignment="1">
      <alignment horizontal="center"/>
    </xf>
    <xf numFmtId="14" fontId="53" fillId="22" borderId="12" xfId="0" applyNumberFormat="1" applyFont="1" applyFill="1" applyBorder="1" applyAlignment="1">
      <alignment horizontal="center" vertical="center" wrapText="1"/>
    </xf>
    <xf numFmtId="14" fontId="4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6" fillId="2" borderId="0" xfId="0" applyFont="1" applyFill="1" applyAlignment="1">
      <alignment horizontal="center" vertical="center"/>
    </xf>
    <xf numFmtId="0" fontId="86" fillId="3" borderId="0" xfId="0" applyFont="1" applyFill="1" applyAlignment="1">
      <alignment horizontal="center" vertical="center"/>
    </xf>
    <xf numFmtId="20" fontId="82" fillId="22" borderId="12" xfId="0" applyNumberFormat="1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left" vertical="top" wrapText="1"/>
    </xf>
    <xf numFmtId="0" fontId="55" fillId="22" borderId="12" xfId="0" applyFont="1" applyFill="1" applyBorder="1" applyAlignment="1">
      <alignment horizontal="left" vertical="center" wrapText="1"/>
    </xf>
    <xf numFmtId="0" fontId="55" fillId="23" borderId="12" xfId="0" applyFont="1" applyFill="1" applyBorder="1" applyAlignment="1">
      <alignment horizontal="left" vertical="center" wrapText="1"/>
    </xf>
    <xf numFmtId="20" fontId="79" fillId="23" borderId="12" xfId="0" applyNumberFormat="1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/>
    </xf>
    <xf numFmtId="0" fontId="82" fillId="22" borderId="12" xfId="0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 wrapText="1"/>
    </xf>
    <xf numFmtId="0" fontId="50" fillId="22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 wrapText="1"/>
    </xf>
    <xf numFmtId="0" fontId="76" fillId="22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left" vertical="center" wrapText="1"/>
    </xf>
    <xf numFmtId="0" fontId="76" fillId="23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left" vertical="center" wrapText="1"/>
    </xf>
    <xf numFmtId="0" fontId="46" fillId="23" borderId="12" xfId="0" applyFont="1" applyFill="1" applyBorder="1" applyAlignment="1">
      <alignment horizontal="center" vertical="center"/>
    </xf>
    <xf numFmtId="0" fontId="75" fillId="22" borderId="12" xfId="0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3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3" fillId="2" borderId="20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1" fontId="85" fillId="23" borderId="28" xfId="0" applyNumberFormat="1" applyFont="1" applyFill="1" applyBorder="1" applyAlignment="1">
      <alignment horizontal="center" vertical="center"/>
    </xf>
    <xf numFmtId="0" fontId="72" fillId="23" borderId="20" xfId="0" applyFont="1" applyFill="1" applyBorder="1" applyAlignment="1">
      <alignment horizontal="center" vertical="center"/>
    </xf>
    <xf numFmtId="20" fontId="85" fillId="23" borderId="20" xfId="0" applyNumberFormat="1" applyFont="1" applyFill="1" applyBorder="1" applyAlignment="1">
      <alignment horizontal="center" vertical="center"/>
    </xf>
    <xf numFmtId="0" fontId="71" fillId="23" borderId="28" xfId="0" applyFont="1" applyFill="1" applyBorder="1" applyAlignment="1">
      <alignment horizontal="center" vertical="center"/>
    </xf>
    <xf numFmtId="20" fontId="85" fillId="23" borderId="28" xfId="0" applyNumberFormat="1" applyFont="1" applyFill="1" applyBorder="1" applyAlignment="1">
      <alignment horizontal="center" vertical="center"/>
    </xf>
    <xf numFmtId="0" fontId="71" fillId="23" borderId="70" xfId="0" applyFont="1" applyFill="1" applyBorder="1" applyAlignment="1">
      <alignment horizontal="center" vertical="center"/>
    </xf>
    <xf numFmtId="20" fontId="85" fillId="23" borderId="70" xfId="0" applyNumberFormat="1" applyFont="1" applyFill="1" applyBorder="1" applyAlignment="1">
      <alignment horizontal="center" vertical="center"/>
    </xf>
    <xf numFmtId="1" fontId="85" fillId="23" borderId="70" xfId="0" applyNumberFormat="1" applyFont="1" applyFill="1" applyBorder="1" applyAlignment="1">
      <alignment horizontal="center" vertical="center"/>
    </xf>
    <xf numFmtId="0" fontId="43" fillId="23" borderId="70" xfId="0" applyFont="1" applyFill="1" applyBorder="1" applyAlignment="1">
      <alignment horizontal="left" vertical="center" wrapText="1"/>
    </xf>
    <xf numFmtId="1" fontId="85" fillId="22" borderId="7" xfId="0" applyNumberFormat="1" applyFont="1" applyFill="1" applyBorder="1" applyAlignment="1">
      <alignment horizontal="center" vertical="center"/>
    </xf>
    <xf numFmtId="0" fontId="86" fillId="22" borderId="20" xfId="0" applyFont="1" applyFill="1" applyBorder="1" applyAlignment="1">
      <alignment horizontal="left"/>
    </xf>
    <xf numFmtId="0" fontId="43" fillId="22" borderId="68" xfId="0" applyFont="1" applyFill="1" applyBorder="1" applyAlignment="1">
      <alignment horizontal="left" vertical="center" wrapText="1"/>
    </xf>
    <xf numFmtId="1" fontId="85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2" fillId="22" borderId="12" xfId="0" applyNumberFormat="1" applyFont="1" applyFill="1" applyBorder="1" applyAlignment="1">
      <alignment horizontal="left" vertical="center" wrapText="1"/>
    </xf>
    <xf numFmtId="0" fontId="41" fillId="23" borderId="68" xfId="0" applyFont="1" applyFill="1" applyBorder="1" applyAlignment="1">
      <alignment horizontal="left" vertical="center" wrapText="1"/>
    </xf>
    <xf numFmtId="0" fontId="41" fillId="23" borderId="28" xfId="0" applyFont="1" applyFill="1" applyBorder="1" applyAlignment="1">
      <alignment horizontal="left" vertical="center" wrapText="1"/>
    </xf>
    <xf numFmtId="0" fontId="91" fillId="24" borderId="47" xfId="0" applyFont="1" applyFill="1" applyBorder="1"/>
    <xf numFmtId="173" fontId="91" fillId="24" borderId="48" xfId="0" applyNumberFormat="1" applyFont="1" applyFill="1" applyBorder="1" applyAlignment="1">
      <alignment horizontal="center"/>
    </xf>
    <xf numFmtId="1" fontId="91" fillId="24" borderId="48" xfId="0" applyNumberFormat="1" applyFont="1" applyFill="1" applyBorder="1" applyAlignment="1">
      <alignment horizontal="center"/>
    </xf>
    <xf numFmtId="174" fontId="91" fillId="24" borderId="48" xfId="0" applyNumberFormat="1" applyFont="1" applyFill="1" applyBorder="1" applyAlignment="1">
      <alignment horizontal="center"/>
    </xf>
    <xf numFmtId="176" fontId="91" fillId="24" borderId="48" xfId="0" applyNumberFormat="1" applyFont="1" applyFill="1" applyBorder="1" applyAlignment="1">
      <alignment horizontal="center"/>
    </xf>
    <xf numFmtId="9" fontId="91" fillId="24" borderId="48" xfId="0" applyNumberFormat="1" applyFont="1" applyFill="1" applyBorder="1" applyAlignment="1">
      <alignment horizontal="center"/>
    </xf>
    <xf numFmtId="9" fontId="91" fillId="24" borderId="49" xfId="0" applyNumberFormat="1" applyFont="1" applyFill="1" applyBorder="1" applyAlignment="1">
      <alignment horizontal="center"/>
    </xf>
    <xf numFmtId="9" fontId="91" fillId="24" borderId="12" xfId="0" applyNumberFormat="1" applyFont="1" applyFill="1" applyBorder="1" applyAlignment="1">
      <alignment horizontal="center"/>
    </xf>
    <xf numFmtId="0" fontId="91" fillId="24" borderId="12" xfId="0" applyFont="1" applyFill="1" applyBorder="1"/>
    <xf numFmtId="0" fontId="91" fillId="24" borderId="48" xfId="0" applyFont="1" applyFill="1" applyBorder="1"/>
    <xf numFmtId="0" fontId="91" fillId="24" borderId="48" xfId="0" applyFont="1" applyFill="1" applyBorder="1" applyAlignment="1">
      <alignment horizontal="center"/>
    </xf>
    <xf numFmtId="0" fontId="91" fillId="24" borderId="0" xfId="0" applyFont="1" applyFill="1"/>
    <xf numFmtId="0" fontId="0" fillId="24" borderId="0" xfId="0" applyFill="1"/>
    <xf numFmtId="0" fontId="91" fillId="24" borderId="47" xfId="0" applyFont="1" applyFill="1" applyBorder="1" applyAlignment="1">
      <alignment horizontal="center"/>
    </xf>
    <xf numFmtId="0" fontId="91" fillId="24" borderId="50" xfId="0" applyFont="1" applyFill="1" applyBorder="1" applyAlignment="1">
      <alignment horizontal="center"/>
    </xf>
    <xf numFmtId="1" fontId="91" fillId="24" borderId="50" xfId="0" applyNumberFormat="1" applyFont="1" applyFill="1" applyBorder="1" applyAlignment="1">
      <alignment horizontal="center"/>
    </xf>
    <xf numFmtId="176" fontId="91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1" fillId="24" borderId="49" xfId="0" applyFont="1" applyFill="1" applyBorder="1"/>
    <xf numFmtId="0" fontId="91" fillId="24" borderId="49" xfId="0" applyFont="1" applyFill="1" applyBorder="1" applyAlignment="1">
      <alignment horizontal="center"/>
    </xf>
    <xf numFmtId="9" fontId="91" fillId="24" borderId="47" xfId="0" applyNumberFormat="1" applyFont="1" applyFill="1" applyBorder="1" applyAlignment="1">
      <alignment horizontal="center"/>
    </xf>
    <xf numFmtId="2" fontId="91" fillId="24" borderId="48" xfId="0" applyNumberFormat="1" applyFont="1" applyFill="1" applyBorder="1" applyAlignment="1">
      <alignment horizontal="center"/>
    </xf>
    <xf numFmtId="1" fontId="91" fillId="24" borderId="47" xfId="0" applyNumberFormat="1" applyFont="1" applyFill="1" applyBorder="1" applyAlignment="1">
      <alignment horizontal="center"/>
    </xf>
    <xf numFmtId="1" fontId="91" fillId="24" borderId="12" xfId="0" applyNumberFormat="1" applyFont="1" applyFill="1" applyBorder="1" applyAlignment="1">
      <alignment horizontal="center"/>
    </xf>
    <xf numFmtId="0" fontId="91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6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9" fillId="2" borderId="17" xfId="0" applyNumberFormat="1" applyFont="1" applyFill="1" applyBorder="1" applyAlignment="1">
      <alignment horizontal="center" vertical="center"/>
    </xf>
    <xf numFmtId="0" fontId="86" fillId="17" borderId="0" xfId="0" applyFont="1" applyFill="1" applyAlignment="1">
      <alignment horizontal="center" vertical="center"/>
    </xf>
    <xf numFmtId="14" fontId="44" fillId="22" borderId="20" xfId="0" applyNumberFormat="1" applyFont="1" applyFill="1" applyBorder="1" applyAlignment="1">
      <alignment horizontal="center" vertical="center"/>
    </xf>
    <xf numFmtId="14" fontId="40" fillId="17" borderId="12" xfId="0" applyNumberFormat="1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6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6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3" fillId="23" borderId="28" xfId="0" applyNumberFormat="1" applyFont="1" applyFill="1" applyBorder="1" applyAlignment="1">
      <alignment horizontal="left" vertical="center" wrapText="1"/>
    </xf>
    <xf numFmtId="0" fontId="86" fillId="23" borderId="21" xfId="0" applyFont="1" applyFill="1" applyBorder="1" applyAlignment="1">
      <alignment horizontal="center"/>
    </xf>
    <xf numFmtId="14" fontId="43" fillId="23" borderId="10" xfId="0" applyNumberFormat="1" applyFont="1" applyFill="1" applyBorder="1" applyAlignment="1">
      <alignment horizontal="center" vertical="center"/>
    </xf>
    <xf numFmtId="14" fontId="43" fillId="23" borderId="17" xfId="0" applyNumberFormat="1" applyFont="1" applyFill="1" applyBorder="1" applyAlignment="1">
      <alignment horizontal="left" vertical="center" wrapText="1"/>
    </xf>
    <xf numFmtId="14" fontId="39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7" fillId="17" borderId="28" xfId="0" applyNumberFormat="1" applyFont="1" applyFill="1" applyBorder="1" applyAlignment="1">
      <alignment horizontal="left" vertical="center" wrapText="1"/>
    </xf>
    <xf numFmtId="14" fontId="39" fillId="22" borderId="28" xfId="0" applyNumberFormat="1" applyFont="1" applyFill="1" applyBorder="1" applyAlignment="1">
      <alignment horizontal="center" vertical="center"/>
    </xf>
    <xf numFmtId="0" fontId="86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9" fillId="5" borderId="18" xfId="0" applyFont="1" applyFill="1" applyBorder="1"/>
    <xf numFmtId="0" fontId="89" fillId="5" borderId="67" xfId="0" applyFont="1" applyFill="1" applyBorder="1"/>
    <xf numFmtId="170" fontId="89" fillId="5" borderId="0" xfId="3" applyNumberFormat="1" applyFont="1" applyFill="1" applyBorder="1"/>
    <xf numFmtId="0" fontId="89" fillId="5" borderId="13" xfId="0" applyFont="1" applyFill="1" applyBorder="1"/>
    <xf numFmtId="0" fontId="89" fillId="5" borderId="51" xfId="0" applyFont="1" applyFill="1" applyBorder="1"/>
    <xf numFmtId="0" fontId="89" fillId="5" borderId="26" xfId="0" applyFont="1" applyFill="1" applyBorder="1"/>
    <xf numFmtId="181" fontId="0" fillId="2" borderId="0" xfId="0" applyNumberFormat="1" applyFill="1"/>
    <xf numFmtId="0" fontId="90" fillId="5" borderId="0" xfId="0" applyFont="1" applyFill="1"/>
    <xf numFmtId="169" fontId="89" fillId="5" borderId="0" xfId="3" applyNumberFormat="1" applyFont="1" applyFill="1" applyBorder="1"/>
    <xf numFmtId="10" fontId="90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8" fillId="2" borderId="0" xfId="0" applyFont="1" applyFill="1"/>
    <xf numFmtId="180" fontId="89" fillId="0" borderId="72" xfId="3" applyNumberFormat="1" applyFont="1" applyFill="1" applyBorder="1"/>
    <xf numFmtId="0" fontId="86" fillId="3" borderId="71" xfId="0" applyFont="1" applyFill="1" applyBorder="1"/>
    <xf numFmtId="178" fontId="0" fillId="2" borderId="72" xfId="0" applyNumberFormat="1" applyFill="1" applyBorder="1"/>
    <xf numFmtId="0" fontId="89" fillId="23" borderId="18" xfId="0" applyFont="1" applyFill="1" applyBorder="1"/>
    <xf numFmtId="0" fontId="89" fillId="23" borderId="0" xfId="0" applyFont="1" applyFill="1"/>
    <xf numFmtId="171" fontId="89" fillId="23" borderId="0" xfId="0" applyNumberFormat="1" applyFont="1" applyFill="1"/>
    <xf numFmtId="0" fontId="89" fillId="23" borderId="67" xfId="0" applyFont="1" applyFill="1" applyBorder="1"/>
    <xf numFmtId="172" fontId="89" fillId="23" borderId="0" xfId="0" applyNumberFormat="1" applyFont="1" applyFill="1"/>
    <xf numFmtId="1" fontId="85" fillId="23" borderId="20" xfId="0" applyNumberFormat="1" applyFont="1" applyFill="1" applyBorder="1" applyAlignment="1">
      <alignment horizontal="center" vertical="center"/>
    </xf>
    <xf numFmtId="0" fontId="41" fillId="23" borderId="20" xfId="0" applyFont="1" applyFill="1" applyBorder="1" applyAlignment="1">
      <alignment horizontal="left" vertical="center"/>
    </xf>
    <xf numFmtId="14" fontId="85" fillId="23" borderId="74" xfId="0" applyNumberFormat="1" applyFont="1" applyFill="1" applyBorder="1" applyAlignment="1">
      <alignment horizontal="center" vertical="center"/>
    </xf>
    <xf numFmtId="20" fontId="85" fillId="23" borderId="74" xfId="0" applyNumberFormat="1" applyFont="1" applyFill="1" applyBorder="1" applyAlignment="1">
      <alignment horizontal="center" vertical="center"/>
    </xf>
    <xf numFmtId="1" fontId="85" fillId="23" borderId="74" xfId="0" applyNumberFormat="1" applyFont="1" applyFill="1" applyBorder="1" applyAlignment="1">
      <alignment horizontal="center" vertical="center"/>
    </xf>
    <xf numFmtId="0" fontId="44" fillId="23" borderId="74" xfId="0" applyFont="1" applyFill="1" applyBorder="1" applyAlignment="1">
      <alignment horizontal="left" vertical="center" wrapText="1"/>
    </xf>
    <xf numFmtId="0" fontId="70" fillId="23" borderId="76" xfId="0" applyFont="1" applyFill="1" applyBorder="1" applyAlignment="1">
      <alignment horizontal="center" vertical="center"/>
    </xf>
    <xf numFmtId="20" fontId="85" fillId="23" borderId="76" xfId="0" applyNumberFormat="1" applyFont="1" applyFill="1" applyBorder="1" applyAlignment="1">
      <alignment horizontal="center" vertical="center"/>
    </xf>
    <xf numFmtId="1" fontId="85" fillId="23" borderId="76" xfId="0" applyNumberFormat="1" applyFont="1" applyFill="1" applyBorder="1" applyAlignment="1">
      <alignment horizontal="center" vertical="center"/>
    </xf>
    <xf numFmtId="0" fontId="70" fillId="23" borderId="76" xfId="0" applyFont="1" applyFill="1" applyBorder="1" applyAlignment="1">
      <alignment horizontal="left" vertical="center"/>
    </xf>
    <xf numFmtId="20" fontId="85" fillId="22" borderId="28" xfId="0" applyNumberFormat="1" applyFont="1" applyFill="1" applyBorder="1" applyAlignment="1">
      <alignment horizontal="center" vertical="center"/>
    </xf>
    <xf numFmtId="1" fontId="85" fillId="22" borderId="28" xfId="0" applyNumberFormat="1" applyFont="1" applyFill="1" applyBorder="1" applyAlignment="1">
      <alignment horizontal="center" vertical="center"/>
    </xf>
    <xf numFmtId="0" fontId="37" fillId="22" borderId="28" xfId="0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 wrapText="1"/>
    </xf>
    <xf numFmtId="14" fontId="46" fillId="2" borderId="12" xfId="0" applyNumberFormat="1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left" vertical="center" wrapText="1"/>
    </xf>
    <xf numFmtId="14" fontId="39" fillId="23" borderId="12" xfId="0" applyNumberFormat="1" applyFont="1" applyFill="1" applyBorder="1" applyAlignment="1">
      <alignment horizontal="center" vertical="center"/>
    </xf>
    <xf numFmtId="14" fontId="39" fillId="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center" vertical="center"/>
    </xf>
    <xf numFmtId="0" fontId="36" fillId="23" borderId="74" xfId="0" applyFont="1" applyFill="1" applyBorder="1" applyAlignment="1">
      <alignment horizontal="center" vertical="center"/>
    </xf>
    <xf numFmtId="0" fontId="36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4" fillId="22" borderId="12" xfId="0" applyNumberFormat="1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9" fontId="86" fillId="22" borderId="12" xfId="0" applyNumberFormat="1" applyFont="1" applyFill="1" applyBorder="1" applyAlignment="1">
      <alignment horizontal="center"/>
    </xf>
    <xf numFmtId="1" fontId="86" fillId="22" borderId="27" xfId="0" applyNumberFormat="1" applyFont="1" applyFill="1" applyBorder="1" applyAlignment="1">
      <alignment horizontal="center" vertical="center"/>
    </xf>
    <xf numFmtId="1" fontId="86" fillId="22" borderId="12" xfId="0" applyNumberFormat="1" applyFont="1" applyFill="1" applyBorder="1" applyAlignment="1">
      <alignment horizontal="center"/>
    </xf>
    <xf numFmtId="176" fontId="86" fillId="22" borderId="23" xfId="0" applyNumberFormat="1" applyFont="1" applyFill="1" applyBorder="1" applyAlignment="1">
      <alignment horizontal="center" vertical="center"/>
    </xf>
    <xf numFmtId="176" fontId="86" fillId="22" borderId="11" xfId="0" applyNumberFormat="1" applyFont="1" applyFill="1" applyBorder="1" applyAlignment="1">
      <alignment horizontal="center" vertical="center"/>
    </xf>
    <xf numFmtId="176" fontId="86" fillId="22" borderId="25" xfId="0" applyNumberFormat="1" applyFont="1" applyFill="1" applyBorder="1" applyAlignment="1">
      <alignment horizontal="center" vertical="center"/>
    </xf>
    <xf numFmtId="176" fontId="86" fillId="22" borderId="54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6" fillId="23" borderId="10" xfId="0" applyNumberFormat="1" applyFont="1" applyFill="1" applyBorder="1" applyAlignment="1">
      <alignment horizontal="left" vertical="center" wrapText="1"/>
    </xf>
    <xf numFmtId="14" fontId="36" fillId="22" borderId="28" xfId="0" applyNumberFormat="1" applyFont="1" applyFill="1" applyBorder="1" applyAlignment="1">
      <alignment horizontal="center" vertical="center"/>
    </xf>
    <xf numFmtId="0" fontId="86" fillId="23" borderId="12" xfId="0" applyFont="1" applyFill="1" applyBorder="1" applyAlignment="1">
      <alignment horizontal="center" vertical="center"/>
    </xf>
    <xf numFmtId="0" fontId="86" fillId="2" borderId="7" xfId="0" applyFont="1" applyFill="1" applyBorder="1" applyAlignment="1">
      <alignment horizontal="center"/>
    </xf>
    <xf numFmtId="0" fontId="79" fillId="22" borderId="12" xfId="0" applyFont="1" applyFill="1" applyBorder="1" applyAlignment="1">
      <alignment horizontal="center" vertical="center"/>
    </xf>
    <xf numFmtId="20" fontId="79" fillId="22" borderId="12" xfId="0" applyNumberFormat="1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left" vertical="center"/>
    </xf>
    <xf numFmtId="14" fontId="40" fillId="23" borderId="12" xfId="0" applyNumberFormat="1" applyFon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4" fillId="2" borderId="28" xfId="0" applyNumberFormat="1" applyFont="1" applyFill="1" applyBorder="1" applyAlignment="1">
      <alignment horizontal="center" vertical="center"/>
    </xf>
    <xf numFmtId="0" fontId="86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8" fillId="23" borderId="76" xfId="0" applyNumberFormat="1" applyFont="1" applyFill="1" applyBorder="1" applyAlignment="1">
      <alignment horizontal="center" vertical="center"/>
    </xf>
    <xf numFmtId="0" fontId="86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6" fillId="3" borderId="30" xfId="0" applyFont="1" applyFill="1" applyBorder="1" applyAlignment="1">
      <alignment horizontal="center" vertical="center"/>
    </xf>
    <xf numFmtId="0" fontId="86" fillId="3" borderId="31" xfId="0" applyFont="1" applyFill="1" applyBorder="1" applyAlignment="1">
      <alignment horizontal="center" vertical="center"/>
    </xf>
    <xf numFmtId="0" fontId="86" fillId="3" borderId="20" xfId="0" applyFont="1" applyFill="1" applyBorder="1" applyAlignment="1">
      <alignment horizontal="center" vertical="center"/>
    </xf>
    <xf numFmtId="0" fontId="86" fillId="3" borderId="20" xfId="0" applyFont="1" applyFill="1" applyBorder="1" applyAlignment="1">
      <alignment horizontal="center" vertical="center" wrapText="1"/>
    </xf>
    <xf numFmtId="1" fontId="86" fillId="23" borderId="74" xfId="0" applyNumberFormat="1" applyFont="1" applyFill="1" applyBorder="1" applyAlignment="1">
      <alignment horizontal="center"/>
    </xf>
    <xf numFmtId="1" fontId="86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left" vertical="center" wrapText="1"/>
    </xf>
    <xf numFmtId="14" fontId="34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6" fillId="23" borderId="7" xfId="0" applyFont="1" applyFill="1" applyBorder="1" applyAlignment="1">
      <alignment horizontal="center"/>
    </xf>
    <xf numFmtId="14" fontId="86" fillId="23" borderId="12" xfId="0" applyNumberFormat="1" applyFont="1" applyFill="1" applyBorder="1" applyAlignment="1">
      <alignment horizontal="center" vertical="center"/>
    </xf>
    <xf numFmtId="176" fontId="86" fillId="23" borderId="25" xfId="0" applyNumberFormat="1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center" vertical="center"/>
    </xf>
    <xf numFmtId="166" fontId="85" fillId="23" borderId="12" xfId="0" applyNumberFormat="1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 wrapText="1"/>
    </xf>
    <xf numFmtId="0" fontId="31" fillId="2" borderId="7" xfId="0" applyFont="1" applyFill="1" applyBorder="1" applyAlignment="1">
      <alignment vertical="center"/>
    </xf>
    <xf numFmtId="0" fontId="30" fillId="22" borderId="12" xfId="0" applyFont="1" applyFill="1" applyBorder="1" applyAlignment="1">
      <alignment horizontal="left" vertical="center" wrapText="1"/>
    </xf>
    <xf numFmtId="0" fontId="30" fillId="23" borderId="12" xfId="0" applyFont="1" applyFill="1" applyBorder="1" applyAlignment="1">
      <alignment horizontal="center" vertical="center"/>
    </xf>
    <xf numFmtId="0" fontId="30" fillId="23" borderId="12" xfId="0" applyFont="1" applyFill="1" applyBorder="1" applyAlignment="1">
      <alignment horizontal="left" vertical="center"/>
    </xf>
    <xf numFmtId="14" fontId="86" fillId="22" borderId="12" xfId="0" applyNumberFormat="1" applyFont="1" applyFill="1" applyBorder="1" applyAlignment="1">
      <alignment horizontal="center" vertical="center" wrapText="1"/>
    </xf>
    <xf numFmtId="14" fontId="43" fillId="23" borderId="12" xfId="0" applyNumberFormat="1" applyFont="1" applyFill="1" applyBorder="1" applyAlignment="1">
      <alignment horizontal="center" vertical="center" wrapText="1"/>
    </xf>
    <xf numFmtId="14" fontId="42" fillId="22" borderId="12" xfId="0" applyNumberFormat="1" applyFont="1" applyFill="1" applyBorder="1" applyAlignment="1">
      <alignment horizontal="center" vertical="center" wrapText="1"/>
    </xf>
    <xf numFmtId="0" fontId="29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 wrapText="1"/>
    </xf>
    <xf numFmtId="0" fontId="109" fillId="2" borderId="1" xfId="0" applyFont="1" applyFill="1" applyBorder="1"/>
    <xf numFmtId="0" fontId="109" fillId="2" borderId="2" xfId="0" applyFont="1" applyFill="1" applyBorder="1"/>
    <xf numFmtId="0" fontId="109" fillId="2" borderId="3" xfId="0" applyFont="1" applyFill="1" applyBorder="1"/>
    <xf numFmtId="0" fontId="109" fillId="2" borderId="0" xfId="0" applyFont="1" applyFill="1"/>
    <xf numFmtId="0" fontId="110" fillId="2" borderId="18" xfId="0" applyFont="1" applyFill="1" applyBorder="1" applyAlignment="1">
      <alignment horizontal="center"/>
    </xf>
    <xf numFmtId="0" fontId="111" fillId="2" borderId="18" xfId="0" applyFont="1" applyFill="1" applyBorder="1"/>
    <xf numFmtId="0" fontId="110" fillId="2" borderId="1" xfId="0" applyFont="1" applyFill="1" applyBorder="1"/>
    <xf numFmtId="0" fontId="110" fillId="2" borderId="2" xfId="0" applyFont="1" applyFill="1" applyBorder="1"/>
    <xf numFmtId="0" fontId="110" fillId="2" borderId="3" xfId="0" applyFont="1" applyFill="1" applyBorder="1"/>
    <xf numFmtId="0" fontId="110" fillId="2" borderId="0" xfId="0" applyFont="1" applyFill="1"/>
    <xf numFmtId="0" fontId="109" fillId="2" borderId="18" xfId="0" applyFont="1" applyFill="1" applyBorder="1"/>
    <xf numFmtId="0" fontId="109" fillId="2" borderId="67" xfId="0" applyFont="1" applyFill="1" applyBorder="1"/>
    <xf numFmtId="0" fontId="110" fillId="4" borderId="12" xfId="0" applyFont="1" applyFill="1" applyBorder="1" applyAlignment="1">
      <alignment horizontal="center"/>
    </xf>
    <xf numFmtId="0" fontId="109" fillId="2" borderId="18" xfId="0" applyFont="1" applyFill="1" applyBorder="1" applyAlignment="1">
      <alignment horizontal="center"/>
    </xf>
    <xf numFmtId="0" fontId="111" fillId="2" borderId="12" xfId="0" applyFont="1" applyFill="1" applyBorder="1" applyAlignment="1">
      <alignment horizontal="center"/>
    </xf>
    <xf numFmtId="0" fontId="109" fillId="2" borderId="12" xfId="0" applyFont="1" applyFill="1" applyBorder="1" applyAlignment="1">
      <alignment horizontal="center"/>
    </xf>
    <xf numFmtId="0" fontId="109" fillId="2" borderId="12" xfId="0" applyFont="1" applyFill="1" applyBorder="1"/>
    <xf numFmtId="0" fontId="109" fillId="2" borderId="13" xfId="0" applyFont="1" applyFill="1" applyBorder="1"/>
    <xf numFmtId="0" fontId="109" fillId="2" borderId="51" xfId="0" applyFont="1" applyFill="1" applyBorder="1"/>
    <xf numFmtId="0" fontId="109" fillId="2" borderId="26" xfId="0" applyFont="1" applyFill="1" applyBorder="1"/>
    <xf numFmtId="14" fontId="111" fillId="2" borderId="12" xfId="0" applyNumberFormat="1" applyFont="1" applyFill="1" applyBorder="1" applyAlignment="1">
      <alignment horizontal="center"/>
    </xf>
    <xf numFmtId="14" fontId="109" fillId="2" borderId="12" xfId="0" applyNumberFormat="1" applyFont="1" applyFill="1" applyBorder="1" applyAlignment="1">
      <alignment horizontal="center"/>
    </xf>
    <xf numFmtId="0" fontId="86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8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1" fillId="18" borderId="29" xfId="0" applyFont="1" applyFill="1" applyBorder="1" applyAlignment="1">
      <alignment vertical="center"/>
    </xf>
    <xf numFmtId="0" fontId="101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1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1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6" fillId="22" borderId="12" xfId="0" applyNumberFormat="1" applyFont="1" applyFill="1" applyBorder="1" applyAlignment="1">
      <alignment horizontal="center" vertical="center"/>
    </xf>
    <xf numFmtId="9" fontId="86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6" fillId="3" borderId="12" xfId="0" applyFont="1" applyFill="1" applyBorder="1" applyAlignment="1">
      <alignment horizontal="center" vertical="center"/>
    </xf>
    <xf numFmtId="0" fontId="82" fillId="22" borderId="28" xfId="0" applyFont="1" applyFill="1" applyBorder="1" applyAlignment="1">
      <alignment horizontal="center" vertical="center"/>
    </xf>
    <xf numFmtId="20" fontId="82" fillId="22" borderId="28" xfId="0" applyNumberFormat="1" applyFont="1" applyFill="1" applyBorder="1" applyAlignment="1">
      <alignment horizontal="center" vertical="center"/>
    </xf>
    <xf numFmtId="0" fontId="56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6" fillId="3" borderId="12" xfId="0" applyFont="1" applyFill="1" applyBorder="1" applyAlignment="1">
      <alignment horizontal="center" vertical="center" wrapText="1"/>
    </xf>
    <xf numFmtId="14" fontId="86" fillId="22" borderId="28" xfId="0" applyNumberFormat="1" applyFont="1" applyFill="1" applyBorder="1" applyAlignment="1">
      <alignment horizontal="center" vertical="center"/>
    </xf>
    <xf numFmtId="14" fontId="86" fillId="2" borderId="12" xfId="0" applyNumberFormat="1" applyFont="1" applyFill="1" applyBorder="1" applyAlignment="1">
      <alignment horizontal="center" vertical="center"/>
    </xf>
    <xf numFmtId="0" fontId="86" fillId="2" borderId="20" xfId="0" applyFont="1" applyFill="1" applyBorder="1" applyAlignment="1">
      <alignment horizontal="center" vertical="center"/>
    </xf>
    <xf numFmtId="0" fontId="86" fillId="2" borderId="28" xfId="0" applyFont="1" applyFill="1" applyBorder="1" applyAlignment="1">
      <alignment horizontal="center" vertical="center"/>
    </xf>
    <xf numFmtId="14" fontId="85" fillId="17" borderId="12" xfId="0" applyNumberFormat="1" applyFont="1" applyFill="1" applyBorder="1" applyAlignment="1">
      <alignment horizontal="center" vertical="center"/>
    </xf>
    <xf numFmtId="0" fontId="86" fillId="23" borderId="20" xfId="0" applyFont="1" applyFill="1" applyBorder="1" applyAlignment="1">
      <alignment horizontal="center" vertical="center"/>
    </xf>
    <xf numFmtId="0" fontId="86" fillId="23" borderId="74" xfId="0" applyFont="1" applyFill="1" applyBorder="1" applyAlignment="1">
      <alignment horizontal="center" vertical="center"/>
    </xf>
    <xf numFmtId="0" fontId="86" fillId="23" borderId="76" xfId="0" applyFont="1" applyFill="1" applyBorder="1" applyAlignment="1">
      <alignment horizontal="center" vertical="center"/>
    </xf>
    <xf numFmtId="0" fontId="86" fillId="22" borderId="10" xfId="0" applyFont="1" applyFill="1" applyBorder="1" applyAlignment="1">
      <alignment horizontal="center" vertical="center"/>
    </xf>
    <xf numFmtId="0" fontId="86" fillId="22" borderId="20" xfId="0" applyFont="1" applyFill="1" applyBorder="1" applyAlignment="1">
      <alignment horizontal="center" vertical="center"/>
    </xf>
    <xf numFmtId="0" fontId="86" fillId="23" borderId="10" xfId="0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horizontal="center" vertical="center"/>
    </xf>
    <xf numFmtId="0" fontId="86" fillId="3" borderId="78" xfId="0" applyFont="1" applyFill="1" applyBorder="1" applyAlignment="1">
      <alignment horizontal="center" vertical="center" wrapText="1"/>
    </xf>
    <xf numFmtId="0" fontId="86" fillId="23" borderId="81" xfId="0" applyFont="1" applyFill="1" applyBorder="1" applyAlignment="1">
      <alignment horizontal="center" vertical="center"/>
    </xf>
    <xf numFmtId="0" fontId="86" fillId="23" borderId="83" xfId="0" applyFont="1" applyFill="1" applyBorder="1" applyAlignment="1">
      <alignment horizontal="center" vertical="center"/>
    </xf>
    <xf numFmtId="0" fontId="86" fillId="23" borderId="12" xfId="0" applyFont="1" applyFill="1" applyBorder="1" applyAlignment="1">
      <alignment horizontal="center" wrapText="1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6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1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1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6" fillId="23" borderId="12" xfId="0" applyFont="1" applyFill="1" applyBorder="1" applyAlignment="1">
      <alignment horizontal="left" vertical="center" wrapText="1"/>
    </xf>
    <xf numFmtId="166" fontId="85" fillId="17" borderId="12" xfId="0" applyNumberFormat="1" applyFont="1" applyFill="1" applyBorder="1" applyAlignment="1">
      <alignment horizontal="center" vertical="center"/>
    </xf>
    <xf numFmtId="1" fontId="85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14" fontId="26" fillId="17" borderId="12" xfId="0" applyNumberFormat="1" applyFont="1" applyFill="1" applyBorder="1" applyAlignment="1">
      <alignment horizontal="center" vertical="center"/>
    </xf>
    <xf numFmtId="0" fontId="86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2" fillId="2" borderId="72" xfId="0" applyFont="1" applyFill="1" applyBorder="1" applyAlignment="1">
      <alignment wrapText="1"/>
    </xf>
    <xf numFmtId="1" fontId="113" fillId="2" borderId="71" xfId="0" applyNumberFormat="1" applyFont="1" applyFill="1" applyBorder="1" applyAlignment="1">
      <alignment horizontal="center" vertical="center"/>
    </xf>
    <xf numFmtId="1" fontId="114" fillId="2" borderId="71" xfId="0" applyNumberFormat="1" applyFont="1" applyFill="1" applyBorder="1" applyAlignment="1">
      <alignment horizontal="center" vertical="center"/>
    </xf>
    <xf numFmtId="9" fontId="115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6" fillId="18" borderId="60" xfId="0" applyFont="1" applyFill="1" applyBorder="1" applyAlignment="1">
      <alignment horizontal="center"/>
    </xf>
    <xf numFmtId="0" fontId="86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5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6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6" fillId="19" borderId="12" xfId="0" applyFont="1" applyFill="1" applyBorder="1" applyAlignment="1">
      <alignment horizontal="center" vertical="center"/>
    </xf>
    <xf numFmtId="14" fontId="85" fillId="19" borderId="12" xfId="0" applyNumberFormat="1" applyFont="1" applyFill="1" applyBorder="1" applyAlignment="1">
      <alignment horizontal="center" vertical="center"/>
    </xf>
    <xf numFmtId="0" fontId="86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6" fillId="4" borderId="12" xfId="0" applyNumberFormat="1" applyFont="1" applyFill="1" applyBorder="1" applyAlignment="1">
      <alignment horizontal="center"/>
    </xf>
    <xf numFmtId="14" fontId="25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6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6" fillId="18" borderId="12" xfId="0" applyNumberFormat="1" applyFont="1" applyFill="1" applyBorder="1" applyAlignment="1">
      <alignment horizontal="center"/>
    </xf>
    <xf numFmtId="14" fontId="106" fillId="2" borderId="4" xfId="0" applyNumberFormat="1" applyFont="1" applyFill="1" applyBorder="1" applyAlignment="1">
      <alignment horizontal="center" vertical="center"/>
    </xf>
    <xf numFmtId="14" fontId="24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5" fillId="19" borderId="12" xfId="0" applyFont="1" applyFill="1" applyBorder="1" applyAlignment="1">
      <alignment horizontal="center" vertical="center"/>
    </xf>
    <xf numFmtId="166" fontId="85" fillId="19" borderId="12" xfId="0" applyNumberFormat="1" applyFont="1" applyFill="1" applyBorder="1" applyAlignment="1">
      <alignment horizontal="center" vertical="center"/>
    </xf>
    <xf numFmtId="1" fontId="85" fillId="19" borderId="12" xfId="0" applyNumberFormat="1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1" fillId="24" borderId="12" xfId="0" applyNumberFormat="1" applyFont="1" applyFill="1" applyBorder="1" applyAlignment="1">
      <alignment horizontal="center"/>
    </xf>
    <xf numFmtId="1" fontId="106" fillId="2" borderId="15" xfId="0" applyNumberFormat="1" applyFont="1" applyFill="1" applyBorder="1" applyAlignment="1">
      <alignment horizontal="center" vertical="center"/>
    </xf>
    <xf numFmtId="1" fontId="106" fillId="2" borderId="25" xfId="0" applyNumberFormat="1" applyFont="1" applyFill="1" applyBorder="1" applyAlignment="1">
      <alignment horizontal="center" vertical="center"/>
    </xf>
    <xf numFmtId="0" fontId="106" fillId="2" borderId="5" xfId="0" applyFont="1" applyFill="1" applyBorder="1" applyAlignment="1">
      <alignment vertical="center"/>
    </xf>
    <xf numFmtId="165" fontId="106" fillId="2" borderId="5" xfId="1" applyNumberFormat="1" applyFont="1" applyFill="1" applyBorder="1" applyAlignment="1">
      <alignment horizontal="center" vertical="center"/>
    </xf>
    <xf numFmtId="166" fontId="106" fillId="2" borderId="5" xfId="0" applyNumberFormat="1" applyFont="1" applyFill="1" applyBorder="1" applyAlignment="1">
      <alignment horizontal="center" vertical="center"/>
    </xf>
    <xf numFmtId="9" fontId="106" fillId="2" borderId="5" xfId="2" applyFont="1" applyFill="1" applyBorder="1" applyAlignment="1">
      <alignment horizontal="center" vertical="center"/>
    </xf>
    <xf numFmtId="167" fontId="106" fillId="2" borderId="6" xfId="1" applyNumberFormat="1" applyFont="1" applyFill="1" applyBorder="1" applyAlignment="1">
      <alignment horizontal="center" vertical="center"/>
    </xf>
    <xf numFmtId="0" fontId="106" fillId="2" borderId="6" xfId="0" applyFont="1" applyFill="1" applyBorder="1" applyAlignment="1">
      <alignment horizontal="center" vertical="center"/>
    </xf>
    <xf numFmtId="1" fontId="106" fillId="2" borderId="6" xfId="0" applyNumberFormat="1" applyFont="1" applyFill="1" applyBorder="1" applyAlignment="1">
      <alignment horizontal="center" vertical="center"/>
    </xf>
    <xf numFmtId="1" fontId="106" fillId="2" borderId="5" xfId="0" applyNumberFormat="1" applyFont="1" applyFill="1" applyBorder="1" applyAlignment="1">
      <alignment horizontal="center" vertical="center"/>
    </xf>
    <xf numFmtId="1" fontId="106" fillId="2" borderId="59" xfId="0" applyNumberFormat="1" applyFont="1" applyFill="1" applyBorder="1" applyAlignment="1">
      <alignment horizontal="center" vertical="center"/>
    </xf>
    <xf numFmtId="167" fontId="106" fillId="2" borderId="32" xfId="1" applyNumberFormat="1" applyFont="1" applyFill="1" applyBorder="1" applyAlignment="1">
      <alignment horizontal="center" vertical="center"/>
    </xf>
    <xf numFmtId="0" fontId="106" fillId="2" borderId="32" xfId="0" applyFont="1" applyFill="1" applyBorder="1" applyAlignment="1">
      <alignment horizontal="center" vertical="center"/>
    </xf>
    <xf numFmtId="14" fontId="106" fillId="2" borderId="12" xfId="0" applyNumberFormat="1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165" fontId="106" fillId="2" borderId="12" xfId="1" applyNumberFormat="1" applyFont="1" applyFill="1" applyBorder="1" applyAlignment="1">
      <alignment horizontal="center" vertical="center"/>
    </xf>
    <xf numFmtId="166" fontId="106" fillId="2" borderId="12" xfId="0" applyNumberFormat="1" applyFont="1" applyFill="1" applyBorder="1" applyAlignment="1">
      <alignment horizontal="center" vertical="center"/>
    </xf>
    <xf numFmtId="9" fontId="106" fillId="2" borderId="12" xfId="2" applyFont="1" applyFill="1" applyBorder="1" applyAlignment="1">
      <alignment horizontal="center" vertical="center"/>
    </xf>
    <xf numFmtId="167" fontId="106" fillId="2" borderId="12" xfId="1" applyNumberFormat="1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1" fontId="106" fillId="2" borderId="12" xfId="0" applyNumberFormat="1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0" fontId="23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 wrapText="1"/>
    </xf>
    <xf numFmtId="0" fontId="86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2" fillId="19" borderId="12" xfId="0" applyNumberFormat="1" applyFont="1" applyFill="1" applyBorder="1" applyAlignment="1">
      <alignment horizontal="center" vertical="center" wrapText="1"/>
    </xf>
    <xf numFmtId="173" fontId="91" fillId="0" borderId="0" xfId="0" applyNumberFormat="1" applyFont="1" applyAlignment="1">
      <alignment horizontal="center"/>
    </xf>
    <xf numFmtId="173" fontId="91" fillId="0" borderId="49" xfId="0" applyNumberFormat="1" applyFont="1" applyBorder="1" applyAlignment="1">
      <alignment horizontal="center"/>
    </xf>
    <xf numFmtId="174" fontId="91" fillId="0" borderId="47" xfId="0" applyNumberFormat="1" applyFont="1" applyBorder="1" applyAlignment="1">
      <alignment horizontal="center"/>
    </xf>
    <xf numFmtId="176" fontId="91" fillId="0" borderId="47" xfId="0" applyNumberFormat="1" applyFont="1" applyBorder="1" applyAlignment="1">
      <alignment horizontal="center"/>
    </xf>
    <xf numFmtId="1" fontId="91" fillId="21" borderId="28" xfId="0" applyNumberFormat="1" applyFont="1" applyFill="1" applyBorder="1" applyAlignment="1">
      <alignment horizontal="center"/>
    </xf>
    <xf numFmtId="2" fontId="91" fillId="21" borderId="28" xfId="0" applyNumberFormat="1" applyFont="1" applyFill="1" applyBorder="1" applyAlignment="1">
      <alignment horizontal="center"/>
    </xf>
    <xf numFmtId="176" fontId="91" fillId="21" borderId="28" xfId="0" applyNumberFormat="1" applyFont="1" applyFill="1" applyBorder="1" applyAlignment="1">
      <alignment horizontal="center"/>
    </xf>
    <xf numFmtId="9" fontId="91" fillId="21" borderId="28" xfId="0" applyNumberFormat="1" applyFont="1" applyFill="1" applyBorder="1" applyAlignment="1">
      <alignment horizontal="center"/>
    </xf>
    <xf numFmtId="0" fontId="91" fillId="21" borderId="28" xfId="0" applyFont="1" applyFill="1" applyBorder="1" applyAlignment="1">
      <alignment horizontal="center"/>
    </xf>
    <xf numFmtId="176" fontId="91" fillId="0" borderId="12" xfId="0" applyNumberFormat="1" applyFont="1" applyBorder="1" applyAlignment="1">
      <alignment horizontal="center"/>
    </xf>
    <xf numFmtId="9" fontId="91" fillId="22" borderId="48" xfId="2" applyFont="1" applyFill="1" applyBorder="1" applyAlignment="1">
      <alignment horizontal="center" vertical="center"/>
    </xf>
    <xf numFmtId="0" fontId="91" fillId="0" borderId="49" xfId="0" applyFont="1" applyBorder="1"/>
    <xf numFmtId="0" fontId="91" fillId="24" borderId="7" xfId="0" applyFont="1" applyFill="1" applyBorder="1"/>
    <xf numFmtId="0" fontId="91" fillId="0" borderId="7" xfId="0" applyFont="1" applyBorder="1"/>
    <xf numFmtId="0" fontId="91" fillId="0" borderId="30" xfId="0" applyFont="1" applyBorder="1"/>
    <xf numFmtId="0" fontId="91" fillId="24" borderId="8" xfId="0" applyFont="1" applyFill="1" applyBorder="1" applyAlignment="1">
      <alignment horizontal="center"/>
    </xf>
    <xf numFmtId="0" fontId="91" fillId="0" borderId="8" xfId="0" applyFont="1" applyBorder="1" applyAlignment="1">
      <alignment horizontal="center"/>
    </xf>
    <xf numFmtId="0" fontId="91" fillId="0" borderId="31" xfId="0" applyFont="1" applyBorder="1" applyAlignment="1">
      <alignment horizontal="center"/>
    </xf>
    <xf numFmtId="14" fontId="21" fillId="17" borderId="12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1" fillId="4" borderId="28" xfId="0" applyNumberFormat="1" applyFont="1" applyFill="1" applyBorder="1" applyAlignment="1">
      <alignment horizontal="center" vertical="center"/>
    </xf>
    <xf numFmtId="0" fontId="106" fillId="2" borderId="22" xfId="0" applyFont="1" applyFill="1" applyBorder="1" applyAlignment="1">
      <alignment horizontal="center" vertical="center"/>
    </xf>
    <xf numFmtId="1" fontId="106" fillId="2" borderId="21" xfId="0" applyNumberFormat="1" applyFont="1" applyFill="1" applyBorder="1" applyAlignment="1">
      <alignment horizontal="center" vertical="center"/>
    </xf>
    <xf numFmtId="1" fontId="106" fillId="2" borderId="61" xfId="0" applyNumberFormat="1" applyFont="1" applyFill="1" applyBorder="1" applyAlignment="1">
      <alignment horizontal="center" vertical="center"/>
    </xf>
    <xf numFmtId="1" fontId="106" fillId="2" borderId="32" xfId="0" applyNumberFormat="1" applyFont="1" applyFill="1" applyBorder="1" applyAlignment="1">
      <alignment horizontal="center" vertical="center"/>
    </xf>
    <xf numFmtId="165" fontId="106" fillId="2" borderId="28" xfId="0" applyNumberFormat="1" applyFont="1" applyFill="1" applyBorder="1" applyAlignment="1">
      <alignment horizontal="center" vertical="center"/>
    </xf>
    <xf numFmtId="165" fontId="106" fillId="2" borderId="66" xfId="0" applyNumberFormat="1" applyFont="1" applyFill="1" applyBorder="1" applyAlignment="1">
      <alignment horizontal="center" vertical="center"/>
    </xf>
    <xf numFmtId="165" fontId="106" fillId="2" borderId="12" xfId="0" applyNumberFormat="1" applyFont="1" applyFill="1" applyBorder="1" applyAlignment="1">
      <alignment horizontal="center" vertical="center"/>
    </xf>
    <xf numFmtId="14" fontId="106" fillId="2" borderId="33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14" fontId="60" fillId="18" borderId="12" xfId="0" applyNumberFormat="1" applyFont="1" applyFill="1" applyBorder="1"/>
    <xf numFmtId="0" fontId="19" fillId="17" borderId="12" xfId="0" applyFont="1" applyFill="1" applyBorder="1" applyAlignment="1">
      <alignment horizontal="left" vertical="center" wrapText="1"/>
    </xf>
    <xf numFmtId="0" fontId="18" fillId="2" borderId="7" xfId="0" applyFont="1" applyFill="1" applyBorder="1" applyAlignment="1">
      <alignment vertical="center"/>
    </xf>
    <xf numFmtId="14" fontId="18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8" fillId="17" borderId="12" xfId="0" applyFont="1" applyFill="1" applyBorder="1" applyAlignment="1">
      <alignment horizontal="center" vertical="center"/>
    </xf>
    <xf numFmtId="166" fontId="18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7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 wrapText="1"/>
    </xf>
    <xf numFmtId="14" fontId="16" fillId="17" borderId="12" xfId="0" applyNumberFormat="1" applyFont="1" applyFill="1" applyBorder="1" applyAlignment="1">
      <alignment horizontal="center" vertical="center"/>
    </xf>
    <xf numFmtId="174" fontId="109" fillId="2" borderId="12" xfId="0" applyNumberFormat="1" applyFont="1" applyFill="1" applyBorder="1" applyAlignment="1">
      <alignment horizontal="center"/>
    </xf>
    <xf numFmtId="0" fontId="16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6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01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5" fillId="17" borderId="12" xfId="0" applyNumberFormat="1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166" fontId="14" fillId="17" borderId="12" xfId="0" applyNumberFormat="1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14" fontId="14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4" fillId="2" borderId="7" xfId="0" applyFont="1" applyFill="1" applyBorder="1" applyAlignment="1">
      <alignment vertical="center"/>
    </xf>
    <xf numFmtId="0" fontId="13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3" fillId="19" borderId="12" xfId="0" applyFont="1" applyFill="1" applyBorder="1" applyAlignment="1">
      <alignment horizontal="center" vertical="center"/>
    </xf>
    <xf numFmtId="166" fontId="13" fillId="19" borderId="12" xfId="0" applyNumberFormat="1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2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6" fillId="4" borderId="12" xfId="0" applyFont="1" applyFill="1" applyBorder="1" applyAlignment="1">
      <alignment horizontal="center" vertical="center"/>
    </xf>
    <xf numFmtId="0" fontId="96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2" fillId="19" borderId="12" xfId="0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1" fillId="19" borderId="12" xfId="0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 wrapText="1"/>
    </xf>
    <xf numFmtId="0" fontId="11" fillId="2" borderId="7" xfId="0" applyFont="1" applyFill="1" applyBorder="1" applyAlignment="1">
      <alignment vertical="center"/>
    </xf>
    <xf numFmtId="176" fontId="0" fillId="0" borderId="0" xfId="0" applyNumberFormat="1"/>
    <xf numFmtId="14" fontId="10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6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86" fillId="18" borderId="20" xfId="1" applyFont="1" applyFill="1" applyBorder="1" applyAlignment="1">
      <alignment horizontal="center"/>
    </xf>
    <xf numFmtId="164" fontId="86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6" fillId="19" borderId="12" xfId="0" applyFont="1" applyFill="1" applyBorder="1"/>
    <xf numFmtId="1" fontId="86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9" fillId="2" borderId="7" xfId="0" applyFont="1" applyFill="1" applyBorder="1" applyAlignment="1">
      <alignment vertical="center"/>
    </xf>
    <xf numFmtId="0" fontId="9" fillId="19" borderId="12" xfId="0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/>
    </xf>
    <xf numFmtId="0" fontId="9" fillId="19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left" vertical="center"/>
    </xf>
    <xf numFmtId="14" fontId="9" fillId="17" borderId="12" xfId="0" applyNumberFormat="1" applyFont="1" applyFill="1" applyBorder="1" applyAlignment="1">
      <alignment horizontal="center" vertical="center"/>
    </xf>
    <xf numFmtId="14" fontId="8" fillId="17" borderId="12" xfId="0" applyNumberFormat="1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6" fillId="19" borderId="12" xfId="0" applyNumberFormat="1" applyFont="1" applyFill="1" applyBorder="1" applyAlignment="1">
      <alignment horizontal="center" vertical="center"/>
    </xf>
    <xf numFmtId="0" fontId="85" fillId="2" borderId="0" xfId="0" applyFont="1" applyFill="1" applyAlignment="1">
      <alignment vertical="center"/>
    </xf>
    <xf numFmtId="0" fontId="101" fillId="4" borderId="12" xfId="0" applyFont="1" applyFill="1" applyBorder="1"/>
    <xf numFmtId="165" fontId="106" fillId="2" borderId="52" xfId="0" applyNumberFormat="1" applyFont="1" applyFill="1" applyBorder="1" applyAlignment="1">
      <alignment horizontal="center" vertical="center"/>
    </xf>
    <xf numFmtId="0" fontId="86" fillId="19" borderId="7" xfId="0" applyFont="1" applyFill="1" applyBorder="1" applyAlignment="1">
      <alignment horizontal="center"/>
    </xf>
    <xf numFmtId="0" fontId="85" fillId="19" borderId="12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left" vertical="center"/>
    </xf>
    <xf numFmtId="0" fontId="85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06" fillId="2" borderId="28" xfId="0" applyFont="1" applyFill="1" applyBorder="1"/>
    <xf numFmtId="165" fontId="101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4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3" fillId="19" borderId="12" xfId="0" applyFont="1" applyFill="1" applyBorder="1" applyAlignment="1">
      <alignment horizontal="left" vertical="center"/>
    </xf>
    <xf numFmtId="0" fontId="85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" fillId="17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center" vertical="center"/>
    </xf>
    <xf numFmtId="174" fontId="0" fillId="17" borderId="12" xfId="0" applyNumberFormat="1" applyFill="1" applyBorder="1"/>
    <xf numFmtId="0" fontId="96" fillId="16" borderId="36" xfId="0" applyFont="1" applyFill="1" applyBorder="1" applyAlignment="1">
      <alignment horizontal="center"/>
    </xf>
    <xf numFmtId="0" fontId="96" fillId="16" borderId="55" xfId="0" applyFont="1" applyFill="1" applyBorder="1" applyAlignment="1">
      <alignment horizontal="center"/>
    </xf>
    <xf numFmtId="0" fontId="96" fillId="16" borderId="56" xfId="0" applyFont="1" applyFill="1" applyBorder="1" applyAlignment="1">
      <alignment horizontal="center"/>
    </xf>
    <xf numFmtId="0" fontId="86" fillId="4" borderId="12" xfId="0" applyFont="1" applyFill="1" applyBorder="1" applyAlignment="1">
      <alignment horizontal="center"/>
    </xf>
    <xf numFmtId="0" fontId="86" fillId="4" borderId="18" xfId="0" applyFont="1" applyFill="1" applyBorder="1" applyAlignment="1">
      <alignment horizontal="center"/>
    </xf>
    <xf numFmtId="0" fontId="86" fillId="4" borderId="0" xfId="0" applyFont="1" applyFill="1" applyAlignment="1">
      <alignment horizontal="center"/>
    </xf>
    <xf numFmtId="0" fontId="86" fillId="4" borderId="67" xfId="0" applyFont="1" applyFill="1" applyBorder="1" applyAlignment="1">
      <alignment horizontal="center"/>
    </xf>
    <xf numFmtId="0" fontId="101" fillId="4" borderId="0" xfId="0" applyFont="1" applyFill="1" applyAlignment="1">
      <alignment horizontal="center"/>
    </xf>
    <xf numFmtId="0" fontId="86" fillId="20" borderId="12" xfId="0" applyFont="1" applyFill="1" applyBorder="1" applyAlignment="1">
      <alignment horizontal="center"/>
    </xf>
    <xf numFmtId="0" fontId="93" fillId="3" borderId="41" xfId="0" applyFont="1" applyFill="1" applyBorder="1" applyAlignment="1">
      <alignment horizontal="center" vertical="center" wrapText="1"/>
    </xf>
    <xf numFmtId="0" fontId="92" fillId="3" borderId="42" xfId="0" applyFont="1" applyFill="1" applyBorder="1" applyAlignment="1">
      <alignment vertical="center"/>
    </xf>
    <xf numFmtId="0" fontId="92" fillId="3" borderId="43" xfId="0" applyFont="1" applyFill="1" applyBorder="1" applyAlignment="1">
      <alignment vertical="center"/>
    </xf>
    <xf numFmtId="0" fontId="98" fillId="15" borderId="51" xfId="0" applyFont="1" applyFill="1" applyBorder="1" applyAlignment="1">
      <alignment horizontal="center"/>
    </xf>
    <xf numFmtId="0" fontId="99" fillId="15" borderId="0" xfId="0" applyFont="1" applyFill="1" applyAlignment="1">
      <alignment horizontal="center"/>
    </xf>
    <xf numFmtId="0" fontId="103" fillId="3" borderId="42" xfId="0" applyFont="1" applyFill="1" applyBorder="1" applyAlignment="1">
      <alignment horizontal="center" vertical="center"/>
    </xf>
    <xf numFmtId="0" fontId="103" fillId="3" borderId="43" xfId="0" applyFont="1" applyFill="1" applyBorder="1" applyAlignment="1">
      <alignment horizontal="center" vertical="center"/>
    </xf>
    <xf numFmtId="0" fontId="93" fillId="3" borderId="42" xfId="0" applyFont="1" applyFill="1" applyBorder="1" applyAlignment="1">
      <alignment horizontal="center" vertical="center" wrapText="1"/>
    </xf>
    <xf numFmtId="0" fontId="93" fillId="3" borderId="43" xfId="0" applyFont="1" applyFill="1" applyBorder="1" applyAlignment="1">
      <alignment horizontal="center" vertical="center" wrapText="1"/>
    </xf>
    <xf numFmtId="0" fontId="93" fillId="3" borderId="40" xfId="0" applyFont="1" applyFill="1" applyBorder="1" applyAlignment="1">
      <alignment horizontal="center" vertical="center" wrapText="1"/>
    </xf>
    <xf numFmtId="0" fontId="92" fillId="3" borderId="44" xfId="0" applyFont="1" applyFill="1" applyBorder="1" applyAlignment="1">
      <alignment vertical="center"/>
    </xf>
    <xf numFmtId="1" fontId="93" fillId="3" borderId="41" xfId="0" applyNumberFormat="1" applyFont="1" applyFill="1" applyBorder="1" applyAlignment="1">
      <alignment horizontal="center" vertical="center" wrapText="1"/>
    </xf>
    <xf numFmtId="1" fontId="93" fillId="3" borderId="40" xfId="0" applyNumberFormat="1" applyFont="1" applyFill="1" applyBorder="1" applyAlignment="1">
      <alignment horizontal="center" vertical="center" wrapText="1"/>
    </xf>
    <xf numFmtId="0" fontId="92" fillId="3" borderId="46" xfId="0" applyFont="1" applyFill="1" applyBorder="1" applyAlignment="1">
      <alignment vertical="center"/>
    </xf>
    <xf numFmtId="1" fontId="93" fillId="3" borderId="44" xfId="0" applyNumberFormat="1" applyFont="1" applyFill="1" applyBorder="1" applyAlignment="1">
      <alignment horizontal="center" vertical="center" wrapText="1"/>
    </xf>
    <xf numFmtId="177" fontId="86" fillId="4" borderId="12" xfId="0" applyNumberFormat="1" applyFont="1" applyFill="1" applyBorder="1" applyAlignment="1">
      <alignment horizontal="center"/>
    </xf>
    <xf numFmtId="0" fontId="86" fillId="19" borderId="57" xfId="0" applyFont="1" applyFill="1" applyBorder="1" applyAlignment="1">
      <alignment horizontal="center"/>
    </xf>
    <xf numFmtId="0" fontId="86" fillId="19" borderId="10" xfId="0" applyFont="1" applyFill="1" applyBorder="1" applyAlignment="1">
      <alignment horizontal="center"/>
    </xf>
    <xf numFmtId="177" fontId="86" fillId="19" borderId="10" xfId="0" applyNumberFormat="1" applyFont="1" applyFill="1" applyBorder="1" applyAlignment="1">
      <alignment horizontal="center"/>
    </xf>
    <xf numFmtId="0" fontId="86" fillId="19" borderId="23" xfId="0" applyFont="1" applyFill="1" applyBorder="1" applyAlignment="1">
      <alignment horizontal="center"/>
    </xf>
    <xf numFmtId="0" fontId="101" fillId="18" borderId="0" xfId="0" applyFont="1" applyFill="1" applyAlignment="1">
      <alignment horizontal="center"/>
    </xf>
    <xf numFmtId="0" fontId="86" fillId="3" borderId="7" xfId="0" applyFont="1" applyFill="1" applyBorder="1" applyAlignment="1">
      <alignment horizontal="center"/>
    </xf>
    <xf numFmtId="0" fontId="86" fillId="3" borderId="8" xfId="0" applyFont="1" applyFill="1" applyBorder="1" applyAlignment="1">
      <alignment horizontal="center"/>
    </xf>
    <xf numFmtId="0" fontId="86" fillId="3" borderId="29" xfId="0" applyFont="1" applyFill="1" applyBorder="1" applyAlignment="1">
      <alignment horizontal="center"/>
    </xf>
    <xf numFmtId="0" fontId="86" fillId="3" borderId="53" xfId="0" applyFont="1" applyFill="1" applyBorder="1" applyAlignment="1">
      <alignment horizontal="center"/>
    </xf>
    <xf numFmtId="0" fontId="86" fillId="3" borderId="33" xfId="0" applyFont="1" applyFill="1" applyBorder="1" applyAlignment="1">
      <alignment horizontal="center"/>
    </xf>
    <xf numFmtId="0" fontId="86" fillId="18" borderId="7" xfId="0" applyFont="1" applyFill="1" applyBorder="1" applyAlignment="1">
      <alignment horizontal="center"/>
    </xf>
    <xf numFmtId="0" fontId="86" fillId="18" borderId="29" xfId="0" applyFont="1" applyFill="1" applyBorder="1" applyAlignment="1">
      <alignment horizontal="center"/>
    </xf>
    <xf numFmtId="0" fontId="86" fillId="18" borderId="8" xfId="0" applyFont="1" applyFill="1" applyBorder="1" applyAlignment="1">
      <alignment horizontal="center"/>
    </xf>
    <xf numFmtId="14" fontId="106" fillId="2" borderId="12" xfId="0" applyNumberFormat="1" applyFont="1" applyFill="1" applyBorder="1" applyAlignment="1">
      <alignment horizontal="center" vertical="center"/>
    </xf>
    <xf numFmtId="14" fontId="106" fillId="2" borderId="1" xfId="0" applyNumberFormat="1" applyFont="1" applyFill="1" applyBorder="1" applyAlignment="1">
      <alignment horizontal="center" vertical="center"/>
    </xf>
    <xf numFmtId="14" fontId="106" fillId="2" borderId="4" xfId="0" applyNumberFormat="1" applyFont="1" applyFill="1" applyBorder="1" applyAlignment="1">
      <alignment horizontal="center" vertical="center"/>
    </xf>
    <xf numFmtId="14" fontId="106" fillId="2" borderId="13" xfId="0" applyNumberFormat="1" applyFont="1" applyFill="1" applyBorder="1" applyAlignment="1">
      <alignment horizontal="center" vertical="center"/>
    </xf>
    <xf numFmtId="14" fontId="106" fillId="2" borderId="14" xfId="0" applyNumberFormat="1" applyFont="1" applyFill="1" applyBorder="1" applyAlignment="1">
      <alignment horizontal="center" vertical="center"/>
    </xf>
    <xf numFmtId="165" fontId="106" fillId="2" borderId="5" xfId="0" applyNumberFormat="1" applyFont="1" applyFill="1" applyBorder="1" applyAlignment="1">
      <alignment horizontal="center" vertical="center"/>
    </xf>
    <xf numFmtId="165" fontId="106" fillId="2" borderId="15" xfId="0" applyNumberFormat="1" applyFont="1" applyFill="1" applyBorder="1" applyAlignment="1">
      <alignment horizontal="center" vertical="center"/>
    </xf>
    <xf numFmtId="165" fontId="106" fillId="2" borderId="20" xfId="0" applyNumberFormat="1" applyFont="1" applyFill="1" applyBorder="1" applyAlignment="1">
      <alignment horizontal="center" vertical="center"/>
    </xf>
    <xf numFmtId="165" fontId="106" fillId="2" borderId="28" xfId="0" applyNumberFormat="1" applyFont="1" applyFill="1" applyBorder="1" applyAlignment="1">
      <alignment horizontal="center" vertical="center"/>
    </xf>
    <xf numFmtId="165" fontId="106" fillId="2" borderId="12" xfId="0" applyNumberFormat="1" applyFont="1" applyFill="1" applyBorder="1" applyAlignment="1">
      <alignment horizontal="center" vertical="center"/>
    </xf>
    <xf numFmtId="14" fontId="106" fillId="2" borderId="18" xfId="0" applyNumberFormat="1" applyFont="1" applyFill="1" applyBorder="1" applyAlignment="1">
      <alignment horizontal="center" vertical="center"/>
    </xf>
    <xf numFmtId="14" fontId="106" fillId="2" borderId="19" xfId="0" applyNumberFormat="1" applyFont="1" applyFill="1" applyBorder="1" applyAlignment="1">
      <alignment horizontal="center" vertical="center"/>
    </xf>
    <xf numFmtId="165" fontId="106" fillId="2" borderId="63" xfId="0" applyNumberFormat="1" applyFont="1" applyFill="1" applyBorder="1" applyAlignment="1">
      <alignment horizontal="center" vertical="center"/>
    </xf>
    <xf numFmtId="165" fontId="106" fillId="2" borderId="64" xfId="0" applyNumberFormat="1" applyFont="1" applyFill="1" applyBorder="1" applyAlignment="1">
      <alignment horizontal="center" vertical="center"/>
    </xf>
    <xf numFmtId="165" fontId="106" fillId="2" borderId="65" xfId="0" applyNumberFormat="1" applyFont="1" applyFill="1" applyBorder="1" applyAlignment="1">
      <alignment horizontal="center" vertical="center"/>
    </xf>
    <xf numFmtId="165" fontId="106" fillId="2" borderId="86" xfId="0" applyNumberFormat="1" applyFont="1" applyFill="1" applyBorder="1" applyAlignment="1">
      <alignment horizontal="center" vertical="center"/>
    </xf>
    <xf numFmtId="165" fontId="106" fillId="2" borderId="6" xfId="0" applyNumberFormat="1" applyFont="1" applyFill="1" applyBorder="1" applyAlignment="1">
      <alignment horizontal="center" vertical="center"/>
    </xf>
    <xf numFmtId="0" fontId="106" fillId="2" borderId="16" xfId="0" applyFont="1" applyFill="1" applyBorder="1" applyAlignment="1">
      <alignment horizontal="center" vertical="center"/>
    </xf>
    <xf numFmtId="165" fontId="106" fillId="2" borderId="0" xfId="0" applyNumberFormat="1" applyFont="1" applyFill="1" applyAlignment="1">
      <alignment horizontal="center" vertical="center"/>
    </xf>
    <xf numFmtId="0" fontId="106" fillId="2" borderId="53" xfId="0" applyFont="1" applyFill="1" applyBorder="1" applyAlignment="1">
      <alignment horizontal="center" vertical="center"/>
    </xf>
    <xf numFmtId="14" fontId="106" fillId="17" borderId="1" xfId="0" applyNumberFormat="1" applyFont="1" applyFill="1" applyBorder="1" applyAlignment="1">
      <alignment horizontal="center" vertical="center"/>
    </xf>
    <xf numFmtId="14" fontId="106" fillId="17" borderId="4" xfId="0" applyNumberFormat="1" applyFont="1" applyFill="1" applyBorder="1" applyAlignment="1">
      <alignment horizontal="center" vertical="center"/>
    </xf>
    <xf numFmtId="14" fontId="106" fillId="17" borderId="13" xfId="0" applyNumberFormat="1" applyFont="1" applyFill="1" applyBorder="1" applyAlignment="1">
      <alignment horizontal="center" vertical="center"/>
    </xf>
    <xf numFmtId="14" fontId="106" fillId="17" borderId="14" xfId="0" applyNumberFormat="1" applyFont="1" applyFill="1" applyBorder="1" applyAlignment="1">
      <alignment horizontal="center" vertical="center"/>
    </xf>
    <xf numFmtId="165" fontId="106" fillId="17" borderId="5" xfId="0" applyNumberFormat="1" applyFont="1" applyFill="1" applyBorder="1" applyAlignment="1">
      <alignment horizontal="center" vertical="center"/>
    </xf>
    <xf numFmtId="165" fontId="106" fillId="17" borderId="15" xfId="0" applyNumberFormat="1" applyFont="1" applyFill="1" applyBorder="1" applyAlignment="1">
      <alignment horizontal="center" vertical="center"/>
    </xf>
    <xf numFmtId="0" fontId="101" fillId="3" borderId="18" xfId="0" applyFont="1" applyFill="1" applyBorder="1" applyAlignment="1">
      <alignment horizontal="center" vertical="center"/>
    </xf>
    <xf numFmtId="0" fontId="101" fillId="3" borderId="19" xfId="0" applyFont="1" applyFill="1" applyBorder="1" applyAlignment="1">
      <alignment horizontal="center" vertical="center"/>
    </xf>
    <xf numFmtId="0" fontId="106" fillId="2" borderId="20" xfId="0" applyFont="1" applyFill="1" applyBorder="1" applyAlignment="1">
      <alignment horizontal="left" wrapText="1"/>
    </xf>
    <xf numFmtId="0" fontId="106" fillId="2" borderId="28" xfId="0" applyFont="1" applyFill="1" applyBorder="1" applyAlignment="1">
      <alignment horizontal="left" wrapText="1"/>
    </xf>
    <xf numFmtId="0" fontId="116" fillId="3" borderId="36" xfId="0" applyFont="1" applyFill="1" applyBorder="1" applyAlignment="1">
      <alignment horizontal="center"/>
    </xf>
    <xf numFmtId="0" fontId="116" fillId="3" borderId="55" xfId="0" applyFont="1" applyFill="1" applyBorder="1" applyAlignment="1">
      <alignment horizontal="center"/>
    </xf>
    <xf numFmtId="0" fontId="116" fillId="3" borderId="56" xfId="0" applyFont="1" applyFill="1" applyBorder="1" applyAlignment="1">
      <alignment horizontal="center"/>
    </xf>
    <xf numFmtId="165" fontId="106" fillId="2" borderId="21" xfId="0" applyNumberFormat="1" applyFont="1" applyFill="1" applyBorder="1" applyAlignment="1">
      <alignment horizontal="center" vertical="center"/>
    </xf>
    <xf numFmtId="14" fontId="101" fillId="4" borderId="18" xfId="0" applyNumberFormat="1" applyFont="1" applyFill="1" applyBorder="1" applyAlignment="1">
      <alignment horizontal="center" vertical="center"/>
    </xf>
    <xf numFmtId="14" fontId="101" fillId="4" borderId="19" xfId="0" applyNumberFormat="1" applyFont="1" applyFill="1" applyBorder="1" applyAlignment="1">
      <alignment horizontal="center" vertical="center"/>
    </xf>
    <xf numFmtId="0" fontId="101" fillId="4" borderId="24" xfId="0" applyFont="1" applyFill="1" applyBorder="1" applyAlignment="1">
      <alignment horizontal="center"/>
    </xf>
    <xf numFmtId="0" fontId="101" fillId="4" borderId="17" xfId="0" applyFont="1" applyFill="1" applyBorder="1" applyAlignment="1">
      <alignment horizontal="center"/>
    </xf>
    <xf numFmtId="0" fontId="96" fillId="20" borderId="7" xfId="0" applyFont="1" applyFill="1" applyBorder="1" applyAlignment="1">
      <alignment horizontal="center"/>
    </xf>
    <xf numFmtId="0" fontId="96" fillId="20" borderId="8" xfId="0" applyFont="1" applyFill="1" applyBorder="1" applyAlignment="1">
      <alignment horizontal="center"/>
    </xf>
    <xf numFmtId="0" fontId="86" fillId="2" borderId="0" xfId="0" applyFont="1" applyFill="1" applyAlignment="1">
      <alignment horizontal="center"/>
    </xf>
    <xf numFmtId="14" fontId="83" fillId="2" borderId="32" xfId="0" applyNumberFormat="1" applyFont="1" applyFill="1" applyBorder="1" applyAlignment="1">
      <alignment horizontal="center" vertical="center"/>
    </xf>
    <xf numFmtId="14" fontId="85" fillId="2" borderId="33" xfId="0" applyNumberFormat="1" applyFont="1" applyFill="1" applyBorder="1" applyAlignment="1">
      <alignment horizontal="center" vertical="center"/>
    </xf>
    <xf numFmtId="0" fontId="86" fillId="3" borderId="30" xfId="0" applyFont="1" applyFill="1" applyBorder="1" applyAlignment="1">
      <alignment horizontal="center"/>
    </xf>
    <xf numFmtId="0" fontId="86" fillId="3" borderId="34" xfId="0" applyFont="1" applyFill="1" applyBorder="1" applyAlignment="1">
      <alignment horizontal="center"/>
    </xf>
    <xf numFmtId="0" fontId="86" fillId="3" borderId="31" xfId="0" applyFont="1" applyFill="1" applyBorder="1" applyAlignment="1">
      <alignment horizontal="center"/>
    </xf>
    <xf numFmtId="0" fontId="85" fillId="3" borderId="36" xfId="0" applyFont="1" applyFill="1" applyBorder="1" applyAlignment="1">
      <alignment horizontal="center"/>
    </xf>
    <xf numFmtId="0" fontId="85" fillId="3" borderId="37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110" fillId="2" borderId="18" xfId="0" applyFont="1" applyFill="1" applyBorder="1" applyAlignment="1">
      <alignment horizontal="center"/>
    </xf>
    <xf numFmtId="0" fontId="110" fillId="2" borderId="0" xfId="0" applyFont="1" applyFill="1" applyAlignment="1">
      <alignment horizontal="center"/>
    </xf>
    <xf numFmtId="0" fontId="110" fillId="2" borderId="67" xfId="0" applyFont="1" applyFill="1" applyBorder="1" applyAlignment="1">
      <alignment horizontal="center"/>
    </xf>
    <xf numFmtId="0" fontId="110" fillId="2" borderId="13" xfId="0" applyFont="1" applyFill="1" applyBorder="1" applyAlignment="1">
      <alignment horizontal="center"/>
    </xf>
    <xf numFmtId="0" fontId="110" fillId="2" borderId="51" xfId="0" applyFont="1" applyFill="1" applyBorder="1" applyAlignment="1">
      <alignment horizontal="center"/>
    </xf>
    <xf numFmtId="0" fontId="110" fillId="2" borderId="26" xfId="0" applyFont="1" applyFill="1" applyBorder="1" applyAlignment="1">
      <alignment horizontal="center"/>
    </xf>
    <xf numFmtId="0" fontId="112" fillId="2" borderId="18" xfId="0" applyFont="1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0" fontId="112" fillId="2" borderId="67" xfId="0" applyFont="1" applyFill="1" applyBorder="1" applyAlignment="1">
      <alignment horizontal="center"/>
    </xf>
    <xf numFmtId="0" fontId="112" fillId="2" borderId="13" xfId="0" applyFont="1" applyFill="1" applyBorder="1" applyAlignment="1">
      <alignment horizontal="center"/>
    </xf>
    <xf numFmtId="0" fontId="112" fillId="2" borderId="51" xfId="0" applyFont="1" applyFill="1" applyBorder="1" applyAlignment="1">
      <alignment horizontal="center"/>
    </xf>
    <xf numFmtId="0" fontId="112" fillId="2" borderId="26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0" fontId="101" fillId="22" borderId="20" xfId="0" applyFont="1" applyFill="1" applyBorder="1" applyAlignment="1">
      <alignment horizontal="center" vertical="center"/>
    </xf>
    <xf numFmtId="0" fontId="101" fillId="22" borderId="21" xfId="0" applyFont="1" applyFill="1" applyBorder="1" applyAlignment="1">
      <alignment horizontal="center" vertical="center"/>
    </xf>
    <xf numFmtId="0" fontId="101" fillId="17" borderId="21" xfId="0" applyFon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0" fontId="116" fillId="17" borderId="20" xfId="0" applyFont="1" applyFill="1" applyBorder="1" applyAlignment="1">
      <alignment horizontal="center" vertical="center"/>
    </xf>
    <xf numFmtId="0" fontId="116" fillId="17" borderId="21" xfId="0" applyFont="1" applyFill="1" applyBorder="1" applyAlignment="1">
      <alignment horizontal="center" vertical="center"/>
    </xf>
    <xf numFmtId="0" fontId="116" fillId="17" borderId="28" xfId="0" applyFont="1" applyFill="1" applyBorder="1" applyAlignment="1">
      <alignment horizontal="center" vertical="center"/>
    </xf>
    <xf numFmtId="0" fontId="116" fillId="22" borderId="20" xfId="0" applyFont="1" applyFill="1" applyBorder="1" applyAlignment="1">
      <alignment horizontal="center" vertical="center"/>
    </xf>
    <xf numFmtId="0" fontId="116" fillId="22" borderId="21" xfId="0" applyFont="1" applyFill="1" applyBorder="1" applyAlignment="1">
      <alignment horizontal="center" vertical="center"/>
    </xf>
    <xf numFmtId="0" fontId="116" fillId="22" borderId="28" xfId="0" applyFont="1" applyFill="1" applyBorder="1" applyAlignment="1">
      <alignment horizontal="center" vertical="center"/>
    </xf>
    <xf numFmtId="0" fontId="86" fillId="18" borderId="0" xfId="0" applyFont="1" applyFill="1" applyAlignment="1">
      <alignment horizontal="center"/>
    </xf>
    <xf numFmtId="0" fontId="108" fillId="23" borderId="20" xfId="0" applyFont="1" applyFill="1" applyBorder="1" applyAlignment="1">
      <alignment horizontal="center" vertical="center"/>
    </xf>
    <xf numFmtId="0" fontId="108" fillId="23" borderId="21" xfId="0" applyFont="1" applyFill="1" applyBorder="1" applyAlignment="1">
      <alignment horizontal="center" vertical="center"/>
    </xf>
    <xf numFmtId="0" fontId="108" fillId="23" borderId="28" xfId="0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center" vertical="center"/>
    </xf>
    <xf numFmtId="0" fontId="108" fillId="22" borderId="21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0" fontId="105" fillId="17" borderId="20" xfId="0" applyFont="1" applyFill="1" applyBorder="1" applyAlignment="1">
      <alignment horizontal="center" vertical="center"/>
    </xf>
    <xf numFmtId="0" fontId="105" fillId="17" borderId="21" xfId="0" applyFont="1" applyFill="1" applyBorder="1" applyAlignment="1">
      <alignment horizontal="center" vertical="center"/>
    </xf>
    <xf numFmtId="0" fontId="105" fillId="17" borderId="28" xfId="0" applyFont="1" applyFill="1" applyBorder="1" applyAlignment="1">
      <alignment horizontal="center" vertical="center"/>
    </xf>
    <xf numFmtId="14" fontId="68" fillId="2" borderId="12" xfId="0" applyNumberFormat="1" applyFont="1" applyFill="1" applyBorder="1" applyAlignment="1">
      <alignment horizontal="center" vertical="center"/>
    </xf>
    <xf numFmtId="14" fontId="85" fillId="2" borderId="12" xfId="0" applyNumberFormat="1" applyFont="1" applyFill="1" applyBorder="1" applyAlignment="1">
      <alignment horizontal="center" vertical="center"/>
    </xf>
    <xf numFmtId="14" fontId="68" fillId="17" borderId="12" xfId="0" applyNumberFormat="1" applyFont="1" applyFill="1" applyBorder="1" applyAlignment="1">
      <alignment horizontal="center" vertical="center"/>
    </xf>
    <xf numFmtId="14" fontId="85" fillId="17" borderId="12" xfId="0" applyNumberFormat="1" applyFont="1" applyFill="1" applyBorder="1" applyAlignment="1">
      <alignment horizontal="center" vertical="center"/>
    </xf>
    <xf numFmtId="14" fontId="68" fillId="19" borderId="12" xfId="0" applyNumberFormat="1" applyFont="1" applyFill="1" applyBorder="1" applyAlignment="1">
      <alignment horizontal="center" vertical="center"/>
    </xf>
    <xf numFmtId="14" fontId="85" fillId="19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85" fillId="23" borderId="12" xfId="0" applyNumberFormat="1" applyFont="1" applyFill="1" applyBorder="1" applyAlignment="1">
      <alignment horizontal="center" vertical="center"/>
    </xf>
    <xf numFmtId="14" fontId="68" fillId="23" borderId="73" xfId="0" applyNumberFormat="1" applyFont="1" applyFill="1" applyBorder="1" applyAlignment="1">
      <alignment horizontal="center" vertical="center"/>
    </xf>
    <xf numFmtId="14" fontId="85" fillId="23" borderId="74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8" fillId="22" borderId="28" xfId="0" applyNumberFormat="1" applyFont="1" applyFill="1" applyBorder="1" applyAlignment="1">
      <alignment horizontal="center" vertical="center"/>
    </xf>
    <xf numFmtId="14" fontId="85" fillId="22" borderId="28" xfId="0" applyNumberFormat="1" applyFont="1" applyFill="1" applyBorder="1" applyAlignment="1">
      <alignment horizontal="center" vertical="center"/>
    </xf>
    <xf numFmtId="0" fontId="108" fillId="23" borderId="34" xfId="0" applyFont="1" applyFill="1" applyBorder="1" applyAlignment="1">
      <alignment horizontal="center" vertical="center"/>
    </xf>
    <xf numFmtId="0" fontId="108" fillId="23" borderId="0" xfId="0" applyFont="1" applyFill="1" applyAlignment="1">
      <alignment horizontal="center" vertical="center"/>
    </xf>
    <xf numFmtId="0" fontId="108" fillId="23" borderId="77" xfId="0" applyFont="1" applyFill="1" applyBorder="1" applyAlignment="1">
      <alignment horizontal="center" vertical="center"/>
    </xf>
    <xf numFmtId="0" fontId="108" fillId="23" borderId="30" xfId="0" applyFont="1" applyFill="1" applyBorder="1" applyAlignment="1">
      <alignment horizontal="center" vertical="center"/>
    </xf>
    <xf numFmtId="0" fontId="108" fillId="23" borderId="22" xfId="0" applyFont="1" applyFill="1" applyBorder="1" applyAlignment="1">
      <alignment horizontal="center" vertical="center"/>
    </xf>
    <xf numFmtId="0" fontId="108" fillId="23" borderId="32" xfId="0" applyFont="1" applyFill="1" applyBorder="1" applyAlignment="1">
      <alignment horizontal="center" vertical="center"/>
    </xf>
    <xf numFmtId="14" fontId="68" fillId="23" borderId="69" xfId="0" applyNumberFormat="1" applyFont="1" applyFill="1" applyBorder="1" applyAlignment="1">
      <alignment horizontal="center" vertical="center"/>
    </xf>
    <xf numFmtId="14" fontId="85" fillId="23" borderId="70" xfId="0" applyNumberFormat="1" applyFont="1" applyFill="1" applyBorder="1" applyAlignment="1">
      <alignment horizontal="center" vertical="center"/>
    </xf>
    <xf numFmtId="14" fontId="68" fillId="23" borderId="28" xfId="0" applyNumberFormat="1" applyFont="1" applyFill="1" applyBorder="1" applyAlignment="1">
      <alignment horizontal="center" vertical="center"/>
    </xf>
    <xf numFmtId="14" fontId="85" fillId="23" borderId="28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4" fontId="85" fillId="23" borderId="20" xfId="0" applyNumberFormat="1" applyFont="1" applyFill="1" applyBorder="1" applyAlignment="1">
      <alignment horizontal="center" vertical="center"/>
    </xf>
    <xf numFmtId="14" fontId="68" fillId="23" borderId="75" xfId="0" applyNumberFormat="1" applyFont="1" applyFill="1" applyBorder="1" applyAlignment="1">
      <alignment horizontal="center" vertical="center"/>
    </xf>
    <xf numFmtId="14" fontId="85" fillId="23" borderId="76" xfId="0" applyNumberFormat="1" applyFont="1" applyFill="1" applyBorder="1" applyAlignment="1">
      <alignment horizontal="center" vertical="center"/>
    </xf>
    <xf numFmtId="0" fontId="86" fillId="3" borderId="22" xfId="0" applyFont="1" applyFill="1" applyBorder="1" applyAlignment="1">
      <alignment horizontal="center"/>
    </xf>
    <xf numFmtId="0" fontId="86" fillId="3" borderId="0" xfId="0" applyFont="1" applyFill="1" applyAlignment="1">
      <alignment horizontal="center"/>
    </xf>
    <xf numFmtId="0" fontId="86" fillId="3" borderId="12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08" fillId="22" borderId="30" xfId="0" applyFont="1" applyFill="1" applyBorder="1" applyAlignment="1">
      <alignment horizontal="center" vertical="center"/>
    </xf>
    <xf numFmtId="0" fontId="108" fillId="22" borderId="22" xfId="0" applyFont="1" applyFill="1" applyBorder="1" applyAlignment="1">
      <alignment horizontal="center" vertical="center"/>
    </xf>
    <xf numFmtId="0" fontId="108" fillId="22" borderId="53" xfId="0" applyFont="1" applyFill="1" applyBorder="1" applyAlignment="1">
      <alignment horizontal="center" vertical="center"/>
    </xf>
    <xf numFmtId="0" fontId="108" fillId="19" borderId="20" xfId="0" applyFont="1" applyFill="1" applyBorder="1" applyAlignment="1">
      <alignment horizontal="center" vertical="center"/>
    </xf>
    <xf numFmtId="0" fontId="108" fillId="19" borderId="21" xfId="0" applyFont="1" applyFill="1" applyBorder="1" applyAlignment="1">
      <alignment horizontal="center" vertical="center"/>
    </xf>
    <xf numFmtId="0" fontId="108" fillId="19" borderId="28" xfId="0" applyFont="1" applyFill="1" applyBorder="1" applyAlignment="1">
      <alignment horizontal="center" vertical="center"/>
    </xf>
    <xf numFmtId="0" fontId="108" fillId="23" borderId="20" xfId="0" applyFont="1" applyFill="1" applyBorder="1" applyAlignment="1">
      <alignment horizontal="center" vertical="center" wrapText="1"/>
    </xf>
    <xf numFmtId="0" fontId="108" fillId="23" borderId="21" xfId="0" applyFont="1" applyFill="1" applyBorder="1" applyAlignment="1">
      <alignment horizontal="center" vertical="center" wrapText="1"/>
    </xf>
    <xf numFmtId="0" fontId="108" fillId="23" borderId="28" xfId="0" applyFont="1" applyFill="1" applyBorder="1" applyAlignment="1">
      <alignment horizontal="center" vertical="center" wrapText="1"/>
    </xf>
    <xf numFmtId="9" fontId="86" fillId="19" borderId="12" xfId="2" applyFont="1" applyFill="1" applyBorder="1" applyAlignment="1">
      <alignment horizontal="center" vertical="center"/>
    </xf>
    <xf numFmtId="9" fontId="86" fillId="17" borderId="12" xfId="2" applyFont="1" applyFill="1" applyBorder="1" applyAlignment="1">
      <alignment horizontal="center" vertical="center"/>
    </xf>
    <xf numFmtId="0" fontId="108" fillId="17" borderId="20" xfId="0" applyFont="1" applyFill="1" applyBorder="1" applyAlignment="1">
      <alignment horizontal="center" vertical="center"/>
    </xf>
    <xf numFmtId="0" fontId="108" fillId="17" borderId="21" xfId="0" applyFont="1" applyFill="1" applyBorder="1" applyAlignment="1">
      <alignment horizontal="center" vertical="center"/>
    </xf>
    <xf numFmtId="0" fontId="108" fillId="17" borderId="28" xfId="0" applyFont="1" applyFill="1" applyBorder="1" applyAlignment="1">
      <alignment horizontal="center" vertical="center"/>
    </xf>
    <xf numFmtId="0" fontId="108" fillId="22" borderId="80" xfId="0" applyFont="1" applyFill="1" applyBorder="1" applyAlignment="1">
      <alignment horizontal="center" vertical="center"/>
    </xf>
    <xf numFmtId="0" fontId="107" fillId="17" borderId="20" xfId="0" applyFont="1" applyFill="1" applyBorder="1" applyAlignment="1">
      <alignment horizontal="center" vertical="center"/>
    </xf>
    <xf numFmtId="0" fontId="107" fillId="17" borderId="21" xfId="0" applyFont="1" applyFill="1" applyBorder="1" applyAlignment="1">
      <alignment horizontal="center" vertical="center"/>
    </xf>
    <xf numFmtId="0" fontId="107" fillId="17" borderId="28" xfId="0" applyFont="1" applyFill="1" applyBorder="1" applyAlignment="1">
      <alignment horizontal="center" vertical="center"/>
    </xf>
    <xf numFmtId="0" fontId="86" fillId="18" borderId="20" xfId="0" applyFont="1" applyFill="1" applyBorder="1" applyAlignment="1">
      <alignment horizontal="center" vertical="center"/>
    </xf>
    <xf numFmtId="0" fontId="86" fillId="18" borderId="21" xfId="0" applyFont="1" applyFill="1" applyBorder="1" applyAlignment="1">
      <alignment horizontal="center" vertical="center"/>
    </xf>
    <xf numFmtId="0" fontId="86" fillId="18" borderId="28" xfId="0" applyFont="1" applyFill="1" applyBorder="1" applyAlignment="1">
      <alignment horizontal="center" vertical="center"/>
    </xf>
    <xf numFmtId="0" fontId="90" fillId="17" borderId="20" xfId="0" applyFont="1" applyFill="1" applyBorder="1" applyAlignment="1">
      <alignment horizontal="center" vertical="center"/>
    </xf>
    <xf numFmtId="0" fontId="90" fillId="17" borderId="21" xfId="0" applyFont="1" applyFill="1" applyBorder="1" applyAlignment="1">
      <alignment horizontal="center" vertical="center"/>
    </xf>
    <xf numFmtId="0" fontId="90" fillId="17" borderId="28" xfId="0" applyFont="1" applyFill="1" applyBorder="1" applyAlignment="1">
      <alignment horizontal="center" vertical="center"/>
    </xf>
    <xf numFmtId="0" fontId="101" fillId="22" borderId="28" xfId="0" applyFont="1" applyFill="1" applyBorder="1" applyAlignment="1">
      <alignment horizontal="center" vertical="center"/>
    </xf>
    <xf numFmtId="0" fontId="101" fillId="23" borderId="20" xfId="0" applyFont="1" applyFill="1" applyBorder="1" applyAlignment="1">
      <alignment horizontal="center" vertical="center"/>
    </xf>
    <xf numFmtId="0" fontId="101" fillId="23" borderId="21" xfId="0" applyFont="1" applyFill="1" applyBorder="1" applyAlignment="1">
      <alignment horizontal="center" vertical="center"/>
    </xf>
    <xf numFmtId="0" fontId="101" fillId="23" borderId="28" xfId="0" applyFont="1" applyFill="1" applyBorder="1" applyAlignment="1">
      <alignment horizontal="center" vertical="center"/>
    </xf>
    <xf numFmtId="0" fontId="86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6" fillId="18" borderId="57" xfId="0" applyFont="1" applyFill="1" applyBorder="1" applyAlignment="1">
      <alignment horizontal="center"/>
    </xf>
    <xf numFmtId="0" fontId="86" fillId="18" borderId="10" xfId="0" applyFont="1" applyFill="1" applyBorder="1" applyAlignment="1">
      <alignment horizontal="center"/>
    </xf>
    <xf numFmtId="0" fontId="86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1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85" fillId="17" borderId="1" xfId="0" applyNumberFormat="1" applyFont="1" applyFill="1" applyBorder="1" applyAlignment="1">
      <alignment horizontal="center" vertical="center"/>
    </xf>
    <xf numFmtId="14" fontId="85" fillId="17" borderId="4" xfId="0" applyNumberFormat="1" applyFont="1" applyFill="1" applyBorder="1" applyAlignment="1">
      <alignment horizontal="center" vertical="center"/>
    </xf>
    <xf numFmtId="14" fontId="85" fillId="17" borderId="13" xfId="0" applyNumberFormat="1" applyFont="1" applyFill="1" applyBorder="1" applyAlignment="1">
      <alignment horizontal="center" vertical="center"/>
    </xf>
    <xf numFmtId="14" fontId="85" fillId="17" borderId="14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85" fillId="2" borderId="1" xfId="0" applyNumberFormat="1" applyFont="1" applyFill="1" applyBorder="1" applyAlignment="1">
      <alignment horizontal="center" vertical="center"/>
    </xf>
    <xf numFmtId="14" fontId="85" fillId="2" borderId="4" xfId="0" applyNumberFormat="1" applyFont="1" applyFill="1" applyBorder="1" applyAlignment="1">
      <alignment horizontal="center" vertical="center"/>
    </xf>
    <xf numFmtId="14" fontId="85" fillId="2" borderId="13" xfId="0" applyNumberFormat="1" applyFont="1" applyFill="1" applyBorder="1" applyAlignment="1">
      <alignment horizontal="center" vertical="center"/>
    </xf>
    <xf numFmtId="14" fontId="85" fillId="2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85" fillId="19" borderId="1" xfId="0" applyNumberFormat="1" applyFont="1" applyFill="1" applyBorder="1" applyAlignment="1">
      <alignment horizontal="center" vertical="center"/>
    </xf>
    <xf numFmtId="14" fontId="85" fillId="19" borderId="4" xfId="0" applyNumberFormat="1" applyFont="1" applyFill="1" applyBorder="1" applyAlignment="1">
      <alignment horizontal="center" vertical="center"/>
    </xf>
    <xf numFmtId="14" fontId="85" fillId="19" borderId="13" xfId="0" applyNumberFormat="1" applyFont="1" applyFill="1" applyBorder="1" applyAlignment="1">
      <alignment horizontal="center" vertical="center"/>
    </xf>
    <xf numFmtId="14" fontId="85" fillId="19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86" fillId="3" borderId="30" xfId="0" applyFont="1" applyFill="1" applyBorder="1" applyAlignment="1">
      <alignment horizontal="center" vertical="center"/>
    </xf>
    <xf numFmtId="0" fontId="86" fillId="3" borderId="31" xfId="0" applyFont="1" applyFill="1" applyBorder="1" applyAlignment="1">
      <alignment horizontal="center" vertical="center"/>
    </xf>
    <xf numFmtId="0" fontId="86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86" fillId="23" borderId="67" xfId="0" applyFont="1" applyFill="1" applyBorder="1" applyAlignment="1">
      <alignment horizontal="center" vertical="center"/>
    </xf>
    <xf numFmtId="0" fontId="86" fillId="22" borderId="67" xfId="0" applyFont="1" applyFill="1" applyBorder="1" applyAlignment="1">
      <alignment horizontal="center" vertical="center"/>
    </xf>
    <xf numFmtId="14" fontId="54" fillId="23" borderId="74" xfId="0" applyNumberFormat="1" applyFont="1" applyFill="1" applyBorder="1" applyAlignment="1">
      <alignment horizontal="center" vertical="center" wrapText="1"/>
    </xf>
    <xf numFmtId="14" fontId="85" fillId="23" borderId="76" xfId="0" applyNumberFormat="1" applyFont="1" applyFill="1" applyBorder="1" applyAlignment="1">
      <alignment horizontal="center" vertical="center" wrapText="1"/>
    </xf>
    <xf numFmtId="1" fontId="0" fillId="23" borderId="12" xfId="0" applyNumberFormat="1" applyFill="1" applyBorder="1" applyAlignment="1">
      <alignment horizontal="center" vertical="center"/>
    </xf>
    <xf numFmtId="14" fontId="85" fillId="2" borderId="18" xfId="0" applyNumberFormat="1" applyFont="1" applyFill="1" applyBorder="1" applyAlignment="1">
      <alignment horizontal="center" vertical="center"/>
    </xf>
    <xf numFmtId="14" fontId="85" fillId="2" borderId="19" xfId="0" applyNumberFormat="1" applyFont="1" applyFill="1" applyBorder="1" applyAlignment="1">
      <alignment horizontal="center" vertical="center"/>
    </xf>
    <xf numFmtId="1" fontId="86" fillId="22" borderId="12" xfId="0" applyNumberFormat="1" applyFont="1" applyFill="1" applyBorder="1" applyAlignment="1">
      <alignment horizontal="center" vertical="center"/>
    </xf>
    <xf numFmtId="14" fontId="85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6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6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5" fillId="23" borderId="73" xfId="0" applyNumberFormat="1" applyFont="1" applyFill="1" applyBorder="1" applyAlignment="1">
      <alignment horizontal="center" vertical="center"/>
    </xf>
    <xf numFmtId="14" fontId="85" fillId="23" borderId="75" xfId="0" applyNumberFormat="1" applyFont="1" applyFill="1" applyBorder="1" applyAlignment="1">
      <alignment horizontal="center" vertical="center"/>
    </xf>
    <xf numFmtId="1" fontId="86" fillId="23" borderId="21" xfId="0" applyNumberFormat="1" applyFont="1" applyFill="1" applyBorder="1" applyAlignment="1">
      <alignment horizontal="center" vertical="center"/>
    </xf>
    <xf numFmtId="1" fontId="86" fillId="23" borderId="28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4" fontId="85" fillId="23" borderId="1" xfId="0" applyNumberFormat="1" applyFont="1" applyFill="1" applyBorder="1" applyAlignment="1">
      <alignment horizontal="center" vertical="center"/>
    </xf>
    <xf numFmtId="14" fontId="85" fillId="23" borderId="4" xfId="0" applyNumberFormat="1" applyFont="1" applyFill="1" applyBorder="1" applyAlignment="1">
      <alignment horizontal="center" vertical="center"/>
    </xf>
    <xf numFmtId="14" fontId="85" fillId="23" borderId="13" xfId="0" applyNumberFormat="1" applyFont="1" applyFill="1" applyBorder="1" applyAlignment="1">
      <alignment horizontal="center" vertical="center"/>
    </xf>
    <xf numFmtId="14" fontId="85" fillId="23" borderId="14" xfId="0" applyNumberFormat="1" applyFont="1" applyFill="1" applyBorder="1" applyAlignment="1">
      <alignment horizontal="center" vertical="center"/>
    </xf>
    <xf numFmtId="14" fontId="85" fillId="22" borderId="1" xfId="0" applyNumberFormat="1" applyFont="1" applyFill="1" applyBorder="1" applyAlignment="1">
      <alignment horizontal="center" vertical="center"/>
    </xf>
    <xf numFmtId="14" fontId="85" fillId="22" borderId="4" xfId="0" applyNumberFormat="1" applyFont="1" applyFill="1" applyBorder="1" applyAlignment="1">
      <alignment horizontal="center" vertical="center"/>
    </xf>
    <xf numFmtId="14" fontId="85" fillId="22" borderId="13" xfId="0" applyNumberFormat="1" applyFont="1" applyFill="1" applyBorder="1" applyAlignment="1">
      <alignment horizontal="center" vertical="center"/>
    </xf>
    <xf numFmtId="14" fontId="85" fillId="22" borderId="14" xfId="0" applyNumberFormat="1" applyFont="1" applyFill="1" applyBorder="1" applyAlignment="1">
      <alignment horizontal="center" vertical="center"/>
    </xf>
    <xf numFmtId="14" fontId="85" fillId="2" borderId="84" xfId="0" applyNumberFormat="1" applyFont="1" applyFill="1" applyBorder="1" applyAlignment="1">
      <alignment horizontal="center" vertical="center"/>
    </xf>
    <xf numFmtId="14" fontId="85" fillId="2" borderId="31" xfId="0" applyNumberFormat="1" applyFont="1" applyFill="1" applyBorder="1" applyAlignment="1">
      <alignment horizontal="center" vertical="center"/>
    </xf>
    <xf numFmtId="14" fontId="85" fillId="22" borderId="84" xfId="0" applyNumberFormat="1" applyFont="1" applyFill="1" applyBorder="1" applyAlignment="1">
      <alignment horizontal="center" vertical="center"/>
    </xf>
    <xf numFmtId="14" fontId="85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7" fillId="25" borderId="36" xfId="0" applyFont="1" applyFill="1" applyBorder="1" applyAlignment="1">
      <alignment horizontal="center" vertical="center" wrapText="1"/>
    </xf>
    <xf numFmtId="0" fontId="87" fillId="25" borderId="55" xfId="0" applyFont="1" applyFill="1" applyBorder="1" applyAlignment="1">
      <alignment horizontal="center" vertical="center" wrapText="1"/>
    </xf>
    <xf numFmtId="0" fontId="87" fillId="25" borderId="56" xfId="0" applyFont="1" applyFill="1" applyBorder="1" applyAlignment="1">
      <alignment horizontal="center" vertical="center" wrapText="1"/>
    </xf>
    <xf numFmtId="14" fontId="85" fillId="17" borderId="18" xfId="0" applyNumberFormat="1" applyFont="1" applyFill="1" applyBorder="1" applyAlignment="1">
      <alignment horizontal="center" vertical="center"/>
    </xf>
    <xf numFmtId="14" fontId="85" fillId="17" borderId="19" xfId="0" applyNumberFormat="1" applyFon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85" fillId="2" borderId="32" xfId="0" applyNumberFormat="1" applyFont="1" applyFill="1" applyBorder="1" applyAlignment="1">
      <alignment horizontal="center" vertical="center"/>
    </xf>
    <xf numFmtId="0" fontId="86" fillId="18" borderId="20" xfId="0" applyFont="1" applyFill="1" applyBorder="1" applyAlignment="1">
      <alignment horizontal="center" wrapText="1"/>
    </xf>
    <xf numFmtId="0" fontId="86" fillId="18" borderId="28" xfId="0" applyFont="1" applyFill="1" applyBorder="1" applyAlignment="1">
      <alignment horizontal="center" wrapText="1"/>
    </xf>
    <xf numFmtId="0" fontId="86" fillId="18" borderId="12" xfId="0" applyFont="1" applyFill="1" applyBorder="1" applyAlignment="1">
      <alignment horizontal="center"/>
    </xf>
    <xf numFmtId="0" fontId="105" fillId="4" borderId="36" xfId="0" applyFont="1" applyFill="1" applyBorder="1" applyAlignment="1">
      <alignment horizontal="center"/>
    </xf>
    <xf numFmtId="0" fontId="105" fillId="4" borderId="55" xfId="0" applyFont="1" applyFill="1" applyBorder="1" applyAlignment="1">
      <alignment horizontal="center"/>
    </xf>
    <xf numFmtId="0" fontId="105" fillId="4" borderId="56" xfId="0" applyFont="1" applyFill="1" applyBorder="1" applyAlignment="1">
      <alignment horizontal="center"/>
    </xf>
    <xf numFmtId="0" fontId="86" fillId="18" borderId="12" xfId="0" applyFont="1" applyFill="1" applyBorder="1" applyAlignment="1">
      <alignment horizontal="center" vertical="center" wrapText="1"/>
    </xf>
    <xf numFmtId="17" fontId="105" fillId="4" borderId="36" xfId="0" applyNumberFormat="1" applyFont="1" applyFill="1" applyBorder="1" applyAlignment="1">
      <alignment horizontal="center"/>
    </xf>
    <xf numFmtId="17" fontId="105" fillId="4" borderId="55" xfId="0" applyNumberFormat="1" applyFont="1" applyFill="1" applyBorder="1" applyAlignment="1">
      <alignment horizontal="center"/>
    </xf>
    <xf numFmtId="17" fontId="105" fillId="4" borderId="56" xfId="0" applyNumberFormat="1" applyFont="1" applyFill="1" applyBorder="1" applyAlignment="1">
      <alignment horizontal="center"/>
    </xf>
    <xf numFmtId="0" fontId="86" fillId="18" borderId="20" xfId="0" applyFont="1" applyFill="1" applyBorder="1" applyAlignment="1">
      <alignment horizontal="center" vertical="center" wrapText="1"/>
    </xf>
    <xf numFmtId="0" fontId="86" fillId="18" borderId="21" xfId="0" applyFont="1" applyFill="1" applyBorder="1" applyAlignment="1">
      <alignment horizontal="center" vertical="center" wrapText="1"/>
    </xf>
    <xf numFmtId="0" fontId="86" fillId="18" borderId="28" xfId="0" applyFont="1" applyFill="1" applyBorder="1" applyAlignment="1">
      <alignment horizontal="center" vertical="center" wrapText="1"/>
    </xf>
    <xf numFmtId="0" fontId="86" fillId="18" borderId="30" xfId="0" applyFont="1" applyFill="1" applyBorder="1" applyAlignment="1">
      <alignment horizontal="center" vertical="center"/>
    </xf>
    <xf numFmtId="0" fontId="86" fillId="18" borderId="34" xfId="0" applyFont="1" applyFill="1" applyBorder="1" applyAlignment="1">
      <alignment horizontal="center" vertical="center"/>
    </xf>
    <xf numFmtId="0" fontId="86" fillId="18" borderId="31" xfId="0" applyFont="1" applyFill="1" applyBorder="1" applyAlignment="1">
      <alignment horizontal="center" vertical="center"/>
    </xf>
    <xf numFmtId="0" fontId="86" fillId="18" borderId="32" xfId="0" applyFont="1" applyFill="1" applyBorder="1" applyAlignment="1">
      <alignment horizontal="center" vertical="center"/>
    </xf>
    <xf numFmtId="0" fontId="86" fillId="18" borderId="53" xfId="0" applyFont="1" applyFill="1" applyBorder="1" applyAlignment="1">
      <alignment horizontal="center" vertical="center"/>
    </xf>
    <xf numFmtId="0" fontId="86" fillId="18" borderId="33" xfId="0" applyFont="1" applyFill="1" applyBorder="1" applyAlignment="1">
      <alignment horizontal="center" vertical="center"/>
    </xf>
    <xf numFmtId="164" fontId="86" fillId="18" borderId="20" xfId="1" applyFont="1" applyFill="1" applyBorder="1" applyAlignment="1">
      <alignment horizontal="center" vertical="center"/>
    </xf>
    <xf numFmtId="164" fontId="86" fillId="18" borderId="21" xfId="1" applyFont="1" applyFill="1" applyBorder="1" applyAlignment="1">
      <alignment horizontal="center" vertical="center"/>
    </xf>
    <xf numFmtId="164" fontId="86" fillId="18" borderId="28" xfId="1" applyFont="1" applyFill="1" applyBorder="1" applyAlignment="1">
      <alignment horizontal="center" vertical="center"/>
    </xf>
    <xf numFmtId="0" fontId="86" fillId="19" borderId="7" xfId="0" applyFont="1" applyFill="1" applyBorder="1" applyAlignment="1">
      <alignment horizontal="center"/>
    </xf>
    <xf numFmtId="0" fontId="86" fillId="19" borderId="29" xfId="0" applyFont="1" applyFill="1" applyBorder="1" applyAlignment="1">
      <alignment horizontal="center"/>
    </xf>
    <xf numFmtId="0" fontId="86" fillId="19" borderId="8" xfId="0" applyFont="1" applyFill="1" applyBorder="1" applyAlignment="1">
      <alignment horizontal="center"/>
    </xf>
    <xf numFmtId="178" fontId="86" fillId="18" borderId="7" xfId="0" applyNumberFormat="1" applyFont="1" applyFill="1" applyBorder="1" applyAlignment="1">
      <alignment horizontal="center"/>
    </xf>
    <xf numFmtId="178" fontId="86" fillId="18" borderId="29" xfId="0" applyNumberFormat="1" applyFont="1" applyFill="1" applyBorder="1" applyAlignment="1">
      <alignment horizontal="center"/>
    </xf>
    <xf numFmtId="178" fontId="86" fillId="18" borderId="8" xfId="0" applyNumberFormat="1" applyFont="1" applyFill="1" applyBorder="1" applyAlignment="1">
      <alignment horizontal="center"/>
    </xf>
    <xf numFmtId="0" fontId="100" fillId="4" borderId="1" xfId="0" applyFont="1" applyFill="1" applyBorder="1" applyAlignment="1">
      <alignment horizontal="center" vertical="center"/>
    </xf>
    <xf numFmtId="0" fontId="100" fillId="4" borderId="2" xfId="0" applyFont="1" applyFill="1" applyBorder="1" applyAlignment="1">
      <alignment horizontal="center" vertical="center"/>
    </xf>
    <xf numFmtId="0" fontId="100" fillId="4" borderId="3" xfId="0" applyFont="1" applyFill="1" applyBorder="1" applyAlignment="1">
      <alignment horizontal="center" vertical="center"/>
    </xf>
    <xf numFmtId="0" fontId="100" fillId="4" borderId="13" xfId="0" applyFont="1" applyFill="1" applyBorder="1" applyAlignment="1">
      <alignment horizontal="center" vertical="center"/>
    </xf>
    <xf numFmtId="0" fontId="100" fillId="4" borderId="51" xfId="0" applyFont="1" applyFill="1" applyBorder="1" applyAlignment="1">
      <alignment horizontal="center" vertical="center"/>
    </xf>
    <xf numFmtId="0" fontId="100" fillId="4" borderId="26" xfId="0" applyFont="1" applyFill="1" applyBorder="1" applyAlignment="1">
      <alignment horizontal="center" vertical="center"/>
    </xf>
    <xf numFmtId="0" fontId="91" fillId="8" borderId="12" xfId="0" applyFont="1" applyFill="1" applyBorder="1" applyAlignment="1">
      <alignment horizontal="center" vertical="center"/>
    </xf>
    <xf numFmtId="0" fontId="91" fillId="8" borderId="20" xfId="0" applyFont="1" applyFill="1" applyBorder="1" applyAlignment="1">
      <alignment horizontal="center" vertical="center"/>
    </xf>
    <xf numFmtId="0" fontId="91" fillId="8" borderId="21" xfId="0" applyFont="1" applyFill="1" applyBorder="1" applyAlignment="1">
      <alignment horizontal="center" vertical="center"/>
    </xf>
    <xf numFmtId="0" fontId="91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2" fillId="2" borderId="20" xfId="0" applyFont="1" applyFill="1" applyBorder="1" applyAlignment="1">
      <alignment horizontal="center"/>
    </xf>
    <xf numFmtId="0" fontId="92" fillId="2" borderId="21" xfId="0" applyFont="1" applyFill="1" applyBorder="1" applyAlignment="1">
      <alignment horizontal="center"/>
    </xf>
    <xf numFmtId="0" fontId="92" fillId="2" borderId="28" xfId="0" applyFont="1" applyFill="1" applyBorder="1" applyAlignment="1">
      <alignment horizontal="center"/>
    </xf>
    <xf numFmtId="0" fontId="91" fillId="2" borderId="59" xfId="0" applyFont="1" applyFill="1" applyBorder="1" applyAlignment="1">
      <alignment horizontal="center" vertical="top" wrapText="1"/>
    </xf>
    <xf numFmtId="0" fontId="91" fillId="2" borderId="61" xfId="0" applyFont="1" applyFill="1" applyBorder="1" applyAlignment="1">
      <alignment horizontal="center" vertical="top" wrapText="1"/>
    </xf>
    <xf numFmtId="0" fontId="91" fillId="2" borderId="62" xfId="0" applyFont="1" applyFill="1" applyBorder="1" applyAlignment="1">
      <alignment horizontal="center" vertical="top" wrapText="1"/>
    </xf>
    <xf numFmtId="0" fontId="91" fillId="2" borderId="63" xfId="0" applyFont="1" applyFill="1" applyBorder="1" applyAlignment="1">
      <alignment horizontal="center" vertical="top" wrapText="1"/>
    </xf>
    <xf numFmtId="0" fontId="91" fillId="2" borderId="64" xfId="0" applyFont="1" applyFill="1" applyBorder="1" applyAlignment="1">
      <alignment horizontal="center" vertical="top" wrapText="1"/>
    </xf>
    <xf numFmtId="0" fontId="91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1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2" fillId="2" borderId="12" xfId="0" applyFont="1" applyFill="1" applyBorder="1"/>
    <xf numFmtId="14" fontId="91" fillId="7" borderId="12" xfId="0" applyNumberFormat="1" applyFont="1" applyFill="1" applyBorder="1" applyAlignment="1">
      <alignment horizontal="center" vertical="center"/>
    </xf>
    <xf numFmtId="14" fontId="91" fillId="2" borderId="12" xfId="0" applyNumberFormat="1" applyFont="1" applyFill="1" applyBorder="1" applyAlignment="1">
      <alignment horizontal="center" vertical="center"/>
    </xf>
    <xf numFmtId="0" fontId="86" fillId="10" borderId="12" xfId="0" applyFont="1" applyFill="1" applyBorder="1" applyAlignment="1">
      <alignment horizontal="center" vertical="center"/>
    </xf>
    <xf numFmtId="14" fontId="91" fillId="7" borderId="20" xfId="0" applyNumberFormat="1" applyFont="1" applyFill="1" applyBorder="1" applyAlignment="1">
      <alignment horizontal="center" vertical="center"/>
    </xf>
    <xf numFmtId="14" fontId="91" fillId="7" borderId="21" xfId="0" applyNumberFormat="1" applyFont="1" applyFill="1" applyBorder="1" applyAlignment="1">
      <alignment horizontal="center" vertical="center"/>
    </xf>
    <xf numFmtId="0" fontId="86" fillId="10" borderId="12" xfId="0" applyFont="1" applyFill="1" applyBorder="1" applyAlignment="1">
      <alignment horizontal="center"/>
    </xf>
    <xf numFmtId="14" fontId="91" fillId="7" borderId="57" xfId="0" applyNumberFormat="1" applyFont="1" applyFill="1" applyBorder="1" applyAlignment="1">
      <alignment horizontal="center" vertical="center"/>
    </xf>
    <xf numFmtId="14" fontId="91" fillId="7" borderId="60" xfId="0" applyNumberFormat="1" applyFont="1" applyFill="1" applyBorder="1" applyAlignment="1">
      <alignment horizontal="center" vertical="center"/>
    </xf>
    <xf numFmtId="14" fontId="91" fillId="7" borderId="24" xfId="0" applyNumberFormat="1" applyFont="1" applyFill="1" applyBorder="1" applyAlignment="1">
      <alignment horizontal="center" vertical="center"/>
    </xf>
    <xf numFmtId="14" fontId="91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2" fillId="2" borderId="20" xfId="0" applyFont="1" applyFill="1" applyBorder="1" applyAlignment="1">
      <alignment horizontal="center" vertical="center"/>
    </xf>
    <xf numFmtId="0" fontId="92" fillId="2" borderId="21" xfId="0" applyFont="1" applyFill="1" applyBorder="1" applyAlignment="1">
      <alignment horizontal="center" vertical="center"/>
    </xf>
    <xf numFmtId="0" fontId="92" fillId="2" borderId="28" xfId="0" applyFont="1" applyFill="1" applyBorder="1" applyAlignment="1">
      <alignment horizontal="center" vertical="center"/>
    </xf>
    <xf numFmtId="0" fontId="93" fillId="11" borderId="7" xfId="0" applyFont="1" applyFill="1" applyBorder="1" applyAlignment="1">
      <alignment horizontal="center" vertical="center"/>
    </xf>
    <xf numFmtId="0" fontId="93" fillId="11" borderId="29" xfId="0" applyFont="1" applyFill="1" applyBorder="1" applyAlignment="1">
      <alignment horizontal="center" vertical="center"/>
    </xf>
    <xf numFmtId="0" fontId="93" fillId="11" borderId="8" xfId="0" applyFont="1" applyFill="1" applyBorder="1" applyAlignment="1">
      <alignment horizontal="center" vertical="center"/>
    </xf>
    <xf numFmtId="20" fontId="93" fillId="11" borderId="7" xfId="0" applyNumberFormat="1" applyFont="1" applyFill="1" applyBorder="1" applyAlignment="1">
      <alignment horizontal="center" vertical="center"/>
    </xf>
    <xf numFmtId="20" fontId="93" fillId="11" borderId="29" xfId="0" applyNumberFormat="1" applyFont="1" applyFill="1" applyBorder="1" applyAlignment="1">
      <alignment horizontal="center" vertical="center"/>
    </xf>
    <xf numFmtId="20" fontId="93" fillId="11" borderId="8" xfId="0" applyNumberFormat="1" applyFont="1" applyFill="1" applyBorder="1" applyAlignment="1">
      <alignment horizontal="center" vertical="center"/>
    </xf>
    <xf numFmtId="20" fontId="95" fillId="10" borderId="7" xfId="0" applyNumberFormat="1" applyFont="1" applyFill="1" applyBorder="1" applyAlignment="1">
      <alignment horizontal="center"/>
    </xf>
    <xf numFmtId="20" fontId="95" fillId="10" borderId="29" xfId="0" applyNumberFormat="1" applyFont="1" applyFill="1" applyBorder="1" applyAlignment="1">
      <alignment horizontal="center"/>
    </xf>
    <xf numFmtId="20" fontId="95" fillId="10" borderId="8" xfId="0" applyNumberFormat="1" applyFont="1" applyFill="1" applyBorder="1" applyAlignment="1">
      <alignment horizontal="center"/>
    </xf>
    <xf numFmtId="14" fontId="91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6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4" fillId="23" borderId="5" xfId="0" applyNumberFormat="1" applyFont="1" applyFill="1" applyBorder="1" applyAlignment="1">
      <alignment horizontal="center" vertical="center" wrapText="1"/>
    </xf>
    <xf numFmtId="14" fontId="85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85" fillId="23" borderId="18" xfId="0" applyNumberFormat="1" applyFont="1" applyFill="1" applyBorder="1" applyAlignment="1">
      <alignment horizontal="center" vertical="center"/>
    </xf>
    <xf numFmtId="14" fontId="85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5" fillId="23" borderId="36" xfId="0" applyNumberFormat="1" applyFont="1" applyFill="1" applyBorder="1" applyAlignment="1">
      <alignment horizontal="center" vertical="center"/>
    </xf>
    <xf numFmtId="14" fontId="85" fillId="23" borderId="37" xfId="0" applyNumberFormat="1" applyFont="1" applyFill="1" applyBorder="1" applyAlignment="1">
      <alignment horizontal="center" vertical="center"/>
    </xf>
    <xf numFmtId="14" fontId="85" fillId="0" borderId="30" xfId="0" applyNumberFormat="1" applyFont="1" applyBorder="1" applyAlignment="1">
      <alignment horizontal="center" vertical="center"/>
    </xf>
    <xf numFmtId="14" fontId="85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28" borderId="21" xfId="0" applyFill="1" applyBorder="1" applyAlignment="1">
      <alignment horizontal="center" vertical="center"/>
    </xf>
    <xf numFmtId="0" fontId="0" fillId="28" borderId="28" xfId="0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68" fillId="28" borderId="12" xfId="0" applyNumberFormat="1" applyFont="1" applyFill="1" applyBorder="1" applyAlignment="1">
      <alignment horizontal="center" vertical="center"/>
    </xf>
    <xf numFmtId="14" fontId="85" fillId="28" borderId="12" xfId="0" applyNumberFormat="1" applyFont="1" applyFill="1" applyBorder="1" applyAlignment="1">
      <alignment horizontal="center" vertical="center"/>
    </xf>
    <xf numFmtId="14" fontId="85" fillId="28" borderId="12" xfId="0" applyNumberFormat="1" applyFont="1" applyFill="1" applyBorder="1" applyAlignment="1">
      <alignment horizontal="center" vertical="center"/>
    </xf>
    <xf numFmtId="166" fontId="85" fillId="28" borderId="12" xfId="0" applyNumberFormat="1" applyFont="1" applyFill="1" applyBorder="1" applyAlignment="1">
      <alignment horizontal="center" vertical="center"/>
    </xf>
    <xf numFmtId="1" fontId="85" fillId="28" borderId="12" xfId="0" applyNumberFormat="1" applyFont="1" applyFill="1" applyBorder="1" applyAlignment="1">
      <alignment horizontal="center" vertical="center"/>
    </xf>
    <xf numFmtId="0" fontId="85" fillId="28" borderId="12" xfId="0" applyFont="1" applyFill="1" applyBorder="1" applyAlignment="1">
      <alignment horizontal="left" vertical="center"/>
    </xf>
    <xf numFmtId="0" fontId="86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0" fillId="28" borderId="12" xfId="0" applyFill="1" applyBorder="1"/>
    <xf numFmtId="0" fontId="1" fillId="28" borderId="12" xfId="0" applyFont="1" applyFill="1" applyBorder="1" applyAlignment="1">
      <alignment horizontal="center" vertical="center"/>
    </xf>
    <xf numFmtId="0" fontId="1" fillId="28" borderId="12" xfId="0" applyFont="1" applyFill="1" applyBorder="1" applyAlignment="1">
      <alignment horizontal="left" vertical="center"/>
    </xf>
    <xf numFmtId="166" fontId="1" fillId="28" borderId="12" xfId="0" applyNumberFormat="1" applyFont="1" applyFill="1" applyBorder="1" applyAlignment="1">
      <alignment horizontal="center" vertical="center"/>
    </xf>
    <xf numFmtId="0" fontId="86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14" fontId="85" fillId="28" borderId="1" xfId="0" applyNumberFormat="1" applyFont="1" applyFill="1" applyBorder="1" applyAlignment="1">
      <alignment horizontal="center" vertical="center"/>
    </xf>
    <xf numFmtId="14" fontId="85" fillId="28" borderId="4" xfId="0" applyNumberFormat="1" applyFont="1" applyFill="1" applyBorder="1" applyAlignment="1">
      <alignment horizontal="center" vertical="center"/>
    </xf>
    <xf numFmtId="14" fontId="85" fillId="28" borderId="13" xfId="0" applyNumberFormat="1" applyFont="1" applyFill="1" applyBorder="1" applyAlignment="1">
      <alignment horizontal="center" vertical="center"/>
    </xf>
    <xf numFmtId="14" fontId="85" fillId="28" borderId="14" xfId="0" applyNumberFormat="1" applyFont="1" applyFill="1" applyBorder="1" applyAlignment="1">
      <alignment horizontal="center" vertical="center"/>
    </xf>
    <xf numFmtId="14" fontId="85" fillId="29" borderId="1" xfId="0" applyNumberFormat="1" applyFont="1" applyFill="1" applyBorder="1" applyAlignment="1">
      <alignment horizontal="center" vertical="center"/>
    </xf>
    <xf numFmtId="14" fontId="85" fillId="29" borderId="4" xfId="0" applyNumberFormat="1" applyFont="1" applyFill="1" applyBorder="1" applyAlignment="1">
      <alignment horizontal="center" vertical="center"/>
    </xf>
    <xf numFmtId="0" fontId="108" fillId="22" borderId="12" xfId="0" applyFon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vertical="center"/>
    </xf>
    <xf numFmtId="0" fontId="108" fillId="23" borderId="7" xfId="0" applyFont="1" applyFill="1" applyBorder="1" applyAlignment="1">
      <alignment horizontal="center" vertical="center"/>
    </xf>
    <xf numFmtId="0" fontId="108" fillId="2" borderId="12" xfId="0" applyFon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vertical="center"/>
    </xf>
    <xf numFmtId="0" fontId="108" fillId="2" borderId="20" xfId="0" applyFont="1" applyFill="1" applyBorder="1" applyAlignment="1">
      <alignment horizontal="center" vertical="center"/>
    </xf>
    <xf numFmtId="0" fontId="108" fillId="2" borderId="28" xfId="0" applyFont="1" applyFill="1" applyBorder="1" applyAlignment="1">
      <alignment horizontal="center" vertical="center"/>
    </xf>
    <xf numFmtId="0" fontId="108" fillId="2" borderId="0" xfId="0" applyFont="1" applyFill="1" applyAlignment="1">
      <alignment horizontal="center" vertical="center"/>
    </xf>
    <xf numFmtId="0" fontId="108" fillId="22" borderId="67" xfId="0" applyFont="1" applyFill="1" applyBorder="1" applyAlignment="1">
      <alignment horizontal="center" vertical="center"/>
    </xf>
    <xf numFmtId="0" fontId="108" fillId="23" borderId="67" xfId="0" applyFont="1" applyFill="1" applyBorder="1" applyAlignment="1">
      <alignment horizontal="center" vertical="center"/>
    </xf>
    <xf numFmtId="0" fontId="108" fillId="19" borderId="67" xfId="0" applyFont="1" applyFill="1" applyBorder="1" applyAlignment="1">
      <alignment horizontal="center" vertical="center"/>
    </xf>
    <xf numFmtId="0" fontId="108" fillId="17" borderId="67" xfId="0" applyFont="1" applyFill="1" applyBorder="1" applyAlignment="1">
      <alignment horizontal="center" vertical="center"/>
    </xf>
    <xf numFmtId="0" fontId="108" fillId="17" borderId="0" xfId="0" applyFont="1" applyFill="1" applyAlignment="1">
      <alignment horizontal="center" vertical="center"/>
    </xf>
    <xf numFmtId="0" fontId="108" fillId="28" borderId="67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6890</c:v>
                </c:pt>
                <c:pt idx="1">
                  <c:v>4150</c:v>
                </c:pt>
                <c:pt idx="2">
                  <c:v>5000</c:v>
                </c:pt>
                <c:pt idx="3">
                  <c:v>400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1.5872099881505555</c:v>
                </c:pt>
                <c:pt idx="1">
                  <c:v>0.95601182160011688</c:v>
                </c:pt>
                <c:pt idx="2">
                  <c:v>1.1518214718073696</c:v>
                </c:pt>
                <c:pt idx="3">
                  <c:v>9.2145717744589573E-2</c:v>
                </c:pt>
                <c:pt idx="4">
                  <c:v>5.1831966231331635E-2</c:v>
                </c:pt>
                <c:pt idx="5">
                  <c:v>4.837650181590953E-2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17" t="s">
        <v>337</v>
      </c>
      <c r="D3" s="1217"/>
      <c r="E3" s="1217"/>
      <c r="F3" s="1217"/>
      <c r="G3" s="1217"/>
      <c r="H3" s="1217"/>
      <c r="L3" s="1217" t="s">
        <v>337</v>
      </c>
      <c r="M3" s="1217"/>
      <c r="N3" s="1217"/>
      <c r="O3" s="1217"/>
      <c r="P3" s="1217"/>
      <c r="Q3" s="1217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26" t="s">
        <v>124</v>
      </c>
      <c r="I1" s="1226"/>
      <c r="J1" s="1226"/>
      <c r="K1" s="1226"/>
      <c r="L1" s="1226"/>
      <c r="M1" s="1226"/>
      <c r="N1" s="1226"/>
      <c r="O1" s="1226"/>
      <c r="P1" s="1226"/>
      <c r="Q1" s="1226"/>
      <c r="R1" s="1226"/>
      <c r="S1" s="1226"/>
      <c r="T1" s="1226"/>
      <c r="U1" s="1226"/>
      <c r="V1" s="1226"/>
      <c r="W1" s="1226"/>
      <c r="X1" s="1226"/>
      <c r="Y1" s="1226"/>
      <c r="Z1" s="1226"/>
      <c r="AA1" s="1226"/>
      <c r="AB1" s="1226"/>
      <c r="AC1" s="1226"/>
      <c r="AD1" s="1226"/>
      <c r="AE1" s="1226"/>
      <c r="AF1" s="1226"/>
      <c r="AG1" s="1226"/>
      <c r="AH1" s="1226"/>
      <c r="AI1" s="1226"/>
      <c r="AJ1" s="1226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27" t="s">
        <v>125</v>
      </c>
      <c r="I2" s="1227"/>
      <c r="J2" s="1227"/>
      <c r="K2" s="1227"/>
      <c r="L2" s="1227"/>
      <c r="M2" s="1227"/>
      <c r="N2" s="1227"/>
      <c r="O2" s="1227"/>
      <c r="P2" s="1227"/>
      <c r="Q2" s="1227"/>
      <c r="R2" s="1227"/>
      <c r="S2" s="1227"/>
      <c r="T2" s="1227"/>
      <c r="U2" s="1227"/>
      <c r="V2" s="1227"/>
      <c r="W2" s="1227"/>
      <c r="X2" s="1227"/>
      <c r="Y2" s="1227"/>
      <c r="Z2" s="1227"/>
      <c r="AA2" s="1227"/>
      <c r="AB2" s="1227"/>
      <c r="AC2" s="1227"/>
      <c r="AD2" s="1227"/>
      <c r="AE2" s="1227"/>
      <c r="AF2" s="1227"/>
      <c r="AG2" s="1227"/>
      <c r="AH2" s="1227"/>
      <c r="AI2" s="1227"/>
      <c r="AJ2" s="1227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32" t="s">
        <v>72</v>
      </c>
      <c r="C5" s="1234" t="s">
        <v>73</v>
      </c>
      <c r="D5" s="1224"/>
      <c r="E5" s="1224"/>
      <c r="F5" s="1224"/>
      <c r="G5" s="1224"/>
      <c r="H5" s="1225"/>
      <c r="I5" s="1235" t="s">
        <v>431</v>
      </c>
      <c r="J5" s="1235" t="s">
        <v>320</v>
      </c>
      <c r="K5" s="1223" t="s">
        <v>74</v>
      </c>
      <c r="L5" s="1224"/>
      <c r="M5" s="1224"/>
      <c r="N5" s="1232" t="s">
        <v>75</v>
      </c>
      <c r="O5" s="1228" t="s">
        <v>177</v>
      </c>
      <c r="P5" s="1228"/>
      <c r="Q5" s="1228"/>
      <c r="R5" s="1228"/>
      <c r="S5" s="1228"/>
      <c r="T5" s="1228"/>
      <c r="U5" s="1228"/>
      <c r="V5" s="1228"/>
      <c r="W5" s="1228"/>
      <c r="X5" s="1228"/>
      <c r="Y5" s="1229"/>
      <c r="Z5" s="1223" t="s">
        <v>76</v>
      </c>
      <c r="AA5" s="1230"/>
      <c r="AB5" s="1230"/>
      <c r="AC5" s="1230"/>
      <c r="AD5" s="1230"/>
      <c r="AE5" s="1230"/>
      <c r="AF5" s="1230"/>
      <c r="AG5" s="1231"/>
      <c r="AH5" s="1223" t="s">
        <v>77</v>
      </c>
      <c r="AI5" s="1225"/>
      <c r="AJ5" s="1223" t="s">
        <v>78</v>
      </c>
      <c r="AK5" s="1224"/>
      <c r="AL5" s="1224"/>
      <c r="AM5" s="1224"/>
      <c r="AN5" s="1224"/>
      <c r="AO5" s="1225"/>
      <c r="AP5" s="1223" t="s">
        <v>79</v>
      </c>
      <c r="AQ5" s="1225"/>
      <c r="AR5" s="74"/>
      <c r="AS5" s="84" t="s">
        <v>80</v>
      </c>
    </row>
    <row r="6" spans="1:45" ht="29.4" thickBot="1" x14ac:dyDescent="0.35">
      <c r="A6" s="83"/>
      <c r="B6" s="1233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33"/>
      <c r="J6" s="1237"/>
      <c r="K6" s="85" t="s">
        <v>86</v>
      </c>
      <c r="L6" s="85" t="s">
        <v>87</v>
      </c>
      <c r="M6" s="85" t="s">
        <v>126</v>
      </c>
      <c r="N6" s="1236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0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4225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200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145.68965517241378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6.8965517241379306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22" t="s">
        <v>204</v>
      </c>
      <c r="X60" s="1222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22" t="s">
        <v>206</v>
      </c>
      <c r="X66" s="1222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2"/>
  <sheetViews>
    <sheetView zoomScale="87" zoomScaleNormal="100" workbookViewId="0">
      <pane xSplit="1" ySplit="5" topLeftCell="B35" activePane="bottomRight" state="frozen"/>
      <selection pane="topRight" activeCell="B1" sqref="B1"/>
      <selection pane="bottomLeft" activeCell="A2" sqref="A2"/>
      <selection pane="bottomRight" activeCell="E67" sqref="E67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243" t="s">
        <v>279</v>
      </c>
      <c r="C1" s="1243"/>
      <c r="D1" s="1243"/>
      <c r="E1" s="1243"/>
      <c r="F1" s="1243"/>
      <c r="G1" s="1243"/>
      <c r="H1" s="1243"/>
      <c r="I1" s="1243"/>
      <c r="J1" s="1243"/>
      <c r="K1" s="1243"/>
      <c r="L1" s="1243"/>
      <c r="M1" s="1243"/>
      <c r="N1" s="1243"/>
      <c r="O1" s="1243"/>
      <c r="P1" s="1243"/>
      <c r="Q1" s="1243"/>
      <c r="R1" s="1243"/>
      <c r="S1" s="1243"/>
    </row>
    <row r="2" spans="1:42" ht="18" x14ac:dyDescent="0.35">
      <c r="B2" s="1243" t="s">
        <v>280</v>
      </c>
      <c r="C2" s="1243"/>
      <c r="D2" s="1243"/>
      <c r="E2" s="1243"/>
      <c r="F2" s="1243"/>
      <c r="G2" s="1243"/>
      <c r="H2" s="1243"/>
      <c r="I2" s="1243"/>
      <c r="J2" s="1243"/>
      <c r="K2" s="1243"/>
      <c r="L2" s="1243"/>
      <c r="M2" s="1243"/>
      <c r="N2" s="1243"/>
      <c r="O2" s="1243"/>
      <c r="P2" s="1243"/>
      <c r="Q2" s="1243"/>
      <c r="R2" s="1243"/>
      <c r="S2" s="1243"/>
    </row>
    <row r="3" spans="1:42" ht="18" x14ac:dyDescent="0.35">
      <c r="B3" s="1243" t="s">
        <v>281</v>
      </c>
      <c r="C3" s="1243"/>
      <c r="D3" s="1243"/>
      <c r="E3" s="1243"/>
      <c r="F3" s="1243"/>
      <c r="G3" s="1243"/>
      <c r="H3" s="1243"/>
      <c r="I3" s="1243"/>
      <c r="J3" s="1243"/>
      <c r="K3" s="1243"/>
      <c r="L3" s="1243"/>
      <c r="M3" s="1243"/>
      <c r="N3" s="1243"/>
      <c r="O3" s="1243"/>
      <c r="P3" s="1243"/>
      <c r="Q3" s="1243"/>
      <c r="R3" s="1243"/>
      <c r="S3" s="1243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44"/>
      <c r="C5" s="1245"/>
      <c r="D5" s="1244" t="s">
        <v>24</v>
      </c>
      <c r="E5" s="1246"/>
      <c r="F5" s="1245"/>
      <c r="G5" s="1244" t="s">
        <v>25</v>
      </c>
      <c r="H5" s="1246"/>
      <c r="I5" s="1245"/>
      <c r="J5" s="1244" t="s">
        <v>319</v>
      </c>
      <c r="K5" s="1245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247" t="s">
        <v>162</v>
      </c>
      <c r="Y6" s="1247"/>
      <c r="Z6" s="1247"/>
      <c r="AA6" s="1247"/>
      <c r="AB6" s="1247"/>
      <c r="AC6" s="1247"/>
      <c r="AD6" s="1248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6890</v>
      </c>
      <c r="Y8" s="120">
        <f t="shared" ref="Y8:Z8" si="8">P72</f>
        <v>4150</v>
      </c>
      <c r="Z8" s="120">
        <f t="shared" si="8"/>
        <v>5000</v>
      </c>
      <c r="AA8" s="120">
        <f>T72</f>
        <v>400</v>
      </c>
      <c r="AB8" s="121">
        <f>R72</f>
        <v>225</v>
      </c>
      <c r="AC8" s="1193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249" t="s">
        <v>333</v>
      </c>
      <c r="Y10" s="1250"/>
      <c r="Z10" s="1250"/>
      <c r="AA10" s="1250"/>
      <c r="AB10" s="1250"/>
      <c r="AC10" s="1250"/>
      <c r="AD10" s="1251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1.5872099881505555</v>
      </c>
      <c r="Y11" s="123">
        <f>Y8/'Au Cal Leaching Tank'!$N$61</f>
        <v>0.95601182160011688</v>
      </c>
      <c r="Z11" s="123">
        <f>Z8/'Au Cal Leaching Tank'!$N$61</f>
        <v>1.1518214718073696</v>
      </c>
      <c r="AA11" s="123">
        <f>AA8/'Au Cal Leaching Tank'!$N$61</f>
        <v>9.2145717744589573E-2</v>
      </c>
      <c r="AB11" s="123">
        <f>AB8/'Au Cal Leaching Tank'!$N$61</f>
        <v>5.1831966231331635E-2</v>
      </c>
      <c r="AC11" s="123">
        <f>(AC8*30)/'Au Cal Leaching Tank'!$N$61</f>
        <v>4.837650181590953E-2</v>
      </c>
      <c r="AD11" s="1194">
        <f>AD8/'Au Cal Leaching Tank'!$N$61</f>
        <v>1.4973679133495807E-2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218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217" t="s">
        <v>578</v>
      </c>
      <c r="Y20" s="1217"/>
      <c r="Z20" s="1217"/>
      <c r="AA20" s="1217"/>
      <c r="AB20" s="1217"/>
      <c r="AC20" s="1217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238" t="s">
        <v>577</v>
      </c>
      <c r="Y24" s="1238"/>
      <c r="Z24" s="1238"/>
      <c r="AA24" s="1238"/>
      <c r="AB24" s="1238"/>
      <c r="AC24" s="1238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468520000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12000000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239" t="s">
        <v>577</v>
      </c>
      <c r="Y27" s="1240"/>
      <c r="Z27" s="1241">
        <f>SUM(X26:AC26)</f>
        <v>719515000</v>
      </c>
      <c r="AA27" s="1240"/>
      <c r="AB27" s="1240"/>
      <c r="AC27" s="1242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0.65116085140685043</v>
      </c>
      <c r="Y28" s="684">
        <f t="shared" ref="Y28:AC28" si="10">Y26/$Z$27</f>
        <v>1.3265880488940467E-2</v>
      </c>
      <c r="Z28" s="684">
        <f t="shared" si="10"/>
        <v>0.30576151991271899</v>
      </c>
      <c r="AA28" s="684">
        <f t="shared" si="10"/>
        <v>1.6677901086148309E-2</v>
      </c>
      <c r="AB28" s="684">
        <f t="shared" si="10"/>
        <v>8.7558980702278615E-3</v>
      </c>
      <c r="AC28" s="685">
        <f t="shared" si="10"/>
        <v>4.3779490351139308E-3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0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0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0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0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0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0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0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>
        <v>1125</v>
      </c>
      <c r="F65" s="6">
        <v>1000</v>
      </c>
      <c r="G65" s="6"/>
      <c r="H65" s="5"/>
      <c r="I65" s="6"/>
      <c r="J65" s="6"/>
      <c r="K65" s="6"/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/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/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/>
      <c r="E69" s="13"/>
      <c r="F69" s="6"/>
      <c r="G69" s="6"/>
      <c r="H69" s="5"/>
      <c r="I69" s="6"/>
      <c r="J69" s="6"/>
      <c r="K69" s="6"/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/>
      <c r="C70" s="16"/>
      <c r="D70" s="13"/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19">
        <v>46308</v>
      </c>
      <c r="B71" s="16"/>
      <c r="C71" s="16"/>
      <c r="D71" s="13"/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19"/>
      <c r="B72" s="16"/>
      <c r="C72" s="16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6825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400</v>
      </c>
      <c r="U72" s="21">
        <f t="shared" si="19"/>
        <v>65</v>
      </c>
      <c r="V72" s="21">
        <f t="shared" si="19"/>
        <v>7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2"/>
  <sheetViews>
    <sheetView view="pageBreakPreview" zoomScale="55" zoomScaleNormal="44" zoomScaleSheetLayoutView="74" workbookViewId="0">
      <pane ySplit="5" topLeftCell="A101" activePane="bottomLeft" state="frozen"/>
      <selection pane="bottomLeft" activeCell="B102" sqref="B102:N11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82" t="s">
        <v>665</v>
      </c>
      <c r="C4" s="1283"/>
      <c r="D4" s="1283"/>
      <c r="E4" s="1283"/>
      <c r="F4" s="1283"/>
      <c r="G4" s="1283"/>
      <c r="H4" s="1283"/>
      <c r="I4" s="1283"/>
      <c r="J4" s="1283"/>
      <c r="K4" s="1283"/>
      <c r="L4" s="1283"/>
      <c r="M4" s="1283"/>
      <c r="N4" s="1283"/>
      <c r="O4" s="1284"/>
    </row>
    <row r="5" spans="2:27" ht="75.599999999999994" customHeight="1" thickBot="1" x14ac:dyDescent="0.35">
      <c r="B5" s="1278" t="s">
        <v>0</v>
      </c>
      <c r="C5" s="1279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244" t="s">
        <v>11</v>
      </c>
      <c r="T5" s="1245"/>
      <c r="W5" s="1217" t="s">
        <v>18</v>
      </c>
      <c r="X5" s="1217"/>
      <c r="Y5" s="1217"/>
      <c r="Z5" s="1217"/>
      <c r="AA5" s="1217"/>
    </row>
    <row r="6" spans="2:27" ht="13.95" customHeight="1" thickBot="1" x14ac:dyDescent="0.4">
      <c r="B6" s="1253">
        <v>46174</v>
      </c>
      <c r="C6" s="1254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268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255"/>
      <c r="C7" s="1256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269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272">
        <v>46175</v>
      </c>
      <c r="C8" s="1273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276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274"/>
      <c r="C9" s="1275"/>
      <c r="D9" s="347" t="s">
        <v>13</v>
      </c>
      <c r="E9" s="348"/>
      <c r="F9" s="349"/>
      <c r="G9" s="384"/>
      <c r="H9" s="350"/>
      <c r="I9" s="351" t="str">
        <f t="shared" ref="I9:I12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277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253">
        <v>46176</v>
      </c>
      <c r="C10" s="1254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257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255"/>
      <c r="C11" s="1256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25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272">
        <v>46177</v>
      </c>
      <c r="C12" s="1273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276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274"/>
      <c r="C13" s="1275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277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53">
        <v>46252</v>
      </c>
      <c r="C14" s="1254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257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55"/>
      <c r="C15" s="1256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258"/>
      <c r="O15" s="284"/>
    </row>
    <row r="16" spans="2:27" ht="18.600000000000001" thickBot="1" x14ac:dyDescent="0.4">
      <c r="B16" s="1272">
        <v>46253</v>
      </c>
      <c r="C16" s="1273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276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274"/>
      <c r="C17" s="1275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277"/>
      <c r="O17" s="346" t="s">
        <v>386</v>
      </c>
    </row>
    <row r="18" spans="2:23" ht="18.600000000000001" thickBot="1" x14ac:dyDescent="0.4">
      <c r="B18" s="1253">
        <v>46254</v>
      </c>
      <c r="C18" s="1254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257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255"/>
      <c r="C19" s="1256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285"/>
      <c r="O19" s="284" t="s">
        <v>408</v>
      </c>
      <c r="T19" s="109"/>
    </row>
    <row r="20" spans="2:23" ht="18.600000000000001" thickBot="1" x14ac:dyDescent="0.4">
      <c r="B20" s="1253">
        <v>46255</v>
      </c>
      <c r="C20" s="1254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257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255"/>
      <c r="C21" s="1256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285"/>
      <c r="O21" s="284"/>
      <c r="S21" s="2"/>
      <c r="T21" s="110"/>
    </row>
    <row r="22" spans="2:23" ht="18.600000000000001" thickBot="1" x14ac:dyDescent="0.4">
      <c r="B22" s="1253">
        <v>46256</v>
      </c>
      <c r="C22" s="1254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257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255"/>
      <c r="C23" s="1256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258"/>
      <c r="O23" s="284"/>
      <c r="P23" s="8"/>
      <c r="T23" s="109"/>
    </row>
    <row r="24" spans="2:23" ht="18.600000000000001" thickBot="1" x14ac:dyDescent="0.4">
      <c r="B24" s="1253">
        <v>46257</v>
      </c>
      <c r="C24" s="1254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257">
        <f>SUM(L24:L25)</f>
        <v>0</v>
      </c>
      <c r="O24" s="284"/>
    </row>
    <row r="25" spans="2:23" ht="18.600000000000001" thickBot="1" x14ac:dyDescent="0.4">
      <c r="B25" s="1255"/>
      <c r="C25" s="1256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258"/>
      <c r="O25" s="284"/>
      <c r="T25" s="3"/>
    </row>
    <row r="26" spans="2:23" ht="18.600000000000001" thickBot="1" x14ac:dyDescent="0.4">
      <c r="B26" s="1253">
        <v>46258</v>
      </c>
      <c r="C26" s="1254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257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255"/>
      <c r="C27" s="1256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258"/>
      <c r="O27" s="284"/>
    </row>
    <row r="28" spans="2:23" ht="18.600000000000001" thickBot="1" x14ac:dyDescent="0.4">
      <c r="B28" s="1253">
        <v>46259</v>
      </c>
      <c r="C28" s="1254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257">
        <f>SUM(L28:L29)</f>
        <v>0</v>
      </c>
      <c r="O28" s="284"/>
    </row>
    <row r="29" spans="2:23" ht="18.600000000000001" thickBot="1" x14ac:dyDescent="0.4">
      <c r="B29" s="1255"/>
      <c r="C29" s="1256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258"/>
      <c r="O29" s="284"/>
      <c r="P29" s="8"/>
    </row>
    <row r="30" spans="2:23" ht="18.600000000000001" thickBot="1" x14ac:dyDescent="0.4">
      <c r="B30" s="1253">
        <v>46260</v>
      </c>
      <c r="C30" s="1254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257">
        <f t="shared" ref="N30" si="13">SUM(L30:L31)</f>
        <v>0</v>
      </c>
      <c r="O30" s="284"/>
    </row>
    <row r="31" spans="2:23" ht="18.600000000000001" thickBot="1" x14ac:dyDescent="0.4">
      <c r="B31" s="1255"/>
      <c r="C31" s="1256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258"/>
      <c r="O31" s="284"/>
    </row>
    <row r="32" spans="2:23" ht="54.6" thickBot="1" x14ac:dyDescent="0.4">
      <c r="B32" s="1253">
        <v>46261</v>
      </c>
      <c r="C32" s="1254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268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255"/>
      <c r="C33" s="1256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269"/>
      <c r="O33" s="284"/>
    </row>
    <row r="34" spans="2:24" ht="18.600000000000001" thickBot="1" x14ac:dyDescent="0.4">
      <c r="B34" s="1253">
        <v>46262</v>
      </c>
      <c r="C34" s="1254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268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255"/>
      <c r="C35" s="1256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269"/>
      <c r="O35" s="284"/>
    </row>
    <row r="36" spans="2:24" ht="18.600000000000001" thickBot="1" x14ac:dyDescent="0.35">
      <c r="B36" s="1253">
        <v>46263</v>
      </c>
      <c r="C36" s="1254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268">
        <f>SUM(L36:L37)</f>
        <v>240.43500000000003</v>
      </c>
      <c r="O36" s="1280" t="str">
        <f>'Crushing Down Time Hours'!G17</f>
        <v>istirahat jam 12-13, 14:00-15:00 ada loading material dari mining</v>
      </c>
    </row>
    <row r="37" spans="2:24" ht="18.600000000000001" thickBot="1" x14ac:dyDescent="0.35">
      <c r="B37" s="1255"/>
      <c r="C37" s="1256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269"/>
      <c r="O37" s="1281"/>
    </row>
    <row r="38" spans="2:24" ht="18.600000000000001" thickBot="1" x14ac:dyDescent="0.4">
      <c r="B38" s="1253">
        <v>46264</v>
      </c>
      <c r="C38" s="1254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268">
        <f t="shared" ref="N38" si="15">SUM(L38:L39)</f>
        <v>53.820000000000007</v>
      </c>
      <c r="O38" s="284"/>
      <c r="Q38" s="4"/>
    </row>
    <row r="39" spans="2:24" ht="18.600000000000001" thickBot="1" x14ac:dyDescent="0.4">
      <c r="B39" s="1255"/>
      <c r="C39" s="1256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269"/>
      <c r="O39" s="284"/>
    </row>
    <row r="40" spans="2:24" ht="18.600000000000001" thickBot="1" x14ac:dyDescent="0.4">
      <c r="B40" s="1253">
        <v>46265</v>
      </c>
      <c r="C40" s="1254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257">
        <f>SUM(L40:L41)</f>
        <v>0</v>
      </c>
      <c r="O40" s="284"/>
    </row>
    <row r="41" spans="2:24" ht="18.600000000000001" thickBot="1" x14ac:dyDescent="0.4">
      <c r="B41" s="1255"/>
      <c r="C41" s="1256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258"/>
      <c r="O41" s="284"/>
    </row>
    <row r="42" spans="2:24" ht="18.600000000000001" thickBot="1" x14ac:dyDescent="0.4">
      <c r="B42" s="1253">
        <v>46266</v>
      </c>
      <c r="C42" s="1254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257">
        <f t="shared" ref="N42" si="16">SUM(L42:L43)</f>
        <v>0</v>
      </c>
      <c r="O42" s="284"/>
    </row>
    <row r="43" spans="2:24" ht="18.600000000000001" thickBot="1" x14ac:dyDescent="0.4">
      <c r="B43" s="1255"/>
      <c r="C43" s="1256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258"/>
      <c r="O43" s="284"/>
    </row>
    <row r="44" spans="2:24" ht="18.600000000000001" thickBot="1" x14ac:dyDescent="0.4">
      <c r="B44" s="1253">
        <v>46267</v>
      </c>
      <c r="C44" s="1254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257">
        <f t="shared" ref="N44" si="17">SUM(L44:L45)</f>
        <v>0</v>
      </c>
      <c r="O44" s="284"/>
    </row>
    <row r="45" spans="2:24" ht="18.600000000000001" thickBot="1" x14ac:dyDescent="0.4">
      <c r="B45" s="1255"/>
      <c r="C45" s="1256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258"/>
      <c r="O45" s="284"/>
    </row>
    <row r="46" spans="2:24" ht="18.600000000000001" thickBot="1" x14ac:dyDescent="0.4">
      <c r="B46" s="1253">
        <v>46268</v>
      </c>
      <c r="C46" s="1254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257">
        <f t="shared" ref="N46:N58" si="18">SUM(L46:L47)</f>
        <v>0</v>
      </c>
      <c r="O46" s="284"/>
    </row>
    <row r="47" spans="2:24" ht="18.600000000000001" thickBot="1" x14ac:dyDescent="0.4">
      <c r="B47" s="1255"/>
      <c r="C47" s="1256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258"/>
      <c r="O47" s="284"/>
    </row>
    <row r="48" spans="2:24" ht="18.600000000000001" thickBot="1" x14ac:dyDescent="0.4">
      <c r="B48" s="1253">
        <v>46269</v>
      </c>
      <c r="C48" s="1254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257">
        <f t="shared" si="18"/>
        <v>0</v>
      </c>
      <c r="O48" s="284"/>
    </row>
    <row r="49" spans="2:22" ht="18.600000000000001" thickBot="1" x14ac:dyDescent="0.4">
      <c r="B49" s="1255"/>
      <c r="C49" s="1256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258"/>
      <c r="O49" s="284"/>
    </row>
    <row r="50" spans="2:22" ht="18.600000000000001" thickBot="1" x14ac:dyDescent="0.4">
      <c r="B50" s="1253">
        <v>46270</v>
      </c>
      <c r="C50" s="1254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257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255"/>
      <c r="C51" s="1256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258"/>
      <c r="O51" s="284"/>
      <c r="P51" s="4"/>
    </row>
    <row r="52" spans="2:22" ht="18.600000000000001" thickBot="1" x14ac:dyDescent="0.4">
      <c r="B52" s="1253">
        <v>46271</v>
      </c>
      <c r="C52" s="1254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257">
        <f t="shared" si="18"/>
        <v>0</v>
      </c>
      <c r="O52" s="284"/>
    </row>
    <row r="53" spans="2:22" ht="18.600000000000001" thickBot="1" x14ac:dyDescent="0.4">
      <c r="B53" s="1255"/>
      <c r="C53" s="1256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258"/>
      <c r="O53" s="284"/>
      <c r="R53" s="1">
        <f>R50*4</f>
        <v>60</v>
      </c>
    </row>
    <row r="54" spans="2:22" ht="18.600000000000001" thickBot="1" x14ac:dyDescent="0.4">
      <c r="B54" s="1253">
        <v>46272</v>
      </c>
      <c r="C54" s="1254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257">
        <f t="shared" si="18"/>
        <v>0</v>
      </c>
      <c r="O54" s="284"/>
    </row>
    <row r="55" spans="2:22" ht="18.600000000000001" thickBot="1" x14ac:dyDescent="0.4">
      <c r="B55" s="1255"/>
      <c r="C55" s="1256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258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253">
        <v>46273</v>
      </c>
      <c r="C56" s="1254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257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255"/>
      <c r="C57" s="1256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258"/>
      <c r="O57" s="284"/>
      <c r="Q57" s="4"/>
      <c r="R57" s="4"/>
      <c r="S57" s="1">
        <v>1190</v>
      </c>
    </row>
    <row r="58" spans="2:22" ht="18.600000000000001" thickBot="1" x14ac:dyDescent="0.4">
      <c r="B58" s="1253">
        <v>46274</v>
      </c>
      <c r="C58" s="1254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257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255"/>
      <c r="C59" s="1256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258"/>
      <c r="O59" s="284"/>
      <c r="P59" s="4"/>
      <c r="S59" s="2">
        <f>(S55-S58)/S55</f>
        <v>0.10083594566353186</v>
      </c>
    </row>
    <row r="60" spans="2:22" ht="18.600000000000001" thickBot="1" x14ac:dyDescent="0.4">
      <c r="B60" s="1253">
        <v>46275</v>
      </c>
      <c r="C60" s="1254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270">
        <f>SUM(L60:L61)</f>
        <v>73.125</v>
      </c>
      <c r="O60" s="284"/>
      <c r="P60" s="8"/>
    </row>
    <row r="61" spans="2:22" ht="18.600000000000001" thickBot="1" x14ac:dyDescent="0.4">
      <c r="B61" s="1255"/>
      <c r="C61" s="1256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271"/>
      <c r="O61" s="284"/>
      <c r="P61" s="8"/>
    </row>
    <row r="62" spans="2:22" ht="18.600000000000001" thickBot="1" x14ac:dyDescent="0.4">
      <c r="B62" s="1253">
        <v>46276</v>
      </c>
      <c r="C62" s="1254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270">
        <f>SUM(L62:L63)</f>
        <v>0</v>
      </c>
      <c r="O62" s="284"/>
      <c r="P62" s="8"/>
    </row>
    <row r="63" spans="2:22" ht="18.600000000000001" thickBot="1" x14ac:dyDescent="0.4">
      <c r="B63" s="1255"/>
      <c r="C63" s="1256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271"/>
      <c r="O63" s="284"/>
      <c r="P63" s="8"/>
    </row>
    <row r="64" spans="2:22" ht="18.600000000000001" thickBot="1" x14ac:dyDescent="0.4">
      <c r="B64" s="1253">
        <v>46277</v>
      </c>
      <c r="C64" s="1254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270">
        <f>SUM(L64:L65)</f>
        <v>328.77</v>
      </c>
      <c r="O64" s="284"/>
      <c r="P64" s="8"/>
    </row>
    <row r="65" spans="2:16" ht="18.600000000000001" thickBot="1" x14ac:dyDescent="0.4">
      <c r="B65" s="1255"/>
      <c r="C65" s="1256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271"/>
      <c r="O65" s="284"/>
      <c r="P65" s="8"/>
    </row>
    <row r="66" spans="2:16" ht="18.600000000000001" thickBot="1" x14ac:dyDescent="0.4">
      <c r="B66" s="1253">
        <v>46278</v>
      </c>
      <c r="C66" s="1254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270">
        <f>SUM(L66:L67)</f>
        <v>262.66500000000002</v>
      </c>
      <c r="O66" s="284"/>
      <c r="P66" s="8"/>
    </row>
    <row r="67" spans="2:16" ht="18.600000000000001" thickBot="1" x14ac:dyDescent="0.4">
      <c r="B67" s="1255"/>
      <c r="C67" s="1256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271"/>
      <c r="O67" s="284"/>
      <c r="P67" s="8"/>
    </row>
    <row r="68" spans="2:16" ht="18.600000000000001" thickBot="1" x14ac:dyDescent="0.4">
      <c r="B68" s="1253">
        <v>46279</v>
      </c>
      <c r="C68" s="1254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264">
        <f t="shared" ref="N68" si="31">SUM(L68:L69)</f>
        <v>0</v>
      </c>
      <c r="O68" s="284"/>
      <c r="P68" s="8"/>
    </row>
    <row r="69" spans="2:16" ht="18.600000000000001" thickBot="1" x14ac:dyDescent="0.4">
      <c r="B69" s="1255"/>
      <c r="C69" s="1256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266"/>
      <c r="O69" s="284"/>
      <c r="P69" s="8"/>
    </row>
    <row r="70" spans="2:16" ht="18.600000000000001" thickBot="1" x14ac:dyDescent="0.4">
      <c r="B70" s="1253">
        <v>46280</v>
      </c>
      <c r="C70" s="1254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264">
        <f t="shared" ref="N70" si="32">SUM(L70:L71)</f>
        <v>0</v>
      </c>
      <c r="O70" s="284"/>
      <c r="P70" s="8"/>
    </row>
    <row r="71" spans="2:16" ht="18.600000000000001" thickBot="1" x14ac:dyDescent="0.4">
      <c r="B71" s="1255"/>
      <c r="C71" s="1256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266"/>
      <c r="O71" s="284"/>
      <c r="P71" s="8"/>
    </row>
    <row r="72" spans="2:16" ht="18.600000000000001" thickBot="1" x14ac:dyDescent="0.4">
      <c r="B72" s="1253">
        <v>46281</v>
      </c>
      <c r="C72" s="1254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264">
        <f t="shared" ref="N72" si="33">SUM(L72:L73)</f>
        <v>0</v>
      </c>
      <c r="O72" s="284"/>
      <c r="P72" s="8"/>
    </row>
    <row r="73" spans="2:16" ht="18.600000000000001" thickBot="1" x14ac:dyDescent="0.4">
      <c r="B73" s="1255"/>
      <c r="C73" s="1256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266"/>
      <c r="O73" s="284"/>
      <c r="P73" s="8"/>
    </row>
    <row r="74" spans="2:16" ht="18.600000000000001" thickBot="1" x14ac:dyDescent="0.4">
      <c r="B74" s="1253">
        <v>46282</v>
      </c>
      <c r="C74" s="1254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264">
        <f t="shared" ref="N74" si="34">SUM(L74:L75)</f>
        <v>0</v>
      </c>
      <c r="O74" s="284"/>
      <c r="P74" s="8"/>
    </row>
    <row r="75" spans="2:16" ht="18.600000000000001" thickBot="1" x14ac:dyDescent="0.4">
      <c r="B75" s="1255"/>
      <c r="C75" s="1256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266"/>
      <c r="O75" s="284"/>
      <c r="P75" s="8"/>
    </row>
    <row r="76" spans="2:16" ht="18.600000000000001" thickBot="1" x14ac:dyDescent="0.4">
      <c r="B76" s="1253">
        <v>46283</v>
      </c>
      <c r="C76" s="1254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264">
        <f>SUM(L76:L77)</f>
        <v>201.24</v>
      </c>
      <c r="O76" s="284" t="s">
        <v>639</v>
      </c>
      <c r="P76" s="8"/>
    </row>
    <row r="77" spans="2:16" ht="18.600000000000001" thickBot="1" x14ac:dyDescent="0.4">
      <c r="B77" s="1255"/>
      <c r="C77" s="1256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266"/>
      <c r="O77" s="284" t="s">
        <v>640</v>
      </c>
      <c r="P77" s="8"/>
    </row>
    <row r="78" spans="2:16" ht="18" x14ac:dyDescent="0.35">
      <c r="B78" s="1253">
        <v>46284</v>
      </c>
      <c r="C78" s="1254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270">
        <f>SUM(L78:L80)</f>
        <v>324.20960000000002</v>
      </c>
      <c r="O78" s="284" t="s">
        <v>639</v>
      </c>
      <c r="P78" s="8"/>
    </row>
    <row r="79" spans="2:16" ht="18" x14ac:dyDescent="0.35">
      <c r="B79" s="1262"/>
      <c r="C79" s="1263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270"/>
      <c r="O79" s="284"/>
      <c r="P79" s="8"/>
    </row>
    <row r="80" spans="2:16" ht="18.600000000000001" thickBot="1" x14ac:dyDescent="0.4">
      <c r="B80" s="1255"/>
      <c r="C80" s="1256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271"/>
      <c r="O80" s="284"/>
      <c r="P80" s="8"/>
    </row>
    <row r="81" spans="2:16" ht="18.600000000000001" thickBot="1" x14ac:dyDescent="0.4">
      <c r="B81" s="1253">
        <v>46285</v>
      </c>
      <c r="C81" s="1254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270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262"/>
      <c r="C82" s="1263"/>
      <c r="D82" s="1014" t="s">
        <v>12</v>
      </c>
      <c r="E82" s="286" t="s">
        <v>169</v>
      </c>
      <c r="F82" s="287">
        <v>20</v>
      </c>
      <c r="G82" s="1017" t="s">
        <v>428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270"/>
      <c r="O82" s="284"/>
      <c r="P82" s="8"/>
    </row>
    <row r="83" spans="2:16" ht="18.600000000000001" thickBot="1" x14ac:dyDescent="0.4">
      <c r="B83" s="1255"/>
      <c r="C83" s="1256"/>
      <c r="D83" s="1014" t="s">
        <v>13</v>
      </c>
      <c r="E83" s="297" t="s">
        <v>553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271"/>
      <c r="O83" s="284"/>
      <c r="P83" s="8"/>
    </row>
    <row r="84" spans="2:16" ht="18.600000000000001" thickBot="1" x14ac:dyDescent="0.4">
      <c r="B84" s="1253">
        <v>46286</v>
      </c>
      <c r="C84" s="1254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264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255"/>
      <c r="C85" s="1256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266"/>
      <c r="O85" s="284"/>
      <c r="P85" s="8"/>
    </row>
    <row r="86" spans="2:16" ht="18.600000000000001" thickBot="1" x14ac:dyDescent="0.4">
      <c r="B86" s="1253">
        <v>46287</v>
      </c>
      <c r="C86" s="1254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264">
        <f t="shared" ref="N86" si="50">SUM(L86:L87)</f>
        <v>133.38000000000002</v>
      </c>
      <c r="O86" s="284"/>
      <c r="P86" s="8"/>
    </row>
    <row r="87" spans="2:16" ht="18.600000000000001" thickBot="1" x14ac:dyDescent="0.4">
      <c r="B87" s="1255"/>
      <c r="C87" s="1256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266"/>
      <c r="O87" s="284"/>
      <c r="P87" s="8"/>
    </row>
    <row r="88" spans="2:16" ht="18.600000000000001" thickBot="1" x14ac:dyDescent="0.4">
      <c r="B88" s="1253">
        <v>46288</v>
      </c>
      <c r="C88" s="1254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264">
        <f>SUM(L88:L89)</f>
        <v>402.63600000000008</v>
      </c>
      <c r="O88" s="284"/>
      <c r="P88" s="8"/>
    </row>
    <row r="89" spans="2:16" ht="18.600000000000001" thickBot="1" x14ac:dyDescent="0.4">
      <c r="B89" s="1255"/>
      <c r="C89" s="1256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266"/>
      <c r="O89" s="284"/>
      <c r="P89" s="8"/>
    </row>
    <row r="90" spans="2:16" ht="18.600000000000001" thickBot="1" x14ac:dyDescent="0.4">
      <c r="B90" s="1253">
        <v>46289</v>
      </c>
      <c r="C90" s="1254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264">
        <f t="shared" ref="N90" si="59">SUM(L90:L91)</f>
        <v>219.92100000000002</v>
      </c>
      <c r="O90" s="284"/>
      <c r="P90" s="8"/>
    </row>
    <row r="91" spans="2:16" ht="18.600000000000001" thickBot="1" x14ac:dyDescent="0.4">
      <c r="B91" s="1255"/>
      <c r="C91" s="1256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266"/>
      <c r="O91" s="284"/>
      <c r="P91" s="8"/>
    </row>
    <row r="92" spans="2:16" ht="18.600000000000001" thickBot="1" x14ac:dyDescent="0.4">
      <c r="B92" s="1253">
        <v>46290</v>
      </c>
      <c r="C92" s="1254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264">
        <f t="shared" ref="N92" si="64">SUM(L92:L93)</f>
        <v>217.62</v>
      </c>
      <c r="O92" s="284"/>
      <c r="P92" s="8"/>
    </row>
    <row r="93" spans="2:16" ht="18.600000000000001" thickBot="1" x14ac:dyDescent="0.4">
      <c r="B93" s="1255"/>
      <c r="C93" s="1256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266"/>
      <c r="O93" s="284"/>
      <c r="P93" s="8"/>
    </row>
    <row r="94" spans="2:16" ht="18.600000000000001" thickBot="1" x14ac:dyDescent="0.4">
      <c r="B94" s="1253">
        <v>46291</v>
      </c>
      <c r="C94" s="1254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264">
        <f t="shared" ref="N94" si="69">SUM(L94:L95)</f>
        <v>253.77300000000002</v>
      </c>
      <c r="O94" s="284"/>
      <c r="P94" s="8"/>
    </row>
    <row r="95" spans="2:16" ht="18.600000000000001" thickBot="1" x14ac:dyDescent="0.4">
      <c r="B95" s="1255"/>
      <c r="C95" s="1256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266"/>
      <c r="O95" s="284"/>
      <c r="P95" s="8"/>
    </row>
    <row r="96" spans="2:16" ht="18.600000000000001" thickBot="1" x14ac:dyDescent="0.4">
      <c r="B96" s="1253">
        <v>46292</v>
      </c>
      <c r="C96" s="1254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264">
        <f t="shared" ref="N96" si="70">SUM(L96:L97)</f>
        <v>0</v>
      </c>
      <c r="O96" s="284"/>
      <c r="P96" s="8"/>
    </row>
    <row r="97" spans="2:16" ht="18.600000000000001" thickBot="1" x14ac:dyDescent="0.4">
      <c r="B97" s="1255"/>
      <c r="C97" s="1256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266"/>
      <c r="O97" s="284"/>
      <c r="P97" s="8"/>
    </row>
    <row r="98" spans="2:16" ht="18.600000000000001" thickBot="1" x14ac:dyDescent="0.4">
      <c r="B98" s="1253">
        <v>46293</v>
      </c>
      <c r="C98" s="1254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264">
        <f t="shared" ref="N98" si="75">SUM(L98:L99)</f>
        <v>182.988</v>
      </c>
      <c r="O98" s="284"/>
      <c r="P98" s="8"/>
    </row>
    <row r="99" spans="2:16" ht="18.600000000000001" thickBot="1" x14ac:dyDescent="0.4">
      <c r="B99" s="1255"/>
      <c r="C99" s="1256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266"/>
      <c r="O99" s="284"/>
      <c r="P99" s="8"/>
    </row>
    <row r="100" spans="2:16" ht="18.600000000000001" thickBot="1" x14ac:dyDescent="0.4">
      <c r="B100" s="1253">
        <v>46294</v>
      </c>
      <c r="C100" s="1254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264">
        <f t="shared" ref="N100" si="76">SUM(L100:L101)</f>
        <v>0</v>
      </c>
      <c r="O100" s="284"/>
      <c r="P100" s="8"/>
    </row>
    <row r="101" spans="2:16" ht="18.600000000000001" thickBot="1" x14ac:dyDescent="0.4">
      <c r="B101" s="1255"/>
      <c r="C101" s="1256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266"/>
      <c r="O101" s="284"/>
      <c r="P101" s="8"/>
    </row>
    <row r="102" spans="2:16" ht="18.600000000000001" thickBot="1" x14ac:dyDescent="0.4">
      <c r="B102" s="1253">
        <v>46295</v>
      </c>
      <c r="C102" s="1254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264">
        <f>SUM(L102:L103)</f>
        <v>121.485</v>
      </c>
      <c r="O102" s="284"/>
      <c r="P102" s="8"/>
    </row>
    <row r="103" spans="2:16" ht="18.600000000000001" thickBot="1" x14ac:dyDescent="0.4">
      <c r="B103" s="1255"/>
      <c r="C103" s="1256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267"/>
      <c r="O103" s="284"/>
      <c r="P103" s="8"/>
    </row>
    <row r="104" spans="2:16" ht="18.600000000000001" thickBot="1" x14ac:dyDescent="0.4">
      <c r="B104" s="1253">
        <v>46296</v>
      </c>
      <c r="C104" s="1254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264">
        <f>SUM(L104:L105)</f>
        <v>295.03500000000003</v>
      </c>
      <c r="O104" s="284"/>
      <c r="P104" s="8"/>
    </row>
    <row r="105" spans="2:16" ht="18" x14ac:dyDescent="0.35">
      <c r="B105" s="1262"/>
      <c r="C105" s="1263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265"/>
      <c r="O105" s="284"/>
      <c r="P105" s="8"/>
    </row>
    <row r="106" spans="2:16" ht="18" x14ac:dyDescent="0.35">
      <c r="B106" s="1252">
        <v>46297</v>
      </c>
      <c r="C106" s="1252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261">
        <f>SUM(L106:L109)</f>
        <v>232.2099</v>
      </c>
      <c r="O106" s="284"/>
      <c r="P106" s="8"/>
    </row>
    <row r="107" spans="2:16" ht="18" x14ac:dyDescent="0.35">
      <c r="B107" s="1252"/>
      <c r="C107" s="1252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261"/>
      <c r="O107" s="284"/>
      <c r="P107" s="8"/>
    </row>
    <row r="108" spans="2:16" ht="18" x14ac:dyDescent="0.35">
      <c r="B108" s="1252"/>
      <c r="C108" s="1252"/>
      <c r="D108" s="1014" t="s">
        <v>13</v>
      </c>
      <c r="E108" s="1015" t="s">
        <v>770</v>
      </c>
      <c r="F108" s="1016">
        <v>78</v>
      </c>
      <c r="G108" s="1017" t="s">
        <v>428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261"/>
      <c r="O108" s="284"/>
      <c r="P108" s="8"/>
    </row>
    <row r="109" spans="2:16" ht="18" x14ac:dyDescent="0.35">
      <c r="B109" s="1252"/>
      <c r="C109" s="1252"/>
      <c r="D109" s="1014" t="s">
        <v>13</v>
      </c>
      <c r="E109" s="1015" t="s">
        <v>770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261"/>
      <c r="O109" s="284"/>
      <c r="P109" s="8"/>
    </row>
    <row r="110" spans="2:16" ht="18" x14ac:dyDescent="0.35">
      <c r="B110" s="1252">
        <v>46298</v>
      </c>
      <c r="C110" s="1252"/>
      <c r="D110" s="1014" t="s">
        <v>12</v>
      </c>
      <c r="E110" s="1015" t="s">
        <v>772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259">
        <f>SUM(L110:L111)</f>
        <v>464.91899999999998</v>
      </c>
      <c r="O110" s="284"/>
      <c r="P110" s="8"/>
    </row>
    <row r="111" spans="2:16" ht="18" x14ac:dyDescent="0.35">
      <c r="B111" s="1252"/>
      <c r="C111" s="1252"/>
      <c r="D111" s="1014" t="s">
        <v>13</v>
      </c>
      <c r="E111" s="1015" t="s">
        <v>773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260"/>
      <c r="O111" s="284"/>
      <c r="P111" s="8"/>
    </row>
    <row r="112" spans="2:16" ht="18" x14ac:dyDescent="0.35">
      <c r="B112" s="1252">
        <v>46299</v>
      </c>
      <c r="C112" s="1252"/>
      <c r="D112" s="1014" t="s">
        <v>12</v>
      </c>
      <c r="E112" s="1015" t="s">
        <v>774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252"/>
      <c r="C113" s="1252"/>
      <c r="D113" s="1014" t="s">
        <v>13</v>
      </c>
      <c r="E113" s="1015" t="s">
        <v>773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252">
        <v>46300</v>
      </c>
      <c r="C114" s="1252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259">
        <f>SUM(L114:L115)</f>
        <v>21.839999999999996</v>
      </c>
      <c r="O114" s="1191"/>
      <c r="P114" s="8"/>
    </row>
    <row r="115" spans="2:19" ht="18" x14ac:dyDescent="0.35">
      <c r="B115" s="1252"/>
      <c r="C115" s="1252"/>
      <c r="D115" s="1014" t="s">
        <v>13</v>
      </c>
      <c r="E115" s="1015" t="s">
        <v>783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260"/>
      <c r="O115" s="1191"/>
      <c r="P115" s="8"/>
    </row>
    <row r="116" spans="2:19" ht="18" x14ac:dyDescent="0.35">
      <c r="B116" s="1252">
        <v>46301</v>
      </c>
      <c r="C116" s="1252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259">
        <f>SUM(L116:L117)</f>
        <v>105.3</v>
      </c>
      <c r="O116" s="1191"/>
      <c r="P116" s="8"/>
    </row>
    <row r="117" spans="2:19" ht="18" x14ac:dyDescent="0.35">
      <c r="B117" s="1252"/>
      <c r="C117" s="1252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260"/>
      <c r="O117" s="1191"/>
      <c r="P117" s="8"/>
    </row>
    <row r="118" spans="2:19" ht="18" x14ac:dyDescent="0.35">
      <c r="B118" s="1252">
        <v>46302</v>
      </c>
      <c r="C118" s="1252"/>
      <c r="D118" s="1014" t="s">
        <v>12</v>
      </c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259">
        <f>SUM(L118:L119)</f>
        <v>203.83999999999997</v>
      </c>
      <c r="O118" s="1191"/>
      <c r="P118" s="8"/>
    </row>
    <row r="119" spans="2:19" ht="18" x14ac:dyDescent="0.35">
      <c r="B119" s="1252"/>
      <c r="C119" s="1252"/>
      <c r="D119" s="1014" t="s">
        <v>13</v>
      </c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260"/>
      <c r="O119" s="1191"/>
      <c r="P119" s="8"/>
    </row>
    <row r="120" spans="2:19" ht="18" x14ac:dyDescent="0.35">
      <c r="B120" s="1252">
        <v>46303</v>
      </c>
      <c r="C120" s="1252"/>
      <c r="D120" s="1014" t="s">
        <v>12</v>
      </c>
      <c r="E120" s="1015"/>
      <c r="F120" s="1016">
        <v>181</v>
      </c>
      <c r="G120" s="1017" t="s">
        <v>14</v>
      </c>
      <c r="H120" s="1018"/>
      <c r="I120" s="1019">
        <f t="shared" ref="I120" si="111">IFERROR((VLOOKUP(G120,S$6:T$8,2,FALSE)),"")</f>
        <v>0.7</v>
      </c>
      <c r="J120" s="1020">
        <v>1.3</v>
      </c>
      <c r="K120" s="1021">
        <f t="shared" ref="K120" si="112">IFERROR((F120*I120*J120),"")</f>
        <v>164.70999999999998</v>
      </c>
      <c r="L120" s="1067">
        <f t="shared" ref="L120" si="113">IFERROR(((F120*I120)*J120)*(1-H120),"")</f>
        <v>164.70999999999998</v>
      </c>
      <c r="M120" s="1067">
        <f t="shared" ref="M120" si="114">IFERROR((K120/12),"")</f>
        <v>13.725833333333332</v>
      </c>
      <c r="N120" s="1259">
        <f>SUM(L120:L121)</f>
        <v>476.71</v>
      </c>
      <c r="O120" s="1191"/>
      <c r="P120" s="8"/>
    </row>
    <row r="121" spans="2:19" ht="18" x14ac:dyDescent="0.35">
      <c r="B121" s="1252"/>
      <c r="C121" s="1252"/>
      <c r="D121" s="1014" t="s">
        <v>13</v>
      </c>
      <c r="E121" s="1015"/>
      <c r="F121" s="1016">
        <v>80</v>
      </c>
      <c r="G121" s="1017" t="s">
        <v>15</v>
      </c>
      <c r="H121" s="1018"/>
      <c r="I121" s="1019">
        <f t="shared" ref="I121" si="115">IFERROR((VLOOKUP(G121,S$6:T$8,2,FALSE)),"")</f>
        <v>3</v>
      </c>
      <c r="J121" s="1020">
        <v>1.3</v>
      </c>
      <c r="K121" s="1021">
        <f t="shared" ref="K121" si="116">IFERROR((F121*I121*J121),"")</f>
        <v>312</v>
      </c>
      <c r="L121" s="1067">
        <f t="shared" ref="L121" si="117">IFERROR(((F121*I121)*J121)*(1-H121),"")</f>
        <v>312</v>
      </c>
      <c r="M121" s="1067">
        <f t="shared" ref="M121" si="118">IFERROR((K121/12),"")</f>
        <v>26</v>
      </c>
      <c r="N121" s="1260"/>
      <c r="O121" s="1191"/>
      <c r="P121" s="8"/>
    </row>
    <row r="122" spans="2:19" ht="18" x14ac:dyDescent="0.35">
      <c r="B122" s="1252">
        <v>46304</v>
      </c>
      <c r="C122" s="1252"/>
      <c r="D122" s="1014" t="s">
        <v>12</v>
      </c>
      <c r="E122" s="1015"/>
      <c r="F122" s="1016"/>
      <c r="G122" s="1017"/>
      <c r="H122" s="1018"/>
      <c r="I122" s="1019"/>
      <c r="J122" s="1020"/>
      <c r="K122" s="1021"/>
      <c r="L122" s="1067"/>
      <c r="M122" s="1067"/>
      <c r="N122" s="1067"/>
      <c r="O122" s="1191"/>
      <c r="P122" s="8"/>
    </row>
    <row r="123" spans="2:19" ht="18" x14ac:dyDescent="0.35">
      <c r="B123" s="1252"/>
      <c r="C123" s="1252"/>
      <c r="D123" s="1014" t="s">
        <v>13</v>
      </c>
      <c r="E123" s="1015"/>
      <c r="F123" s="1016"/>
      <c r="G123" s="1017"/>
      <c r="H123" s="1018"/>
      <c r="I123" s="1019"/>
      <c r="J123" s="1020"/>
      <c r="K123" s="1021"/>
      <c r="L123" s="1067"/>
      <c r="M123" s="1067"/>
      <c r="N123" s="1067"/>
      <c r="O123" s="1191"/>
      <c r="P123" s="8"/>
    </row>
    <row r="124" spans="2:19" ht="18" x14ac:dyDescent="0.35">
      <c r="B124" s="1286" t="s">
        <v>16</v>
      </c>
      <c r="C124" s="1287"/>
      <c r="D124" s="318"/>
      <c r="E124" s="319"/>
      <c r="F124" s="320">
        <f>AVERAGE(F6:F91)</f>
        <v>182</v>
      </c>
      <c r="G124" s="321"/>
      <c r="H124" s="322">
        <f>AVERAGE(H6:H86)</f>
        <v>0.11073333333333336</v>
      </c>
      <c r="I124" s="323" t="str">
        <f t="shared" si="4"/>
        <v/>
      </c>
      <c r="J124" s="324"/>
      <c r="K124" s="325">
        <f>AVERAGE(K6:K67)</f>
        <v>150.91452380952381</v>
      </c>
      <c r="L124" s="326">
        <f>AVERAGE(L6:L80)</f>
        <v>128.63389230769229</v>
      </c>
      <c r="M124" s="1060">
        <f>AVERAGE(M6:M103)</f>
        <v>12.962948717948722</v>
      </c>
      <c r="N124" s="1192">
        <f>AVERAGE(N6:N85)</f>
        <v>97.510261538461535</v>
      </c>
      <c r="O124" s="1191"/>
      <c r="S124" s="4"/>
    </row>
    <row r="125" spans="2:19" ht="18.600000000000001" thickBot="1" x14ac:dyDescent="0.4">
      <c r="B125" s="1288" t="s">
        <v>17</v>
      </c>
      <c r="C125" s="1289"/>
      <c r="D125" s="1183"/>
      <c r="E125" s="327"/>
      <c r="F125" s="328">
        <f>SUM(F6:F85)</f>
        <v>5971</v>
      </c>
      <c r="G125" s="327"/>
      <c r="H125" s="329"/>
      <c r="I125" s="329"/>
      <c r="J125" s="327"/>
      <c r="K125" s="330"/>
      <c r="L125" s="331"/>
      <c r="M125" s="327"/>
      <c r="N125" s="333">
        <f>SUM(N6:N123)</f>
        <v>7140.0821000000005</v>
      </c>
      <c r="O125" s="284"/>
      <c r="Q125" s="4"/>
      <c r="R125" s="4"/>
      <c r="S125" s="2"/>
    </row>
    <row r="126" spans="2:19" x14ac:dyDescent="0.3">
      <c r="D126" s="1182"/>
      <c r="F126" s="264"/>
      <c r="H126" s="267"/>
      <c r="I126" s="269"/>
    </row>
    <row r="127" spans="2:19" x14ac:dyDescent="0.3">
      <c r="K127" s="10"/>
      <c r="N127" s="946"/>
    </row>
    <row r="128" spans="2:19" x14ac:dyDescent="0.3">
      <c r="F128" s="265"/>
      <c r="I128" s="265"/>
      <c r="N128" s="946"/>
    </row>
    <row r="132" spans="15:15" x14ac:dyDescent="0.3">
      <c r="O132" s="4"/>
    </row>
  </sheetData>
  <mergeCells count="119">
    <mergeCell ref="N96:N97"/>
    <mergeCell ref="B96:C97"/>
    <mergeCell ref="B98:C99"/>
    <mergeCell ref="N84:N85"/>
    <mergeCell ref="B84:C85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  <mergeCell ref="B124:C124"/>
    <mergeCell ref="B125:C12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114:C115"/>
    <mergeCell ref="N114:N115"/>
    <mergeCell ref="B116:C117"/>
    <mergeCell ref="B118:C119"/>
    <mergeCell ref="B120:C121"/>
    <mergeCell ref="N116:N117"/>
    <mergeCell ref="N118:N119"/>
    <mergeCell ref="N120:N121"/>
  </mergeCells>
  <phoneticPr fontId="94" type="noConversion"/>
  <dataValidations count="1">
    <dataValidation type="list" allowBlank="1" showInputMessage="1" showErrorMessage="1" sqref="G6:G12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92" t="s">
        <v>122</v>
      </c>
      <c r="C1" s="1292"/>
      <c r="D1" s="1292"/>
      <c r="E1" s="1292"/>
      <c r="F1" s="1292"/>
      <c r="G1" s="1292"/>
      <c r="H1" s="1292"/>
      <c r="I1" s="1292"/>
      <c r="J1" s="1292"/>
      <c r="K1" s="1292"/>
      <c r="L1" s="1292"/>
    </row>
    <row r="2" spans="1:27" ht="18" x14ac:dyDescent="0.35">
      <c r="F2" s="1300" t="s">
        <v>418</v>
      </c>
      <c r="G2" s="1300"/>
      <c r="H2" s="1300"/>
      <c r="I2" s="1300"/>
      <c r="J2" s="1300"/>
    </row>
    <row r="3" spans="1:27" ht="15" thickBot="1" x14ac:dyDescent="0.35">
      <c r="A3" s="1295" t="s">
        <v>198</v>
      </c>
      <c r="B3" s="1296"/>
      <c r="C3" s="1296"/>
      <c r="D3" s="1296"/>
      <c r="E3" s="1296"/>
      <c r="F3" s="1296"/>
      <c r="G3" s="1297"/>
    </row>
    <row r="4" spans="1:27" ht="15" thickBot="1" x14ac:dyDescent="0.35">
      <c r="A4" s="1298" t="s">
        <v>0</v>
      </c>
      <c r="B4" s="129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293">
        <v>46252</v>
      </c>
      <c r="B6" s="1294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293">
        <v>46253</v>
      </c>
      <c r="B7" s="1294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293">
        <v>46254</v>
      </c>
      <c r="B8" s="1294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290" t="s">
        <v>209</v>
      </c>
      <c r="AA8" s="1291"/>
    </row>
    <row r="9" spans="1:27" x14ac:dyDescent="0.3">
      <c r="A9" s="1293">
        <v>46255</v>
      </c>
      <c r="B9" s="1294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293">
        <v>46256</v>
      </c>
      <c r="B10" s="1294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293">
        <v>46257</v>
      </c>
      <c r="B11" s="1294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293">
        <v>46258</v>
      </c>
      <c r="B12" s="1294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293">
        <v>46259</v>
      </c>
      <c r="B13" s="1294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293">
        <v>46260</v>
      </c>
      <c r="B14" s="1294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293">
        <v>46261</v>
      </c>
      <c r="B15" s="1294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293">
        <v>46262</v>
      </c>
      <c r="B16" s="1294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293">
        <v>46263</v>
      </c>
      <c r="B17" s="1294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293">
        <v>46264</v>
      </c>
      <c r="B18" s="1294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293">
        <v>46265</v>
      </c>
      <c r="B19" s="1294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293">
        <v>46266</v>
      </c>
      <c r="B20" s="1294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293">
        <v>46267</v>
      </c>
      <c r="B21" s="1294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293">
        <v>46268</v>
      </c>
      <c r="B22" s="1294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293">
        <v>46269</v>
      </c>
      <c r="B23" s="1294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293">
        <v>46270</v>
      </c>
      <c r="B24" s="1294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293">
        <v>46271</v>
      </c>
      <c r="B25" s="1294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293">
        <v>46272</v>
      </c>
      <c r="B26" s="1294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293">
        <v>46273</v>
      </c>
      <c r="B27" s="1294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293">
        <v>46274</v>
      </c>
      <c r="B28" s="1294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293">
        <v>46275</v>
      </c>
      <c r="B29" s="1294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293">
        <v>46276</v>
      </c>
      <c r="B30" s="1294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293">
        <v>46277</v>
      </c>
      <c r="B31" s="1294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293">
        <v>46278</v>
      </c>
      <c r="B32" s="1294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293">
        <v>46279</v>
      </c>
      <c r="B33" s="1294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293">
        <v>46280</v>
      </c>
      <c r="B34" s="1294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293">
        <v>46281</v>
      </c>
      <c r="B35" s="1294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293">
        <v>46282</v>
      </c>
      <c r="B36" s="1294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293">
        <v>46283</v>
      </c>
      <c r="B37" s="1294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293">
        <v>46284</v>
      </c>
      <c r="B38" s="1294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293">
        <v>46285</v>
      </c>
      <c r="B39" s="1294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293">
        <v>46286</v>
      </c>
      <c r="B40" s="1294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293">
        <v>46287</v>
      </c>
      <c r="B41" s="1294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293">
        <v>46288</v>
      </c>
      <c r="B42" s="1294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01" t="s">
        <v>601</v>
      </c>
      <c r="C2" s="1302"/>
      <c r="D2" s="1302"/>
      <c r="E2" s="1302"/>
      <c r="F2" s="1302"/>
      <c r="G2" s="1302"/>
      <c r="H2" s="1302"/>
      <c r="I2" s="1302"/>
      <c r="J2" s="1302"/>
      <c r="K2" s="1302"/>
      <c r="L2" s="1302"/>
      <c r="M2" s="1302"/>
      <c r="N2" s="1302"/>
      <c r="O2" s="1302"/>
      <c r="P2" s="1302"/>
      <c r="Q2" s="1302"/>
      <c r="R2" s="1302"/>
      <c r="S2" s="1302"/>
      <c r="T2" s="1303"/>
    </row>
    <row r="3" spans="2:28" x14ac:dyDescent="1.65">
      <c r="B3" s="846"/>
      <c r="C3" s="1302" t="s">
        <v>602</v>
      </c>
      <c r="D3" s="1302"/>
      <c r="E3" s="1302"/>
      <c r="F3" s="1302"/>
      <c r="G3" s="1302"/>
      <c r="H3" s="1302"/>
      <c r="I3" s="1302"/>
      <c r="J3" s="1302"/>
      <c r="K3" s="1302"/>
      <c r="L3" s="1302"/>
      <c r="M3" s="1302"/>
      <c r="N3" s="1302"/>
      <c r="O3" s="1302"/>
      <c r="P3" s="1302"/>
      <c r="Q3" s="1302"/>
      <c r="R3" s="1302"/>
      <c r="S3" s="1302"/>
      <c r="T3" s="1303"/>
    </row>
    <row r="4" spans="2:28" ht="92.4" thickBot="1" x14ac:dyDescent="1.7">
      <c r="B4" s="1304" t="s">
        <v>603</v>
      </c>
      <c r="C4" s="1305"/>
      <c r="D4" s="1305"/>
      <c r="E4" s="1305"/>
      <c r="F4" s="1305"/>
      <c r="G4" s="1305"/>
      <c r="H4" s="1305"/>
      <c r="I4" s="1305"/>
      <c r="J4" s="1305"/>
      <c r="K4" s="1305"/>
      <c r="L4" s="1305"/>
      <c r="M4" s="1305"/>
      <c r="N4" s="1305"/>
      <c r="O4" s="1305"/>
      <c r="P4" s="1305"/>
      <c r="Q4" s="1305"/>
      <c r="R4" s="1305"/>
      <c r="S4" s="1305"/>
      <c r="T4" s="1306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07" t="s">
        <v>622</v>
      </c>
      <c r="C6" s="1308"/>
      <c r="D6" s="1308"/>
      <c r="E6" s="1308"/>
      <c r="F6" s="1308"/>
      <c r="G6" s="1308"/>
      <c r="H6" s="1308"/>
      <c r="I6" s="1308"/>
      <c r="J6" s="1308"/>
      <c r="K6" s="1308"/>
      <c r="L6" s="1308"/>
      <c r="M6" s="1308"/>
      <c r="N6" s="1308"/>
      <c r="O6" s="1308"/>
      <c r="P6" s="1308"/>
      <c r="Q6" s="1308"/>
      <c r="R6" s="1308"/>
      <c r="S6" s="1308"/>
      <c r="T6" s="1309"/>
    </row>
    <row r="7" spans="2:28" ht="92.4" thickBot="1" x14ac:dyDescent="1.7">
      <c r="B7" s="1310"/>
      <c r="C7" s="1311"/>
      <c r="D7" s="1311"/>
      <c r="E7" s="1311"/>
      <c r="F7" s="1311"/>
      <c r="G7" s="1311"/>
      <c r="H7" s="1311"/>
      <c r="I7" s="1311"/>
      <c r="J7" s="1311"/>
      <c r="K7" s="1311"/>
      <c r="L7" s="1311"/>
      <c r="M7" s="1311"/>
      <c r="N7" s="1311"/>
      <c r="O7" s="1311"/>
      <c r="P7" s="1311"/>
      <c r="Q7" s="1311"/>
      <c r="R7" s="1311"/>
      <c r="S7" s="1311"/>
      <c r="T7" s="1312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313" t="s">
        <v>620</v>
      </c>
      <c r="AA13" s="1313"/>
      <c r="AB13" s="1313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7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7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7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43" zoomScaleNormal="100" workbookViewId="0">
      <selection activeCell="H175" sqref="H175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17" t="s">
        <v>458</v>
      </c>
      <c r="C2" s="1217"/>
      <c r="D2" s="1217"/>
      <c r="E2" s="1217"/>
      <c r="F2" s="1217"/>
      <c r="G2" s="1217"/>
      <c r="H2" s="1217"/>
      <c r="T2" s="1324" t="s">
        <v>499</v>
      </c>
      <c r="U2" s="1324"/>
      <c r="V2" s="1324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28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29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29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29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29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29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29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29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29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29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29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30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25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26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26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26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26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26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26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26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27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28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29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29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29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29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29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29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29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29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29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29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30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25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26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26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26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26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26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26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26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26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26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26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27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25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26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26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26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26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26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26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26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27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28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29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29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29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29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30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25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26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26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26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26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26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26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26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27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28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29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29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29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29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29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29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29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29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29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29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30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32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33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33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33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33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33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33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33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33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33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33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34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21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22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22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22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22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22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22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22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22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22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22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22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22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22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22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22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22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22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22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22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23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31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16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16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16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16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16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16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16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17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21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22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22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22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22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22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22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22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22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22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22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22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22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22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22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22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22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323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318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319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319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319"/>
      <c r="D151" s="452" t="s">
        <v>460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319"/>
      <c r="D152" s="452" t="s">
        <v>461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319"/>
      <c r="D153" s="452" t="s">
        <v>462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319"/>
      <c r="D154" s="452" t="s">
        <v>463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319"/>
      <c r="D155" s="452" t="s">
        <v>464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319"/>
      <c r="D156" s="452" t="s">
        <v>465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319"/>
      <c r="D157" s="452" t="s">
        <v>460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319"/>
      <c r="D158" s="452" t="s">
        <v>461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319"/>
      <c r="D159" s="452" t="s">
        <v>462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319"/>
      <c r="D160" s="452" t="s">
        <v>463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319"/>
      <c r="D161" s="452" t="s">
        <v>464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320"/>
      <c r="D162" s="452" t="s">
        <v>465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314">
        <v>14</v>
      </c>
      <c r="D163" s="615" t="s">
        <v>460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315"/>
      <c r="D164" s="615" t="s">
        <v>461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315"/>
      <c r="D165" s="615" t="s">
        <v>462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315"/>
      <c r="D166" s="615" t="s">
        <v>463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315"/>
      <c r="D167" s="615" t="s">
        <v>464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315"/>
      <c r="D168" s="615" t="s">
        <v>465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315"/>
      <c r="D169" s="615" t="s">
        <v>460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315"/>
      <c r="D170" s="615" t="s">
        <v>461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315"/>
      <c r="D171" s="615" t="s">
        <v>462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316">
        <v>15</v>
      </c>
      <c r="D172" s="452" t="s">
        <v>463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316"/>
      <c r="D173" s="452" t="s">
        <v>464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317"/>
      <c r="D174" s="452" t="s">
        <v>465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7">
    <mergeCell ref="C100:C120"/>
    <mergeCell ref="C163:C171"/>
    <mergeCell ref="C172:C174"/>
    <mergeCell ref="C148:C162"/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</mergeCells>
  <phoneticPr fontId="94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58" activePane="bottomLeft" state="frozen"/>
      <selection pane="bottomLeft" activeCell="H88" sqref="H88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66" t="s">
        <v>63</v>
      </c>
      <c r="B3" s="1367"/>
      <c r="C3" s="1367"/>
      <c r="D3" s="1367"/>
      <c r="E3" s="1367"/>
      <c r="F3" s="1367"/>
      <c r="G3" s="1367"/>
      <c r="H3" s="1367"/>
      <c r="I3" s="1367"/>
      <c r="J3" s="1367"/>
      <c r="K3" s="1367"/>
      <c r="L3" s="1367"/>
    </row>
    <row r="4" spans="1:36" ht="28.8" x14ac:dyDescent="0.3">
      <c r="A4" s="1368" t="s">
        <v>0</v>
      </c>
      <c r="B4" s="1368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544</v>
      </c>
      <c r="J4" s="903" t="s">
        <v>596</v>
      </c>
      <c r="K4" s="897" t="s">
        <v>597</v>
      </c>
      <c r="L4" s="897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350">
        <v>46265</v>
      </c>
      <c r="B5" s="1351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446</v>
      </c>
      <c r="I5" s="1329">
        <v>1</v>
      </c>
      <c r="J5" s="901">
        <f>(720-G5)/60</f>
        <v>10.433333333333334</v>
      </c>
      <c r="K5" s="902">
        <f>J5/12</f>
        <v>0.86944444444444446</v>
      </c>
      <c r="L5" s="1348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45">
        <v>46265</v>
      </c>
      <c r="B6" s="1346"/>
      <c r="C6" s="769" t="s">
        <v>13</v>
      </c>
      <c r="D6" s="592"/>
      <c r="E6" s="586"/>
      <c r="F6" s="501"/>
      <c r="G6" s="502">
        <f>(F6-E6)*1440</f>
        <v>0</v>
      </c>
      <c r="H6" s="587"/>
      <c r="I6" s="1329"/>
      <c r="J6" s="809">
        <f>(720-G6)/60</f>
        <v>12</v>
      </c>
      <c r="K6" s="812">
        <f t="shared" ref="K6:K8" si="1">J6/12</f>
        <v>1</v>
      </c>
      <c r="L6" s="1348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345">
        <v>46266</v>
      </c>
      <c r="B7" s="1346"/>
      <c r="C7" s="769" t="s">
        <v>12</v>
      </c>
      <c r="D7" s="592"/>
      <c r="E7" s="586"/>
      <c r="F7" s="501"/>
      <c r="G7" s="502">
        <f>(F7-E7)*1440</f>
        <v>0</v>
      </c>
      <c r="H7" s="587"/>
      <c r="I7" s="1329"/>
      <c r="J7" s="809">
        <f>(720-G7)/60</f>
        <v>12</v>
      </c>
      <c r="K7" s="812">
        <f t="shared" si="1"/>
        <v>1</v>
      </c>
      <c r="L7" s="1348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636</v>
      </c>
      <c r="AI7" s="948" t="s">
        <v>637</v>
      </c>
      <c r="AJ7" s="948" t="s">
        <v>638</v>
      </c>
    </row>
    <row r="8" spans="1:36" ht="54" customHeight="1" x14ac:dyDescent="0.3">
      <c r="A8" s="1345">
        <v>46266</v>
      </c>
      <c r="B8" s="1346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330"/>
      <c r="J8" s="809">
        <f t="shared" ref="J8:J14" si="5">(720-G8)/60</f>
        <v>10.9</v>
      </c>
      <c r="K8" s="812">
        <f t="shared" si="1"/>
        <v>0.90833333333333333</v>
      </c>
      <c r="L8" s="1348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341">
        <v>46267</v>
      </c>
      <c r="B9" s="1342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478</v>
      </c>
      <c r="I9" s="1325">
        <v>2</v>
      </c>
      <c r="J9" s="810">
        <f t="shared" si="5"/>
        <v>10</v>
      </c>
      <c r="K9" s="813">
        <f>J9/12</f>
        <v>0.83333333333333337</v>
      </c>
      <c r="L9" s="1347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41">
        <v>46267</v>
      </c>
      <c r="B10" s="1342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26"/>
      <c r="J10" s="810">
        <f t="shared" si="5"/>
        <v>12</v>
      </c>
      <c r="K10" s="813">
        <f t="shared" ref="K10:K14" si="6">J10/12</f>
        <v>1</v>
      </c>
      <c r="L10" s="1347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41">
        <v>46268</v>
      </c>
      <c r="B11" s="1342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26"/>
      <c r="J11" s="810">
        <f t="shared" si="5"/>
        <v>12</v>
      </c>
      <c r="K11" s="813">
        <f t="shared" si="6"/>
        <v>1</v>
      </c>
      <c r="L11" s="1347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341">
        <v>46268</v>
      </c>
      <c r="B12" s="1342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326"/>
      <c r="J12" s="810">
        <f t="shared" si="5"/>
        <v>11</v>
      </c>
      <c r="K12" s="813">
        <f t="shared" si="6"/>
        <v>0.91666666666666663</v>
      </c>
      <c r="L12" s="1347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341">
        <v>46269</v>
      </c>
      <c r="B13" s="1342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326"/>
      <c r="J13" s="810">
        <f t="shared" si="5"/>
        <v>0</v>
      </c>
      <c r="K13" s="813">
        <f t="shared" si="6"/>
        <v>0</v>
      </c>
      <c r="L13" s="1347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41">
        <v>46269</v>
      </c>
      <c r="B14" s="1342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327"/>
      <c r="J14" s="810">
        <f t="shared" si="5"/>
        <v>0</v>
      </c>
      <c r="K14" s="813">
        <f t="shared" si="6"/>
        <v>0</v>
      </c>
      <c r="L14" s="1347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345">
        <v>46270</v>
      </c>
      <c r="B15" s="1346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328">
        <v>3</v>
      </c>
      <c r="J15" s="809">
        <f>(720-G15)/60</f>
        <v>0</v>
      </c>
      <c r="K15" s="812">
        <f>J15/12</f>
        <v>0</v>
      </c>
      <c r="L15" s="1348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345">
        <v>46270</v>
      </c>
      <c r="B16" s="1346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329"/>
      <c r="J16" s="809">
        <f t="shared" ref="J16:J19" si="8">(720-G16)/60</f>
        <v>11</v>
      </c>
      <c r="K16" s="812">
        <f t="shared" ref="K16:K19" si="9">J16/12</f>
        <v>0.91666666666666663</v>
      </c>
      <c r="L16" s="1348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345">
        <v>46271</v>
      </c>
      <c r="B17" s="1346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329"/>
      <c r="J17" s="809">
        <f t="shared" si="8"/>
        <v>9.8333333333333339</v>
      </c>
      <c r="K17" s="812">
        <f t="shared" si="9"/>
        <v>0.81944444444444453</v>
      </c>
      <c r="L17" s="1348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345">
        <v>46271</v>
      </c>
      <c r="B18" s="1346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329"/>
      <c r="J18" s="809">
        <f t="shared" si="8"/>
        <v>12</v>
      </c>
      <c r="K18" s="812">
        <f t="shared" si="9"/>
        <v>1</v>
      </c>
      <c r="L18" s="1348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345">
        <v>46272</v>
      </c>
      <c r="B19" s="1346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330"/>
      <c r="J19" s="809">
        <f t="shared" si="8"/>
        <v>11.683333333333334</v>
      </c>
      <c r="K19" s="812">
        <f t="shared" si="9"/>
        <v>0.97361111111111109</v>
      </c>
      <c r="L19" s="1349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341">
        <v>46272</v>
      </c>
      <c r="B20" s="1342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355">
        <v>4</v>
      </c>
      <c r="J20" s="810">
        <f>(720-G20)/60</f>
        <v>10.766666666666667</v>
      </c>
      <c r="K20" s="813">
        <f>J20/12</f>
        <v>0.89722222222222225</v>
      </c>
      <c r="L20" s="1349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341">
        <v>46273</v>
      </c>
      <c r="B21" s="1342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356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347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341">
        <v>46273</v>
      </c>
      <c r="B22" s="1342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356"/>
      <c r="J22" s="810">
        <f t="shared" si="10"/>
        <v>9.4499999999999993</v>
      </c>
      <c r="K22" s="813">
        <f t="shared" si="11"/>
        <v>0.78749999999999998</v>
      </c>
      <c r="L22" s="1347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341">
        <v>46274</v>
      </c>
      <c r="B23" s="1342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357"/>
      <c r="J23" s="810">
        <f t="shared" si="10"/>
        <v>3</v>
      </c>
      <c r="K23" s="813">
        <f t="shared" si="11"/>
        <v>0.25</v>
      </c>
      <c r="L23" s="1347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335">
        <v>46274</v>
      </c>
      <c r="B24" s="1336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347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345">
        <v>46275</v>
      </c>
      <c r="B25" s="1346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375">
        <v>5</v>
      </c>
      <c r="J25" s="809">
        <f>(720-G25)/60</f>
        <v>10.566666666666666</v>
      </c>
      <c r="K25" s="812">
        <f>J25/12</f>
        <v>0.88055555555555554</v>
      </c>
      <c r="L25" s="1348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345">
        <v>46275</v>
      </c>
      <c r="B26" s="1346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376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348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345">
        <v>46276</v>
      </c>
      <c r="B27" s="1346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377"/>
      <c r="J27" s="809">
        <f t="shared" si="13"/>
        <v>10.983333333333333</v>
      </c>
      <c r="K27" s="812">
        <f t="shared" si="14"/>
        <v>0.91527777777777775</v>
      </c>
      <c r="L27" s="1349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362">
        <v>46276</v>
      </c>
      <c r="B28" s="1363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352">
        <v>6</v>
      </c>
      <c r="J28" s="810">
        <f>(720-G28)/60</f>
        <v>2</v>
      </c>
      <c r="K28" s="813">
        <f>J28/12</f>
        <v>0.16666666666666666</v>
      </c>
      <c r="L28" s="1349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358">
        <v>46277</v>
      </c>
      <c r="B29" s="1359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353"/>
      <c r="J29" s="810">
        <f t="shared" ref="J29:J33" si="15">(720-G29)/60</f>
        <v>0</v>
      </c>
      <c r="K29" s="813">
        <f t="shared" ref="K29:K33" si="16">J29/12</f>
        <v>0</v>
      </c>
      <c r="L29" s="1347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360">
        <v>46277</v>
      </c>
      <c r="B30" s="1361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353"/>
      <c r="J30" s="810">
        <f t="shared" si="15"/>
        <v>0</v>
      </c>
      <c r="K30" s="813">
        <f t="shared" si="16"/>
        <v>0</v>
      </c>
      <c r="L30" s="1347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362">
        <v>46278</v>
      </c>
      <c r="B31" s="1363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353"/>
      <c r="J31" s="810">
        <f t="shared" si="15"/>
        <v>0</v>
      </c>
      <c r="K31" s="813">
        <f t="shared" si="16"/>
        <v>0</v>
      </c>
      <c r="L31" s="1347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343">
        <v>46278</v>
      </c>
      <c r="B32" s="134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353"/>
      <c r="J32" s="810">
        <f t="shared" si="15"/>
        <v>0</v>
      </c>
      <c r="K32" s="813">
        <f t="shared" si="16"/>
        <v>0</v>
      </c>
      <c r="L32" s="1347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364">
        <v>46279</v>
      </c>
      <c r="B33" s="1365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354"/>
      <c r="J33" s="810">
        <f t="shared" si="15"/>
        <v>0</v>
      </c>
      <c r="K33" s="813">
        <f t="shared" si="16"/>
        <v>0</v>
      </c>
      <c r="L33" s="1349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350">
        <v>46279</v>
      </c>
      <c r="B34" s="1351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389">
        <v>7</v>
      </c>
      <c r="J34" s="809">
        <f>(720-G34)/60</f>
        <v>10</v>
      </c>
      <c r="K34" s="812">
        <f>J34/12</f>
        <v>0.83333333333333337</v>
      </c>
      <c r="L34" s="1349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345">
        <v>46280</v>
      </c>
      <c r="B35" s="1346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329"/>
      <c r="J35" s="809">
        <f t="shared" ref="J35:J36" si="20">(720-G35)/60</f>
        <v>12</v>
      </c>
      <c r="K35" s="812">
        <f t="shared" ref="K35:K36" si="21">J35/12</f>
        <v>1</v>
      </c>
      <c r="L35" s="1348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345">
        <v>46280</v>
      </c>
      <c r="B36" s="1346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330"/>
      <c r="J36" s="809">
        <f t="shared" si="20"/>
        <v>12</v>
      </c>
      <c r="K36" s="812">
        <f t="shared" si="21"/>
        <v>1</v>
      </c>
      <c r="L36" s="1348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341">
        <v>46281</v>
      </c>
      <c r="B37" s="1342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381">
        <v>8</v>
      </c>
      <c r="J37" s="810">
        <f>(720-G37)/60</f>
        <v>12</v>
      </c>
      <c r="K37" s="813">
        <f>J37/12</f>
        <v>1</v>
      </c>
      <c r="L37" s="1347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341">
        <v>46281</v>
      </c>
      <c r="B38" s="1342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382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347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341">
        <v>46282</v>
      </c>
      <c r="B39" s="1342"/>
      <c r="C39" s="497" t="s">
        <v>12</v>
      </c>
      <c r="D39" s="920" t="s">
        <v>628</v>
      </c>
      <c r="E39" s="829"/>
      <c r="F39" s="829"/>
      <c r="G39" s="499">
        <f t="shared" si="4"/>
        <v>0</v>
      </c>
      <c r="H39" s="921" t="s">
        <v>629</v>
      </c>
      <c r="I39" s="1382"/>
      <c r="J39" s="810">
        <f t="shared" si="22"/>
        <v>12</v>
      </c>
      <c r="K39" s="813">
        <f t="shared" si="23"/>
        <v>1</v>
      </c>
      <c r="L39" s="1347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337">
        <v>46282</v>
      </c>
      <c r="B40" s="1338"/>
      <c r="C40" s="908" t="s">
        <v>13</v>
      </c>
      <c r="D40" s="942" t="s">
        <v>598</v>
      </c>
      <c r="E40" s="938"/>
      <c r="F40" s="938"/>
      <c r="G40" s="939">
        <f t="shared" si="4"/>
        <v>0</v>
      </c>
      <c r="H40" s="943" t="s">
        <v>635</v>
      </c>
      <c r="I40" s="1383"/>
      <c r="J40" s="940">
        <f t="shared" si="22"/>
        <v>12</v>
      </c>
      <c r="K40" s="941">
        <f t="shared" si="23"/>
        <v>1</v>
      </c>
      <c r="L40" s="1347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339">
        <v>46283</v>
      </c>
      <c r="B41" s="1340"/>
      <c r="C41" s="967" t="s">
        <v>12</v>
      </c>
      <c r="D41" s="991" t="s">
        <v>542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648</v>
      </c>
      <c r="I41" s="1378">
        <v>9</v>
      </c>
      <c r="J41" s="995">
        <f t="shared" si="22"/>
        <v>9.0833333333333339</v>
      </c>
      <c r="K41" s="996">
        <f t="shared" si="23"/>
        <v>0.75694444444444453</v>
      </c>
      <c r="L41" s="1369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339">
        <v>46283</v>
      </c>
      <c r="B42" s="1340"/>
      <c r="C42" s="967" t="s">
        <v>13</v>
      </c>
      <c r="D42" s="997" t="s">
        <v>649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650</v>
      </c>
      <c r="I42" s="1379"/>
      <c r="J42" s="995">
        <f t="shared" si="22"/>
        <v>12</v>
      </c>
      <c r="K42" s="996">
        <f t="shared" si="23"/>
        <v>1</v>
      </c>
      <c r="L42" s="1369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339">
        <v>46284</v>
      </c>
      <c r="B43" s="1340"/>
      <c r="C43" s="967" t="s">
        <v>12</v>
      </c>
      <c r="D43" s="1023" t="s">
        <v>509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650</v>
      </c>
      <c r="I43" s="1379"/>
      <c r="J43" s="995">
        <f t="shared" si="22"/>
        <v>12</v>
      </c>
      <c r="K43" s="996">
        <f t="shared" si="23"/>
        <v>1</v>
      </c>
      <c r="L43" s="1369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339">
        <v>46284</v>
      </c>
      <c r="B44" s="1340"/>
      <c r="C44" s="967" t="s">
        <v>13</v>
      </c>
      <c r="D44" s="1023" t="s">
        <v>652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651</v>
      </c>
      <c r="I44" s="1380"/>
      <c r="J44" s="995">
        <f t="shared" si="22"/>
        <v>6</v>
      </c>
      <c r="K44" s="996">
        <f t="shared" si="23"/>
        <v>0.5</v>
      </c>
      <c r="L44" s="1369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337">
        <v>46285</v>
      </c>
      <c r="B45" s="1338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654</v>
      </c>
      <c r="I45" s="1386">
        <v>10</v>
      </c>
      <c r="J45" s="940">
        <f t="shared" si="22"/>
        <v>0</v>
      </c>
      <c r="K45" s="941">
        <f t="shared" si="23"/>
        <v>0</v>
      </c>
      <c r="L45" s="1370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337">
        <v>46285</v>
      </c>
      <c r="B46" s="1338"/>
      <c r="C46" s="908" t="s">
        <v>13</v>
      </c>
      <c r="D46" s="1056" t="s">
        <v>509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657</v>
      </c>
      <c r="I46" s="1387"/>
      <c r="J46" s="940">
        <f t="shared" si="22"/>
        <v>0</v>
      </c>
      <c r="K46" s="941">
        <f t="shared" si="23"/>
        <v>0</v>
      </c>
      <c r="L46" s="1370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337">
        <v>46286</v>
      </c>
      <c r="B47" s="1338"/>
      <c r="C47" s="908" t="s">
        <v>12</v>
      </c>
      <c r="D47" s="1069" t="s">
        <v>508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666</v>
      </c>
      <c r="I47" s="1387"/>
      <c r="J47" s="940">
        <f>(720-G47)/60</f>
        <v>2.4166666666666665</v>
      </c>
      <c r="K47" s="941">
        <f t="shared" si="23"/>
        <v>0.20138888888888887</v>
      </c>
      <c r="L47" s="1370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337">
        <v>46286</v>
      </c>
      <c r="B48" s="1338"/>
      <c r="C48" s="908" t="s">
        <v>13</v>
      </c>
      <c r="D48" s="1075" t="s">
        <v>542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668</v>
      </c>
      <c r="I48" s="1387"/>
      <c r="J48" s="940">
        <f t="shared" si="22"/>
        <v>11.5</v>
      </c>
      <c r="K48" s="941">
        <f t="shared" si="23"/>
        <v>0.95833333333333337</v>
      </c>
      <c r="L48" s="1370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337">
        <v>46287</v>
      </c>
      <c r="B49" s="1338"/>
      <c r="C49" s="908" t="s">
        <v>12</v>
      </c>
      <c r="D49" s="1081" t="s">
        <v>508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691</v>
      </c>
      <c r="I49" s="1387"/>
      <c r="J49" s="940">
        <f t="shared" si="22"/>
        <v>12</v>
      </c>
      <c r="K49" s="941">
        <f t="shared" si="23"/>
        <v>1</v>
      </c>
      <c r="L49" s="1370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337">
        <v>46287</v>
      </c>
      <c r="B50" s="1338"/>
      <c r="C50" s="908" t="s">
        <v>13</v>
      </c>
      <c r="D50" s="1084" t="s">
        <v>694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695</v>
      </c>
      <c r="I50" s="1387"/>
      <c r="J50" s="940">
        <f t="shared" si="22"/>
        <v>9.25</v>
      </c>
      <c r="K50" s="941">
        <f t="shared" si="23"/>
        <v>0.77083333333333337</v>
      </c>
      <c r="L50" s="1370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337">
        <v>46288</v>
      </c>
      <c r="B51" s="1338"/>
      <c r="C51" s="908" t="s">
        <v>12</v>
      </c>
      <c r="D51" s="1099" t="s">
        <v>508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700</v>
      </c>
      <c r="I51" s="1387"/>
      <c r="J51" s="940">
        <f t="shared" si="22"/>
        <v>7.5</v>
      </c>
      <c r="K51" s="941">
        <f t="shared" si="23"/>
        <v>0.625</v>
      </c>
      <c r="L51" s="1370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337">
        <v>46288</v>
      </c>
      <c r="B52" s="1338"/>
      <c r="C52" s="908" t="s">
        <v>13</v>
      </c>
      <c r="D52" s="1099" t="s">
        <v>542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701</v>
      </c>
      <c r="I52" s="1387"/>
      <c r="J52" s="940">
        <f t="shared" si="22"/>
        <v>12</v>
      </c>
      <c r="K52" s="941">
        <f t="shared" si="23"/>
        <v>1</v>
      </c>
      <c r="L52" s="1370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337">
        <v>46289</v>
      </c>
      <c r="B53" s="1338"/>
      <c r="C53" s="908" t="s">
        <v>12</v>
      </c>
      <c r="D53" s="1099" t="s">
        <v>508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704</v>
      </c>
      <c r="I53" s="1388"/>
      <c r="J53" s="940">
        <f t="shared" si="22"/>
        <v>12</v>
      </c>
      <c r="K53" s="941">
        <f t="shared" si="23"/>
        <v>1</v>
      </c>
      <c r="L53" s="1370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">
      <c r="A54" s="1339">
        <v>46289</v>
      </c>
      <c r="B54" s="1340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705</v>
      </c>
      <c r="I54" s="1378">
        <v>11</v>
      </c>
      <c r="J54" s="995">
        <f t="shared" si="22"/>
        <v>12</v>
      </c>
      <c r="K54" s="996">
        <f t="shared" si="23"/>
        <v>1</v>
      </c>
      <c r="L54" s="1370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339">
        <v>46290</v>
      </c>
      <c r="B55" s="1340"/>
      <c r="C55" s="967" t="s">
        <v>12</v>
      </c>
      <c r="D55" s="1122" t="s">
        <v>508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709</v>
      </c>
      <c r="I55" s="1379"/>
      <c r="J55" s="995">
        <f t="shared" si="22"/>
        <v>9.3166666666666664</v>
      </c>
      <c r="K55" s="996">
        <f t="shared" si="23"/>
        <v>0.77638888888888891</v>
      </c>
      <c r="L55" s="1384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339">
        <v>46290</v>
      </c>
      <c r="B56" s="1340"/>
      <c r="C56" s="967" t="s">
        <v>13</v>
      </c>
      <c r="D56" s="1130" t="s">
        <v>741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742</v>
      </c>
      <c r="I56" s="1379"/>
      <c r="J56" s="995">
        <f t="shared" si="22"/>
        <v>0</v>
      </c>
      <c r="K56" s="996">
        <f t="shared" si="23"/>
        <v>0</v>
      </c>
      <c r="L56" s="1384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339">
        <v>46291</v>
      </c>
      <c r="B57" s="1340"/>
      <c r="C57" s="967" t="s">
        <v>12</v>
      </c>
      <c r="D57" s="1158" t="s">
        <v>542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750</v>
      </c>
      <c r="I57" s="1379"/>
      <c r="J57" s="995">
        <f t="shared" si="22"/>
        <v>0</v>
      </c>
      <c r="K57" s="996">
        <f t="shared" si="23"/>
        <v>0</v>
      </c>
      <c r="L57" s="1384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8" customHeight="1" x14ac:dyDescent="0.3">
      <c r="A58" s="1339">
        <v>46291</v>
      </c>
      <c r="B58" s="1340"/>
      <c r="C58" s="967" t="s">
        <v>13</v>
      </c>
      <c r="D58" s="1158" t="s">
        <v>508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751</v>
      </c>
      <c r="I58" s="1380"/>
      <c r="J58" s="995">
        <f t="shared" si="22"/>
        <v>0</v>
      </c>
      <c r="K58" s="996">
        <f t="shared" si="23"/>
        <v>0</v>
      </c>
      <c r="L58" s="1384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337">
        <v>46292</v>
      </c>
      <c r="B59" s="1338"/>
      <c r="C59" s="908" t="s">
        <v>12</v>
      </c>
      <c r="D59" s="1161" t="s">
        <v>542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750</v>
      </c>
      <c r="I59" s="1386">
        <v>12</v>
      </c>
      <c r="J59" s="940">
        <f t="shared" si="22"/>
        <v>8</v>
      </c>
      <c r="K59" s="941">
        <f t="shared" si="23"/>
        <v>0.66666666666666663</v>
      </c>
      <c r="L59" s="1385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337">
        <v>46292</v>
      </c>
      <c r="B60" s="1338"/>
      <c r="C60" s="908" t="s">
        <v>13</v>
      </c>
      <c r="D60" s="1161" t="s">
        <v>508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752</v>
      </c>
      <c r="I60" s="1387"/>
      <c r="J60" s="940">
        <f t="shared" si="22"/>
        <v>11</v>
      </c>
      <c r="K60" s="941">
        <f t="shared" si="23"/>
        <v>0.91666666666666663</v>
      </c>
      <c r="L60" s="1385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337">
        <v>46293</v>
      </c>
      <c r="B61" s="1338"/>
      <c r="C61" s="908" t="s">
        <v>12</v>
      </c>
      <c r="D61" s="1166" t="s">
        <v>741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758</v>
      </c>
      <c r="I61" s="1387"/>
      <c r="J61" s="940">
        <f t="shared" si="22"/>
        <v>12</v>
      </c>
      <c r="K61" s="941">
        <f t="shared" si="23"/>
        <v>1</v>
      </c>
      <c r="L61" s="1385">
        <f>SUM(J61:J62)/24</f>
        <v>1</v>
      </c>
      <c r="M61" s="43"/>
      <c r="Q61" s="10"/>
    </row>
    <row r="62" spans="1:20" ht="28.8" x14ac:dyDescent="0.3">
      <c r="A62" s="1337">
        <v>46293</v>
      </c>
      <c r="B62" s="1338"/>
      <c r="C62" s="908" t="s">
        <v>13</v>
      </c>
      <c r="D62" s="1166" t="s">
        <v>508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757</v>
      </c>
      <c r="I62" s="1387"/>
      <c r="J62" s="940">
        <f t="shared" si="22"/>
        <v>12</v>
      </c>
      <c r="K62" s="941">
        <f t="shared" si="23"/>
        <v>1</v>
      </c>
      <c r="L62" s="1385"/>
      <c r="N62" s="10"/>
      <c r="P62" s="10"/>
    </row>
    <row r="63" spans="1:20" x14ac:dyDescent="0.3">
      <c r="A63" s="1337">
        <v>46294</v>
      </c>
      <c r="B63" s="1338"/>
      <c r="C63" s="908" t="s">
        <v>12</v>
      </c>
      <c r="D63" s="1169" t="s">
        <v>542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759</v>
      </c>
      <c r="I63" s="1388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335">
        <v>46294</v>
      </c>
      <c r="B64" s="1336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335">
        <v>46295</v>
      </c>
      <c r="B65" s="1336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335">
        <v>46295</v>
      </c>
      <c r="B66" s="1336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335">
        <v>46296</v>
      </c>
      <c r="B67" s="1336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335">
        <v>46296</v>
      </c>
      <c r="B68" s="1336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58" t="s">
        <v>659</v>
      </c>
    </row>
    <row r="69" spans="1:19" x14ac:dyDescent="0.3">
      <c r="A69" s="1335">
        <v>46297</v>
      </c>
      <c r="B69" s="1336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335">
        <v>46297</v>
      </c>
      <c r="B70" s="1336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335">
        <v>46298</v>
      </c>
      <c r="B71" s="1336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335">
        <v>46298</v>
      </c>
      <c r="B72" s="1336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335">
        <v>46299</v>
      </c>
      <c r="B73" s="1336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339">
        <v>46299</v>
      </c>
      <c r="B74" s="1340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2"/>
        <v>10</v>
      </c>
      <c r="H74" s="1187" t="s">
        <v>771</v>
      </c>
      <c r="I74" s="1378">
        <v>13</v>
      </c>
      <c r="J74" s="995">
        <f t="shared" si="33"/>
        <v>11.833333333333334</v>
      </c>
      <c r="K74" s="996">
        <f t="shared" si="34"/>
        <v>0.98611111111111116</v>
      </c>
      <c r="L74" s="1107"/>
    </row>
    <row r="75" spans="1:19" x14ac:dyDescent="0.3">
      <c r="A75" s="1339">
        <v>46300</v>
      </c>
      <c r="B75" s="1340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2"/>
        <v>0</v>
      </c>
      <c r="H75" s="1188"/>
      <c r="I75" s="1379"/>
      <c r="J75" s="995">
        <f t="shared" si="33"/>
        <v>12</v>
      </c>
      <c r="K75" s="996">
        <f t="shared" si="34"/>
        <v>1</v>
      </c>
      <c r="L75" s="1107"/>
    </row>
    <row r="76" spans="1:19" x14ac:dyDescent="0.3">
      <c r="A76" s="1339">
        <v>46300</v>
      </c>
      <c r="B76" s="1340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2"/>
        <v>720</v>
      </c>
      <c r="H76" s="1195" t="s">
        <v>779</v>
      </c>
      <c r="I76" s="1379"/>
      <c r="J76" s="995">
        <f t="shared" si="33"/>
        <v>0</v>
      </c>
      <c r="K76" s="996">
        <f t="shared" si="34"/>
        <v>0</v>
      </c>
      <c r="L76" s="1107"/>
    </row>
    <row r="77" spans="1:19" x14ac:dyDescent="0.3">
      <c r="A77" s="1339">
        <v>46301</v>
      </c>
      <c r="B77" s="1340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5">(F77-E77)*1440</f>
        <v>720</v>
      </c>
      <c r="H77" s="1200" t="s">
        <v>781</v>
      </c>
      <c r="I77" s="1380"/>
      <c r="J77" s="995">
        <f t="shared" ref="J77:J140" si="36">(720-G77)/60</f>
        <v>0</v>
      </c>
      <c r="K77" s="996">
        <f t="shared" ref="K77:K140" si="37">J77/12</f>
        <v>0</v>
      </c>
      <c r="L77" s="1371">
        <f>SUM(J77:J78)/24</f>
        <v>0.16666666666666666</v>
      </c>
    </row>
    <row r="78" spans="1:19" x14ac:dyDescent="0.3">
      <c r="A78" s="1337">
        <v>46301</v>
      </c>
      <c r="B78" s="1338"/>
      <c r="C78" s="908" t="s">
        <v>13</v>
      </c>
      <c r="D78" s="1201"/>
      <c r="E78" s="938">
        <v>6.9444444444444447E-4</v>
      </c>
      <c r="F78" s="938">
        <v>0.33402777777777776</v>
      </c>
      <c r="G78" s="939">
        <f t="shared" si="35"/>
        <v>480</v>
      </c>
      <c r="H78" s="1202" t="s">
        <v>780</v>
      </c>
      <c r="I78" s="1386">
        <v>14</v>
      </c>
      <c r="J78" s="940">
        <f t="shared" si="36"/>
        <v>4</v>
      </c>
      <c r="K78" s="941">
        <f t="shared" si="37"/>
        <v>0.33333333333333331</v>
      </c>
      <c r="L78" s="1372"/>
    </row>
    <row r="79" spans="1:19" ht="28.8" x14ac:dyDescent="0.3">
      <c r="A79" s="1337">
        <v>46302</v>
      </c>
      <c r="B79" s="1338"/>
      <c r="C79" s="908" t="s">
        <v>12</v>
      </c>
      <c r="D79" s="1212" t="s">
        <v>786</v>
      </c>
      <c r="E79" s="938">
        <v>6.9444444444444447E-4</v>
      </c>
      <c r="F79" s="938">
        <v>6.9444444444444447E-4</v>
      </c>
      <c r="G79" s="939">
        <f t="shared" si="35"/>
        <v>0</v>
      </c>
      <c r="H79" s="1211" t="s">
        <v>784</v>
      </c>
      <c r="I79" s="1387"/>
      <c r="J79" s="940">
        <f t="shared" si="36"/>
        <v>12</v>
      </c>
      <c r="K79" s="941">
        <f t="shared" si="37"/>
        <v>1</v>
      </c>
      <c r="L79" s="1373">
        <f>SUM(J79:J80)/24</f>
        <v>0.98611111111111105</v>
      </c>
    </row>
    <row r="80" spans="1:19" x14ac:dyDescent="0.3">
      <c r="A80" s="1337">
        <v>46302</v>
      </c>
      <c r="B80" s="1338"/>
      <c r="C80" s="908" t="s">
        <v>13</v>
      </c>
      <c r="D80" s="1212" t="s">
        <v>787</v>
      </c>
      <c r="E80" s="938">
        <v>6.9444444444444447E-4</v>
      </c>
      <c r="F80" s="938">
        <v>1.4583333333333334E-2</v>
      </c>
      <c r="G80" s="939">
        <f t="shared" si="35"/>
        <v>20</v>
      </c>
      <c r="H80" s="1210" t="s">
        <v>785</v>
      </c>
      <c r="I80" s="1388"/>
      <c r="J80" s="940">
        <f t="shared" si="36"/>
        <v>11.666666666666666</v>
      </c>
      <c r="K80" s="941">
        <f t="shared" si="37"/>
        <v>0.97222222222222221</v>
      </c>
      <c r="L80" s="1374"/>
    </row>
    <row r="81" spans="1:12" x14ac:dyDescent="0.3">
      <c r="A81" s="1635">
        <v>46303</v>
      </c>
      <c r="B81" s="1636"/>
      <c r="C81" s="1637" t="s">
        <v>12</v>
      </c>
      <c r="D81" s="1645" t="s">
        <v>786</v>
      </c>
      <c r="E81" s="1638">
        <v>6.9444444444444447E-4</v>
      </c>
      <c r="F81" s="1638">
        <v>6.9444444444444447E-4</v>
      </c>
      <c r="G81" s="1639">
        <f>(F81-E81)*1440</f>
        <v>0</v>
      </c>
      <c r="H81" s="1646" t="s">
        <v>792</v>
      </c>
      <c r="I81" s="1641">
        <v>15</v>
      </c>
      <c r="J81" s="1642">
        <f t="shared" si="36"/>
        <v>12</v>
      </c>
      <c r="K81" s="1643">
        <f t="shared" si="37"/>
        <v>1</v>
      </c>
      <c r="L81" s="1644"/>
    </row>
    <row r="82" spans="1:12" x14ac:dyDescent="0.3">
      <c r="A82" s="1635">
        <v>46303</v>
      </c>
      <c r="B82" s="1636"/>
      <c r="C82" s="1637" t="s">
        <v>13</v>
      </c>
      <c r="D82" s="1645" t="s">
        <v>793</v>
      </c>
      <c r="E82" s="1638">
        <v>6.9444444444444447E-4</v>
      </c>
      <c r="F82" s="1638">
        <v>2.1527777777777778E-2</v>
      </c>
      <c r="G82" s="1639">
        <f>(F82-E82)*1440</f>
        <v>30</v>
      </c>
      <c r="H82" s="1646" t="s">
        <v>794</v>
      </c>
      <c r="I82" s="1641">
        <v>15</v>
      </c>
      <c r="J82" s="1642">
        <f t="shared" si="36"/>
        <v>11.5</v>
      </c>
      <c r="K82" s="1643">
        <f t="shared" si="37"/>
        <v>0.95833333333333337</v>
      </c>
      <c r="L82" s="1644"/>
    </row>
    <row r="83" spans="1:12" x14ac:dyDescent="0.3">
      <c r="A83" s="1635">
        <v>46304</v>
      </c>
      <c r="B83" s="1636"/>
      <c r="C83" s="1637" t="s">
        <v>12</v>
      </c>
      <c r="D83" s="1645" t="s">
        <v>795</v>
      </c>
      <c r="E83" s="1638">
        <v>6.9444444444444447E-4</v>
      </c>
      <c r="F83" s="1647">
        <v>8.4027777777777785E-2</v>
      </c>
      <c r="G83" s="1639">
        <f t="shared" si="35"/>
        <v>120.00000000000001</v>
      </c>
      <c r="H83" s="1640"/>
      <c r="I83" s="1641">
        <v>15</v>
      </c>
      <c r="J83" s="1642">
        <f t="shared" si="36"/>
        <v>10</v>
      </c>
      <c r="K83" s="1643">
        <f t="shared" si="37"/>
        <v>0.83333333333333337</v>
      </c>
      <c r="L83" s="1644"/>
    </row>
    <row r="84" spans="1:12" x14ac:dyDescent="0.3">
      <c r="A84" s="1335">
        <v>46304</v>
      </c>
      <c r="B84" s="1336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6"/>
    </row>
    <row r="85" spans="1:12" x14ac:dyDescent="0.3">
      <c r="A85" s="1335">
        <v>46305</v>
      </c>
      <c r="B85" s="1336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6"/>
    </row>
    <row r="86" spans="1:12" x14ac:dyDescent="0.3">
      <c r="A86" s="1335">
        <v>46305</v>
      </c>
      <c r="B86" s="1336"/>
      <c r="C86" s="36" t="s">
        <v>13</v>
      </c>
      <c r="D86" s="65"/>
      <c r="E86" s="67"/>
      <c r="F86" s="67"/>
      <c r="G86" s="496">
        <f t="shared" si="35"/>
        <v>0</v>
      </c>
      <c r="H86" s="436"/>
      <c r="I86" s="417"/>
      <c r="J86" s="418">
        <f t="shared" si="36"/>
        <v>12</v>
      </c>
      <c r="K86" s="811">
        <f t="shared" si="37"/>
        <v>1</v>
      </c>
      <c r="L86" s="6"/>
    </row>
    <row r="87" spans="1:12" x14ac:dyDescent="0.3">
      <c r="A87" s="1335">
        <v>46306</v>
      </c>
      <c r="B87" s="1336"/>
      <c r="C87" s="36" t="s">
        <v>12</v>
      </c>
      <c r="D87" s="65"/>
      <c r="E87" s="67"/>
      <c r="F87" s="67"/>
      <c r="G87" s="496">
        <f t="shared" si="35"/>
        <v>0</v>
      </c>
      <c r="H87" s="436"/>
      <c r="I87" s="417"/>
      <c r="J87" s="418">
        <f t="shared" si="36"/>
        <v>12</v>
      </c>
      <c r="K87" s="811">
        <f t="shared" si="37"/>
        <v>1</v>
      </c>
      <c r="L87" s="6"/>
    </row>
    <row r="88" spans="1:12" x14ac:dyDescent="0.3">
      <c r="A88" s="1335">
        <v>46306</v>
      </c>
      <c r="B88" s="1336"/>
      <c r="C88" s="36" t="s">
        <v>13</v>
      </c>
      <c r="D88" s="65"/>
      <c r="E88" s="67"/>
      <c r="F88" s="67"/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6"/>
    </row>
    <row r="89" spans="1:12" x14ac:dyDescent="0.3">
      <c r="A89" s="1335">
        <v>46307</v>
      </c>
      <c r="B89" s="1336"/>
      <c r="C89" s="36" t="s">
        <v>12</v>
      </c>
      <c r="D89" s="65"/>
      <c r="E89" s="67"/>
      <c r="F89" s="67"/>
      <c r="G89" s="496">
        <f t="shared" si="35"/>
        <v>0</v>
      </c>
      <c r="H89" s="436"/>
      <c r="I89" s="417"/>
      <c r="J89" s="418">
        <f t="shared" si="36"/>
        <v>12</v>
      </c>
      <c r="K89" s="811">
        <f t="shared" si="37"/>
        <v>1</v>
      </c>
      <c r="L89" s="6"/>
    </row>
    <row r="90" spans="1:12" x14ac:dyDescent="0.3">
      <c r="A90" s="1335">
        <v>46307</v>
      </c>
      <c r="B90" s="1336"/>
      <c r="C90" s="36" t="s">
        <v>13</v>
      </c>
      <c r="D90" s="65"/>
      <c r="E90" s="67"/>
      <c r="F90" s="67"/>
      <c r="G90" s="496">
        <f t="shared" si="35"/>
        <v>0</v>
      </c>
      <c r="H90" s="436"/>
      <c r="I90" s="417"/>
      <c r="J90" s="418">
        <f t="shared" si="36"/>
        <v>12</v>
      </c>
      <c r="K90" s="811">
        <f t="shared" si="37"/>
        <v>1</v>
      </c>
      <c r="L90" s="6"/>
    </row>
    <row r="91" spans="1:12" x14ac:dyDescent="0.3">
      <c r="A91" s="1335">
        <v>46308</v>
      </c>
      <c r="B91" s="1336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6"/>
    </row>
    <row r="92" spans="1:12" x14ac:dyDescent="0.3">
      <c r="A92" s="1335">
        <v>46308</v>
      </c>
      <c r="B92" s="1336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6"/>
    </row>
    <row r="93" spans="1:12" x14ac:dyDescent="0.3">
      <c r="A93" s="1335">
        <v>46309</v>
      </c>
      <c r="B93" s="1336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335">
        <v>46309</v>
      </c>
      <c r="B94" s="1336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335">
        <v>46310</v>
      </c>
      <c r="B95" s="1336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335">
        <v>46310</v>
      </c>
      <c r="B96" s="1336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335">
        <v>46311</v>
      </c>
      <c r="B97" s="1336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335">
        <v>46311</v>
      </c>
      <c r="B98" s="1336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335">
        <v>46312</v>
      </c>
      <c r="B99" s="1336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335">
        <v>46312</v>
      </c>
      <c r="B100" s="1336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335">
        <v>46313</v>
      </c>
      <c r="B101" s="1336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335">
        <v>46313</v>
      </c>
      <c r="B102" s="1336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335">
        <v>46314</v>
      </c>
      <c r="B103" s="1336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335">
        <v>46314</v>
      </c>
      <c r="B104" s="1336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335">
        <v>46315</v>
      </c>
      <c r="B105" s="1336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335">
        <v>46315</v>
      </c>
      <c r="B106" s="1336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335">
        <v>46316</v>
      </c>
      <c r="B107" s="1336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335">
        <v>46316</v>
      </c>
      <c r="B108" s="1336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335">
        <v>46317</v>
      </c>
      <c r="B109" s="1336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335">
        <v>46317</v>
      </c>
      <c r="B110" s="1336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335">
        <v>46318</v>
      </c>
      <c r="B111" s="1336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335">
        <v>46318</v>
      </c>
      <c r="B112" s="1336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335">
        <v>46319</v>
      </c>
      <c r="B113" s="1336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335">
        <v>46319</v>
      </c>
      <c r="B114" s="1336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335">
        <v>46320</v>
      </c>
      <c r="B115" s="1336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335">
        <v>46320</v>
      </c>
      <c r="B116" s="1336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335">
        <v>46321</v>
      </c>
      <c r="B117" s="1336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335">
        <v>46321</v>
      </c>
      <c r="B118" s="1336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335">
        <v>46322</v>
      </c>
      <c r="B119" s="1336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335">
        <v>46322</v>
      </c>
      <c r="B120" s="1336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335">
        <v>46323</v>
      </c>
      <c r="B121" s="1336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335">
        <v>46323</v>
      </c>
      <c r="B122" s="1336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335">
        <v>46324</v>
      </c>
      <c r="B123" s="1336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335">
        <v>46324</v>
      </c>
      <c r="B124" s="1336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335">
        <v>46325</v>
      </c>
      <c r="B125" s="1336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335">
        <v>46325</v>
      </c>
      <c r="B126" s="1336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335">
        <v>46351</v>
      </c>
      <c r="B127" s="1336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335">
        <v>46352</v>
      </c>
      <c r="B128" s="1336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335">
        <v>46353</v>
      </c>
      <c r="B129" s="1336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335">
        <v>46354</v>
      </c>
      <c r="B130" s="1336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335">
        <v>46355</v>
      </c>
      <c r="B131" s="1336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335">
        <v>46356</v>
      </c>
      <c r="B132" s="1336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335">
        <v>46357</v>
      </c>
      <c r="B133" s="1336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335">
        <v>46358</v>
      </c>
      <c r="B134" s="1336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335">
        <v>46359</v>
      </c>
      <c r="B135" s="1336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335">
        <v>46360</v>
      </c>
      <c r="B136" s="1336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335">
        <v>46361</v>
      </c>
      <c r="B137" s="1336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335">
        <v>46362</v>
      </c>
      <c r="B138" s="1336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335">
        <v>46363</v>
      </c>
      <c r="B139" s="1336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335">
        <v>46364</v>
      </c>
      <c r="B140" s="1336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335">
        <v>46365</v>
      </c>
      <c r="B141" s="1336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335">
        <v>46366</v>
      </c>
      <c r="B142" s="1336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335">
        <v>46367</v>
      </c>
      <c r="B143" s="1336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335">
        <v>46368</v>
      </c>
      <c r="B144" s="1336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335">
        <v>46369</v>
      </c>
      <c r="B145" s="1336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335">
        <v>46370</v>
      </c>
      <c r="B146" s="1336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335">
        <v>46371</v>
      </c>
      <c r="B147" s="1336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335">
        <v>46372</v>
      </c>
      <c r="B148" s="1336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335">
        <v>46373</v>
      </c>
      <c r="B149" s="1336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335">
        <v>46374</v>
      </c>
      <c r="B150" s="1336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335">
        <v>46375</v>
      </c>
      <c r="B151" s="1336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335">
        <v>46376</v>
      </c>
      <c r="B152" s="1336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335">
        <v>46377</v>
      </c>
      <c r="B153" s="1336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335">
        <v>46378</v>
      </c>
      <c r="B154" s="1336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335">
        <v>46379</v>
      </c>
      <c r="B155" s="1336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335">
        <v>46380</v>
      </c>
      <c r="B156" s="1336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335">
        <v>46381</v>
      </c>
      <c r="B157" s="1336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335">
        <v>46382</v>
      </c>
      <c r="B158" s="1336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335">
        <v>46383</v>
      </c>
      <c r="B159" s="1336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335">
        <v>46384</v>
      </c>
      <c r="B160" s="1336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335">
        <v>46385</v>
      </c>
      <c r="B161" s="1336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335">
        <v>46386</v>
      </c>
      <c r="B162" s="1336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335">
        <v>46387</v>
      </c>
      <c r="B163" s="1336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335">
        <v>46388</v>
      </c>
      <c r="B164" s="1336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335">
        <v>46389</v>
      </c>
      <c r="B165" s="1336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335">
        <v>46390</v>
      </c>
      <c r="B166" s="1336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335">
        <v>46391</v>
      </c>
      <c r="B167" s="1336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335">
        <v>46392</v>
      </c>
      <c r="B168" s="1336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335">
        <v>46393</v>
      </c>
      <c r="B169" s="1336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335">
        <v>46394</v>
      </c>
      <c r="B170" s="1336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335">
        <v>46395</v>
      </c>
      <c r="B171" s="1336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335">
        <v>46396</v>
      </c>
      <c r="B172" s="1336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335">
        <v>46397</v>
      </c>
      <c r="B173" s="1336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335">
        <v>46398</v>
      </c>
      <c r="B174" s="1336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335">
        <v>46399</v>
      </c>
      <c r="B175" s="1336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335">
        <v>46400</v>
      </c>
      <c r="B176" s="1336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335">
        <v>46401</v>
      </c>
      <c r="B177" s="1336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335">
        <v>46402</v>
      </c>
      <c r="B178" s="1336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335">
        <v>46403</v>
      </c>
      <c r="B179" s="1336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22"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4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topLeftCell="A5" zoomScale="85" zoomScaleNormal="85" workbookViewId="0">
      <selection activeCell="J19" sqref="J19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93" t="s">
        <v>70</v>
      </c>
      <c r="C3" s="1393" t="s">
        <v>288</v>
      </c>
      <c r="D3" s="1393" t="s">
        <v>289</v>
      </c>
      <c r="E3" s="220" t="s">
        <v>292</v>
      </c>
      <c r="F3" s="220" t="s">
        <v>293</v>
      </c>
      <c r="G3" s="1249" t="s">
        <v>252</v>
      </c>
      <c r="H3" s="1250"/>
      <c r="I3" s="1250"/>
      <c r="J3" s="1251"/>
      <c r="K3" s="1403" t="s">
        <v>259</v>
      </c>
    </row>
    <row r="4" spans="2:20" x14ac:dyDescent="0.3">
      <c r="B4" s="1394"/>
      <c r="C4" s="1394"/>
      <c r="D4" s="1394"/>
      <c r="E4" s="221" t="s">
        <v>54</v>
      </c>
      <c r="F4" s="221" t="s">
        <v>294</v>
      </c>
      <c r="G4" s="1249" t="s">
        <v>265</v>
      </c>
      <c r="H4" s="1250"/>
      <c r="I4" s="1251"/>
      <c r="J4" s="131" t="s">
        <v>258</v>
      </c>
      <c r="K4" s="1403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395"/>
      <c r="C5" s="1395"/>
      <c r="D5" s="1395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03"/>
      <c r="O5" s="482" t="s">
        <v>480</v>
      </c>
      <c r="P5" s="1404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405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405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406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400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401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401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402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321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322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322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322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322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6"/>
      <c r="F18" s="6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482</v>
      </c>
      <c r="P18" s="1323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7" t="s">
        <v>533</v>
      </c>
      <c r="P19" s="1400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7" t="s">
        <v>534</v>
      </c>
      <c r="P20" s="1401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7" t="s">
        <v>535</v>
      </c>
      <c r="P21" s="1401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7" t="s">
        <v>480</v>
      </c>
      <c r="P22" s="1401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7" t="s">
        <v>481</v>
      </c>
      <c r="P23" s="1401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7" t="s">
        <v>482</v>
      </c>
      <c r="P24" s="1401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401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401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402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314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315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315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315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315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399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400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401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401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401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401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401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401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401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402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451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451">
        <v>7</v>
      </c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451">
        <v>7</v>
      </c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451">
        <v>7</v>
      </c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451">
        <v>7</v>
      </c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451">
        <v>7</v>
      </c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482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482">
        <v>8</v>
      </c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482">
        <v>8</v>
      </c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482">
        <v>8</v>
      </c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482">
        <v>8</v>
      </c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482">
        <v>8</v>
      </c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482">
        <v>8</v>
      </c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482">
        <v>8</v>
      </c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482">
        <v>8</v>
      </c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331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316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316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316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316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316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316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316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316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317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314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534</v>
      </c>
      <c r="P69" s="1315"/>
      <c r="Q69" s="896">
        <v>46290</v>
      </c>
      <c r="R69" s="615"/>
      <c r="S69" s="615"/>
      <c r="T69" s="615"/>
    </row>
    <row r="70" spans="15:20" x14ac:dyDescent="0.3">
      <c r="O70" s="482" t="s">
        <v>535</v>
      </c>
      <c r="P70" s="1315"/>
      <c r="Q70" s="896">
        <v>46290</v>
      </c>
      <c r="R70" s="615"/>
      <c r="S70" s="615"/>
      <c r="T70" s="615"/>
    </row>
    <row r="71" spans="15:20" x14ac:dyDescent="0.3">
      <c r="O71" s="579" t="s">
        <v>480</v>
      </c>
      <c r="P71" s="1315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315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315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315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315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315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315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315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399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396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397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397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397"/>
      <c r="Q83" s="953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397"/>
      <c r="Q84" s="953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397"/>
      <c r="Q85" s="953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397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397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397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397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397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397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397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397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397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397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397"/>
      <c r="Q96" s="953">
        <v>46294</v>
      </c>
      <c r="R96" s="452">
        <v>0.15</v>
      </c>
      <c r="S96" s="452">
        <v>0.61</v>
      </c>
      <c r="T96" s="452">
        <v>18.34</v>
      </c>
    </row>
    <row r="97" spans="15:20" x14ac:dyDescent="0.3">
      <c r="O97" s="451" t="s">
        <v>482</v>
      </c>
      <c r="P97" s="1397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0" x14ac:dyDescent="0.3">
      <c r="O98" s="451" t="s">
        <v>533</v>
      </c>
      <c r="P98" s="1397"/>
      <c r="Q98" s="953">
        <v>46295</v>
      </c>
      <c r="R98" s="452">
        <v>0.121</v>
      </c>
      <c r="S98" s="452">
        <v>1.05</v>
      </c>
      <c r="T98" s="452">
        <v>16.78</v>
      </c>
    </row>
    <row r="99" spans="15:20" x14ac:dyDescent="0.3">
      <c r="O99" s="451" t="s">
        <v>534</v>
      </c>
      <c r="P99" s="1397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0" x14ac:dyDescent="0.3">
      <c r="O100" s="451" t="s">
        <v>535</v>
      </c>
      <c r="P100" s="1398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0" x14ac:dyDescent="0.3">
      <c r="O101" s="482" t="s">
        <v>533</v>
      </c>
      <c r="P101" s="13"/>
      <c r="Q101" s="62">
        <v>46297</v>
      </c>
      <c r="R101" s="6">
        <v>0.33200000000000002</v>
      </c>
      <c r="S101" s="6">
        <v>1.1200000000000001</v>
      </c>
      <c r="T101" s="6">
        <v>19.87</v>
      </c>
    </row>
    <row r="102" spans="15:20" x14ac:dyDescent="0.3">
      <c r="O102" s="482" t="s">
        <v>534</v>
      </c>
      <c r="P102" s="13"/>
      <c r="Q102" s="62">
        <v>46297</v>
      </c>
      <c r="R102" s="6">
        <v>0.36199999999999999</v>
      </c>
      <c r="S102" s="6">
        <v>1.19</v>
      </c>
      <c r="T102" s="6">
        <v>19.84</v>
      </c>
    </row>
    <row r="103" spans="15:20" x14ac:dyDescent="0.3">
      <c r="O103" s="482" t="s">
        <v>535</v>
      </c>
      <c r="P103" s="13"/>
      <c r="Q103" s="62">
        <v>46297</v>
      </c>
      <c r="R103" s="6">
        <v>0.32400000000000001</v>
      </c>
      <c r="S103" s="6">
        <v>1.04</v>
      </c>
      <c r="T103" s="6">
        <v>19.920000000000002</v>
      </c>
    </row>
    <row r="104" spans="15:20" x14ac:dyDescent="0.3">
      <c r="O104" s="579" t="s">
        <v>480</v>
      </c>
      <c r="P104" s="13"/>
      <c r="Q104" s="62">
        <v>46297</v>
      </c>
      <c r="R104" s="6">
        <v>0.153</v>
      </c>
      <c r="S104" s="6">
        <v>0.72</v>
      </c>
      <c r="T104" s="6"/>
    </row>
    <row r="105" spans="15:20" x14ac:dyDescent="0.3">
      <c r="O105" s="579" t="s">
        <v>481</v>
      </c>
      <c r="P105" s="13"/>
      <c r="Q105" s="62">
        <v>46297</v>
      </c>
      <c r="R105" s="6">
        <v>0.115</v>
      </c>
      <c r="S105" s="6">
        <v>0.83</v>
      </c>
      <c r="T105" s="6"/>
    </row>
    <row r="106" spans="15:20" x14ac:dyDescent="0.3">
      <c r="O106" s="579" t="s">
        <v>482</v>
      </c>
      <c r="P106" s="13"/>
      <c r="Q106" s="62">
        <v>46297</v>
      </c>
      <c r="R106" s="6">
        <v>0.115</v>
      </c>
      <c r="S106" s="6">
        <v>0.74</v>
      </c>
      <c r="T106" s="6"/>
    </row>
    <row r="107" spans="15:20" x14ac:dyDescent="0.3">
      <c r="O107" s="451" t="s">
        <v>533</v>
      </c>
      <c r="P107" s="1390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0" x14ac:dyDescent="0.3">
      <c r="O108" s="451" t="s">
        <v>534</v>
      </c>
      <c r="P108" s="1391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0" x14ac:dyDescent="0.3">
      <c r="O109" s="451" t="s">
        <v>535</v>
      </c>
      <c r="P109" s="1391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0" x14ac:dyDescent="0.3">
      <c r="O110" s="451" t="s">
        <v>480</v>
      </c>
      <c r="P110" s="1391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0" x14ac:dyDescent="0.3">
      <c r="O111" s="451" t="s">
        <v>481</v>
      </c>
      <c r="P111" s="1391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0" x14ac:dyDescent="0.3">
      <c r="O112" s="451" t="s">
        <v>482</v>
      </c>
      <c r="P112" s="1392"/>
      <c r="Q112" s="953">
        <v>46302</v>
      </c>
      <c r="R112" s="452">
        <v>0.129</v>
      </c>
      <c r="S112" s="452">
        <v>0.27</v>
      </c>
      <c r="T112" s="452">
        <v>12.32</v>
      </c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6">
    <mergeCell ref="P107:P112"/>
    <mergeCell ref="B3:B5"/>
    <mergeCell ref="C3:C5"/>
    <mergeCell ref="D3:D5"/>
    <mergeCell ref="G3:J3"/>
    <mergeCell ref="G4:I4"/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94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14" zoomScale="89" workbookViewId="0">
      <selection activeCell="F53" sqref="F53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17" t="s">
        <v>562</v>
      </c>
      <c r="C2" s="1217"/>
      <c r="D2" s="1217"/>
      <c r="E2" s="1217"/>
      <c r="F2" s="1217"/>
      <c r="G2" s="1217"/>
      <c r="H2" s="1217"/>
      <c r="J2" s="1217" t="s">
        <v>563</v>
      </c>
      <c r="K2" s="1217"/>
      <c r="L2" s="1217"/>
      <c r="M2" s="1217"/>
      <c r="N2" s="1217"/>
      <c r="O2" s="1217"/>
      <c r="P2" s="1217"/>
      <c r="R2" s="1407" t="s">
        <v>564</v>
      </c>
      <c r="S2" s="1409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1648" t="s">
        <v>568</v>
      </c>
      <c r="O3" s="14" t="s">
        <v>559</v>
      </c>
      <c r="P3" s="383" t="s">
        <v>569</v>
      </c>
      <c r="R3" s="954" t="s">
        <v>565</v>
      </c>
      <c r="S3" s="955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07" t="s">
        <v>567</v>
      </c>
      <c r="S10" s="1408"/>
      <c r="T10" s="1409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410">
        <f>SUM(P4:P234,H4:H233)</f>
        <v>4419.42</v>
      </c>
      <c r="S11" s="1411"/>
      <c r="T11" s="1412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14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14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14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14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13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13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13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13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13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13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413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13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13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13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13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9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3" si="14">N48*(1-O48)</f>
        <v>113.76</v>
      </c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8">
        <f t="shared" si="7"/>
        <v>0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8">
        <f t="shared" si="7"/>
        <v>0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8">
        <f t="shared" si="7"/>
        <v>0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"/>
      <c r="L56" s="13" t="s">
        <v>12</v>
      </c>
      <c r="M56" s="13"/>
      <c r="N56" s="233">
        <f t="shared" si="12"/>
        <v>0</v>
      </c>
      <c r="O56" s="13"/>
      <c r="P56" s="13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"/>
      <c r="L57" s="13" t="s">
        <v>13</v>
      </c>
      <c r="M57" s="13"/>
      <c r="N57" s="233">
        <f t="shared" si="12"/>
        <v>0</v>
      </c>
      <c r="O57" s="13"/>
      <c r="P57" s="13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"/>
      <c r="L58" s="13" t="s">
        <v>12</v>
      </c>
      <c r="M58" s="13"/>
      <c r="N58" s="233">
        <f t="shared" si="12"/>
        <v>0</v>
      </c>
      <c r="O58" s="13"/>
      <c r="P58" s="13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233">
        <f t="shared" si="12"/>
        <v>0</v>
      </c>
      <c r="O59" s="13"/>
      <c r="P59" s="13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233"/>
      <c r="O60" s="13"/>
      <c r="P60" s="13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233"/>
      <c r="O61" s="13"/>
      <c r="P61" s="13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233"/>
      <c r="O62" s="13"/>
      <c r="P62" s="13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/>
      <c r="O63" s="13"/>
      <c r="P63" s="13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/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7"/>
  <sheetViews>
    <sheetView zoomScale="72" zoomScaleNormal="85" workbookViewId="0">
      <pane ySplit="4" topLeftCell="A65" activePane="bottomLeft" state="frozen"/>
      <selection pane="bottomLeft" activeCell="I110" sqref="I110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219" t="s">
        <v>32</v>
      </c>
      <c r="I2" s="1219"/>
      <c r="J2" s="1219"/>
      <c r="K2" s="1219"/>
    </row>
    <row r="3" spans="1:92" ht="15" thickBot="1" x14ac:dyDescent="0.35"/>
    <row r="4" spans="1:92" ht="29.4" thickBot="1" x14ac:dyDescent="0.35">
      <c r="A4" s="585" t="s">
        <v>544</v>
      </c>
      <c r="B4" s="1440" t="s">
        <v>0</v>
      </c>
      <c r="C4" s="1441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583</v>
      </c>
      <c r="AB4" s="923" t="s">
        <v>512</v>
      </c>
      <c r="AC4" s="721" t="s">
        <v>580</v>
      </c>
    </row>
    <row r="5" spans="1:92" ht="30.6" customHeight="1" thickBot="1" x14ac:dyDescent="0.35">
      <c r="A5" s="1656">
        <v>1</v>
      </c>
      <c r="B5" s="1346">
        <v>46265</v>
      </c>
      <c r="C5" s="1346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443">
        <f>SUM(M5:M6)</f>
        <v>95.90021999999999</v>
      </c>
      <c r="O5" s="553">
        <f t="shared" ref="O5:O11" si="1">M5/((720-R5)/60)</f>
        <v>2.8865657961661344</v>
      </c>
      <c r="P5" s="1443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52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481" t="s">
        <v>38</v>
      </c>
      <c r="AH5" s="1482"/>
      <c r="AI5" s="1482"/>
      <c r="AJ5" s="1483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656"/>
      <c r="B6" s="1346"/>
      <c r="C6" s="1346"/>
      <c r="D6" s="741" t="s">
        <v>441</v>
      </c>
      <c r="E6" s="741" t="s">
        <v>439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443"/>
      <c r="O6" s="553">
        <f t="shared" si="1"/>
        <v>5.4819764049999984</v>
      </c>
      <c r="P6" s="1443"/>
      <c r="Q6" s="553">
        <f t="shared" si="2"/>
        <v>720</v>
      </c>
      <c r="R6" s="553">
        <f>'Milling Down Time Hours'!G6</f>
        <v>0</v>
      </c>
      <c r="S6" s="1452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1225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656"/>
      <c r="B7" s="1346">
        <v>46266</v>
      </c>
      <c r="C7" s="1346"/>
      <c r="D7" s="741" t="s">
        <v>440</v>
      </c>
      <c r="E7" s="741" t="s">
        <v>439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443">
        <f>SUM(M7:M8)</f>
        <v>196.41338000000002</v>
      </c>
      <c r="O7" s="553">
        <f t="shared" si="1"/>
        <v>6.5721821250000003</v>
      </c>
      <c r="P7" s="1443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52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56"/>
      <c r="B8" s="1346"/>
      <c r="C8" s="1346"/>
      <c r="D8" s="742" t="s">
        <v>441</v>
      </c>
      <c r="E8" s="742" t="s">
        <v>442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443"/>
      <c r="O8" s="553">
        <f t="shared" si="1"/>
        <v>10.78414628440367</v>
      </c>
      <c r="P8" s="1443"/>
      <c r="Q8" s="553">
        <f t="shared" si="2"/>
        <v>654</v>
      </c>
      <c r="R8" s="553">
        <f>'Milling Down Time Hours'!G8</f>
        <v>66</v>
      </c>
      <c r="S8" s="1452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57">
        <v>2</v>
      </c>
      <c r="B9" s="1342">
        <v>46267</v>
      </c>
      <c r="C9" s="1342"/>
      <c r="D9" s="743" t="s">
        <v>440</v>
      </c>
      <c r="E9" s="743" t="s">
        <v>445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449">
        <f>SUM(M9:M10)</f>
        <v>209.804</v>
      </c>
      <c r="O9" s="485">
        <f t="shared" si="1"/>
        <v>10.565099999999999</v>
      </c>
      <c r="P9" s="1449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456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57"/>
      <c r="B10" s="1342"/>
      <c r="C10" s="1342"/>
      <c r="D10" s="743" t="s">
        <v>444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449"/>
      <c r="O10" s="485">
        <f t="shared" si="1"/>
        <v>8.6794166666666666</v>
      </c>
      <c r="P10" s="1449"/>
      <c r="Q10" s="485">
        <f t="shared" si="2"/>
        <v>720</v>
      </c>
      <c r="R10" s="932">
        <f>'Milling Down Time Hours'!G10</f>
        <v>0</v>
      </c>
      <c r="S10" s="1456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57"/>
      <c r="B11" s="1342">
        <v>46268</v>
      </c>
      <c r="C11" s="1342"/>
      <c r="D11" s="743" t="s">
        <v>440</v>
      </c>
      <c r="E11" s="744" t="s">
        <v>471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449">
        <f>SUM(M11:M12)</f>
        <v>90.338150000000013</v>
      </c>
      <c r="O11" s="485">
        <f t="shared" si="1"/>
        <v>7.5281791666666678</v>
      </c>
      <c r="P11" s="1449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456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0.35064935064935077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57"/>
      <c r="B12" s="1363"/>
      <c r="C12" s="1363"/>
      <c r="D12" s="787" t="s">
        <v>444</v>
      </c>
      <c r="E12" s="788" t="s">
        <v>467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461"/>
      <c r="O12" s="554"/>
      <c r="P12" s="1461"/>
      <c r="Q12" s="554">
        <f t="shared" si="2"/>
        <v>660</v>
      </c>
      <c r="R12" s="958">
        <f>'Milling Down Time Hours'!G12</f>
        <v>60.000000000000007</v>
      </c>
      <c r="S12" s="1458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429.54545454545467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58"/>
      <c r="B13" s="1462">
        <v>46269</v>
      </c>
      <c r="C13" s="1344"/>
      <c r="D13" s="1447" t="s">
        <v>484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59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795.45454545454527</v>
      </c>
      <c r="AJ13" s="726" t="s">
        <v>40</v>
      </c>
      <c r="AK13" s="7"/>
      <c r="AL13" s="1196">
        <f>1.2*9</f>
        <v>10.799999999999999</v>
      </c>
    </row>
    <row r="14" spans="1:92" ht="16.2" thickBot="1" x14ac:dyDescent="0.35">
      <c r="A14" s="1658"/>
      <c r="B14" s="1463"/>
      <c r="C14" s="1365"/>
      <c r="D14" s="1448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60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ht="28.8" x14ac:dyDescent="0.3">
      <c r="A15" s="1659"/>
      <c r="B15" s="1453">
        <v>46270</v>
      </c>
      <c r="C15" s="1453"/>
      <c r="D15" s="790"/>
      <c r="E15" s="790" t="s">
        <v>485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656">
        <v>3</v>
      </c>
      <c r="B16" s="1346">
        <v>46270</v>
      </c>
      <c r="C16" s="1346"/>
      <c r="D16" s="544" t="s">
        <v>441</v>
      </c>
      <c r="E16" s="570" t="s">
        <v>486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52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656"/>
      <c r="B17" s="1346">
        <v>46271</v>
      </c>
      <c r="C17" s="1346"/>
      <c r="D17" s="599" t="s">
        <v>441</v>
      </c>
      <c r="E17" s="599" t="s">
        <v>506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443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42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656"/>
      <c r="B18" s="1346"/>
      <c r="C18" s="1346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443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42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656"/>
      <c r="B19" s="1346">
        <v>46272</v>
      </c>
      <c r="C19" s="1346"/>
      <c r="D19" s="599" t="s">
        <v>169</v>
      </c>
      <c r="E19" s="746" t="s">
        <v>518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454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42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657">
        <v>4</v>
      </c>
      <c r="B20" s="1342">
        <v>46272</v>
      </c>
      <c r="C20" s="1342"/>
      <c r="D20" s="548" t="s">
        <v>509</v>
      </c>
      <c r="E20" s="623" t="s">
        <v>549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455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56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657"/>
      <c r="B21" s="1342">
        <v>46273</v>
      </c>
      <c r="C21" s="1342"/>
      <c r="D21" s="549" t="s">
        <v>169</v>
      </c>
      <c r="E21" s="549" t="s">
        <v>519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449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56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657"/>
      <c r="B22" s="1342"/>
      <c r="C22" s="1342"/>
      <c r="D22" s="747" t="s">
        <v>523</v>
      </c>
      <c r="E22" s="748" t="s">
        <v>529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457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56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657"/>
      <c r="B23" s="1342">
        <v>46274</v>
      </c>
      <c r="C23" s="1342"/>
      <c r="D23" s="748" t="s">
        <v>169</v>
      </c>
      <c r="E23" s="749" t="s">
        <v>521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56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8" x14ac:dyDescent="0.3">
      <c r="A24" s="1659"/>
      <c r="B24" s="1336">
        <v>46274</v>
      </c>
      <c r="C24" s="1336"/>
      <c r="D24" s="750" t="s">
        <v>523</v>
      </c>
      <c r="E24" s="751" t="s">
        <v>548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656">
        <v>5</v>
      </c>
      <c r="B25" s="1346">
        <v>46275</v>
      </c>
      <c r="C25" s="1346"/>
      <c r="D25" s="575" t="s">
        <v>169</v>
      </c>
      <c r="E25" s="576" t="s">
        <v>522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443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52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656"/>
      <c r="B26" s="1346"/>
      <c r="C26" s="1346"/>
      <c r="D26" s="577" t="s">
        <v>541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455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52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656"/>
      <c r="B27" s="1346">
        <v>46276</v>
      </c>
      <c r="C27" s="1346"/>
      <c r="D27" s="577" t="s">
        <v>540</v>
      </c>
      <c r="E27" s="838" t="s">
        <v>554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443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52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8" x14ac:dyDescent="0.3">
      <c r="A28" s="1660"/>
      <c r="B28" s="1342">
        <v>46276</v>
      </c>
      <c r="C28" s="1342"/>
      <c r="D28" s="786" t="s">
        <v>540</v>
      </c>
      <c r="E28" s="970" t="s">
        <v>582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443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56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657">
        <v>6</v>
      </c>
      <c r="B29" s="1342">
        <v>46276</v>
      </c>
      <c r="C29" s="1342"/>
      <c r="D29" s="487" t="s">
        <v>550</v>
      </c>
      <c r="E29" s="837" t="s">
        <v>547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56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657"/>
      <c r="B30" s="1342">
        <v>46277</v>
      </c>
      <c r="C30" s="1342"/>
      <c r="D30" s="623" t="s">
        <v>551</v>
      </c>
      <c r="E30" s="752" t="s">
        <v>552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449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56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657"/>
      <c r="B31" s="1342"/>
      <c r="C31" s="1342"/>
      <c r="D31" s="753" t="s">
        <v>570</v>
      </c>
      <c r="E31" s="753" t="s">
        <v>571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449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56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661"/>
      <c r="B32" s="1336">
        <v>46278</v>
      </c>
      <c r="C32" s="1336"/>
      <c r="D32" s="754" t="s">
        <v>572</v>
      </c>
      <c r="E32" s="754" t="s">
        <v>571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662"/>
      <c r="B33" s="1336">
        <v>46278</v>
      </c>
      <c r="C33" s="1336"/>
      <c r="D33" s="754" t="s">
        <v>572</v>
      </c>
      <c r="E33" s="754" t="s">
        <v>571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ht="28.8" x14ac:dyDescent="0.3">
      <c r="A34" s="1663"/>
      <c r="B34" s="1476">
        <v>46279</v>
      </c>
      <c r="C34" s="1477"/>
      <c r="D34" s="754" t="s">
        <v>572</v>
      </c>
      <c r="E34" s="754" t="s">
        <v>571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664">
        <v>7</v>
      </c>
      <c r="B35" s="1478">
        <v>46279</v>
      </c>
      <c r="C35" s="1479"/>
      <c r="D35" s="755" t="s">
        <v>169</v>
      </c>
      <c r="E35" s="756" t="s">
        <v>581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67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664"/>
      <c r="B36" s="1472">
        <v>46280</v>
      </c>
      <c r="C36" s="1473"/>
      <c r="D36" s="816" t="s">
        <v>523</v>
      </c>
      <c r="E36" s="816" t="s">
        <v>590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443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05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64"/>
      <c r="B37" s="1474"/>
      <c r="C37" s="1475"/>
      <c r="D37" s="769" t="s">
        <v>516</v>
      </c>
      <c r="E37" s="836" t="s">
        <v>630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443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06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65">
        <v>8</v>
      </c>
      <c r="B38" s="1468">
        <v>46281</v>
      </c>
      <c r="C38" s="1469"/>
      <c r="D38" s="487" t="s">
        <v>626</v>
      </c>
      <c r="E38" s="826" t="s">
        <v>592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458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458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65"/>
      <c r="B39" s="1470"/>
      <c r="C39" s="1471"/>
      <c r="D39" s="826" t="s">
        <v>598</v>
      </c>
      <c r="E39" s="826" t="s">
        <v>599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465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64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665"/>
      <c r="B40" s="1468">
        <v>46282</v>
      </c>
      <c r="C40" s="1469"/>
      <c r="D40" s="487" t="s">
        <v>626</v>
      </c>
      <c r="E40" s="919" t="s">
        <v>627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461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464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665"/>
      <c r="B41" s="1470"/>
      <c r="C41" s="1471"/>
      <c r="D41" s="944" t="s">
        <v>598</v>
      </c>
      <c r="E41" s="957" t="s">
        <v>641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480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465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66">
        <v>9</v>
      </c>
      <c r="B42" s="1430">
        <v>46283</v>
      </c>
      <c r="C42" s="1431"/>
      <c r="D42" s="667" t="s">
        <v>646</v>
      </c>
      <c r="E42" s="667" t="s">
        <v>645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422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422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666"/>
      <c r="B43" s="1432"/>
      <c r="C43" s="1433"/>
      <c r="D43" s="984" t="s">
        <v>598</v>
      </c>
      <c r="E43" s="974" t="s">
        <v>644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466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416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666"/>
      <c r="B44" s="1430">
        <v>46284</v>
      </c>
      <c r="C44" s="1431"/>
      <c r="D44" s="667" t="s">
        <v>646</v>
      </c>
      <c r="E44" s="667" t="s">
        <v>644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422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416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666"/>
      <c r="B45" s="1432"/>
      <c r="C45" s="1433"/>
      <c r="D45" s="984" t="s">
        <v>647</v>
      </c>
      <c r="E45" s="1036" t="s">
        <v>656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466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417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667">
        <v>10</v>
      </c>
      <c r="B46" s="1418">
        <v>46285</v>
      </c>
      <c r="C46" s="1419"/>
      <c r="D46" s="451" t="s">
        <v>508</v>
      </c>
      <c r="E46" s="451" t="s">
        <v>655</v>
      </c>
      <c r="F46" s="1031" t="s">
        <v>12</v>
      </c>
      <c r="G46" s="450" t="s">
        <v>684</v>
      </c>
      <c r="H46" s="932" t="s">
        <v>685</v>
      </c>
      <c r="I46" s="932" t="s">
        <v>686</v>
      </c>
      <c r="J46" s="1080" t="s">
        <v>687</v>
      </c>
      <c r="K46" s="450" t="s">
        <v>688</v>
      </c>
      <c r="L46" s="935" t="s">
        <v>689</v>
      </c>
      <c r="M46" s="1032" t="s">
        <v>690</v>
      </c>
      <c r="N46" s="1083" t="s">
        <v>693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667"/>
      <c r="B47" s="1420"/>
      <c r="C47" s="1421"/>
      <c r="D47" s="1055" t="s">
        <v>509</v>
      </c>
      <c r="E47" s="1055" t="s">
        <v>655</v>
      </c>
      <c r="F47" s="945" t="s">
        <v>13</v>
      </c>
      <c r="G47" s="932" t="s">
        <v>679</v>
      </c>
      <c r="H47" s="932" t="s">
        <v>679</v>
      </c>
      <c r="I47" s="932" t="s">
        <v>679</v>
      </c>
      <c r="J47" s="932" t="s">
        <v>679</v>
      </c>
      <c r="K47" s="932" t="s">
        <v>679</v>
      </c>
      <c r="L47" s="932" t="s">
        <v>679</v>
      </c>
      <c r="M47" s="932" t="s">
        <v>679</v>
      </c>
      <c r="N47" s="932" t="s">
        <v>679</v>
      </c>
      <c r="O47" s="932" t="s">
        <v>679</v>
      </c>
      <c r="P47" s="932" t="s">
        <v>679</v>
      </c>
      <c r="Q47" s="932" t="s">
        <v>679</v>
      </c>
      <c r="R47" s="932" t="s">
        <v>679</v>
      </c>
      <c r="S47" s="932" t="s">
        <v>679</v>
      </c>
      <c r="T47" s="932" t="s">
        <v>679</v>
      </c>
      <c r="U47" s="932" t="s">
        <v>679</v>
      </c>
      <c r="V47" s="932" t="s">
        <v>679</v>
      </c>
      <c r="W47" s="932" t="s">
        <v>679</v>
      </c>
      <c r="X47" s="932" t="s">
        <v>679</v>
      </c>
      <c r="Y47" s="932" t="s">
        <v>679</v>
      </c>
      <c r="Z47" s="932" t="s">
        <v>679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667"/>
      <c r="B48" s="1418">
        <v>46286</v>
      </c>
      <c r="C48" s="1419"/>
      <c r="D48" s="451" t="s">
        <v>508</v>
      </c>
      <c r="E48" s="451" t="s">
        <v>663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434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434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67"/>
      <c r="B49" s="1420"/>
      <c r="C49" s="1421"/>
      <c r="D49" s="1073" t="s">
        <v>541</v>
      </c>
      <c r="E49" s="1079" t="s">
        <v>681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436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444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67"/>
      <c r="B50" s="1418">
        <v>46287</v>
      </c>
      <c r="C50" s="1419"/>
      <c r="D50" s="451" t="s">
        <v>682</v>
      </c>
      <c r="E50" s="451" t="s">
        <v>683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434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444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67"/>
      <c r="B51" s="1420"/>
      <c r="C51" s="1421"/>
      <c r="D51" s="1086" t="s">
        <v>509</v>
      </c>
      <c r="E51" s="1086" t="s">
        <v>697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436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444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67"/>
      <c r="B52" s="1418">
        <v>46288</v>
      </c>
      <c r="C52" s="1419"/>
      <c r="D52" s="451" t="s">
        <v>508</v>
      </c>
      <c r="E52" s="451" t="s">
        <v>699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434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444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67"/>
      <c r="B53" s="1420"/>
      <c r="C53" s="1421"/>
      <c r="D53" s="1098" t="s">
        <v>509</v>
      </c>
      <c r="E53" s="1102" t="s">
        <v>702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436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444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663"/>
      <c r="B54" s="1423">
        <v>46289</v>
      </c>
      <c r="C54" s="1424"/>
      <c r="D54" s="451" t="s">
        <v>508</v>
      </c>
      <c r="E54" s="451" t="s">
        <v>703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434">
        <f>SUM(M54:M56)</f>
        <v>299.60957198599993</v>
      </c>
      <c r="O54" s="1434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439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663"/>
      <c r="B55" s="1450"/>
      <c r="C55" s="1451"/>
      <c r="D55" s="667" t="s">
        <v>508</v>
      </c>
      <c r="E55" s="667" t="s">
        <v>748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444"/>
      <c r="O55" s="1444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666">
        <v>11</v>
      </c>
      <c r="B56" s="1425"/>
      <c r="C56" s="1426"/>
      <c r="D56" s="1114" t="s">
        <v>541</v>
      </c>
      <c r="E56" s="1120" t="s">
        <v>707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436"/>
      <c r="O56" s="1439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422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66"/>
      <c r="B57" s="1430">
        <v>46290</v>
      </c>
      <c r="C57" s="1431"/>
      <c r="D57" s="667" t="s">
        <v>682</v>
      </c>
      <c r="E57" s="667" t="s">
        <v>708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422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416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66"/>
      <c r="B58" s="1432"/>
      <c r="C58" s="1433"/>
      <c r="D58" s="1114" t="s">
        <v>541</v>
      </c>
      <c r="E58" s="1134" t="s">
        <v>746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466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417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667">
        <v>12</v>
      </c>
      <c r="B59" s="1418">
        <v>46291</v>
      </c>
      <c r="C59" s="1419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667"/>
      <c r="B60" s="1420"/>
      <c r="C60" s="1421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667"/>
      <c r="B61" s="1418">
        <v>46292</v>
      </c>
      <c r="C61" s="1419"/>
      <c r="D61" s="451" t="s">
        <v>508</v>
      </c>
      <c r="E61" s="451" t="s">
        <v>753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434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427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667"/>
      <c r="B62" s="1420"/>
      <c r="C62" s="1421"/>
      <c r="D62" s="1164" t="s">
        <v>508</v>
      </c>
      <c r="E62" s="1164" t="s">
        <v>754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436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428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667"/>
      <c r="B63" s="1418">
        <v>46293</v>
      </c>
      <c r="C63" s="1419"/>
      <c r="D63" s="451" t="s">
        <v>541</v>
      </c>
      <c r="E63" s="451" t="s">
        <v>755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434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428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667"/>
      <c r="B64" s="1420"/>
      <c r="C64" s="1421"/>
      <c r="D64" s="1165" t="s">
        <v>756</v>
      </c>
      <c r="E64" s="1165" t="s">
        <v>755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:I65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436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428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29.4" thickBot="1" x14ac:dyDescent="0.35">
      <c r="A65" s="1668"/>
      <c r="B65" s="1430">
        <v>46294</v>
      </c>
      <c r="C65" s="1431"/>
      <c r="D65" s="451" t="s">
        <v>542</v>
      </c>
      <c r="E65" s="451" t="s">
        <v>760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 t="shared" si="57"/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422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429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29.4" thickBot="1" x14ac:dyDescent="0.35">
      <c r="A66" s="1668"/>
      <c r="B66" s="1432"/>
      <c r="C66" s="1433"/>
      <c r="D66" s="967"/>
      <c r="E66" s="1181" t="s">
        <v>766</v>
      </c>
      <c r="F66" s="968" t="s">
        <v>13</v>
      </c>
      <c r="G66" s="961"/>
      <c r="H66" s="961"/>
      <c r="I66" s="1104"/>
      <c r="J66" s="961"/>
      <c r="K66" s="961"/>
      <c r="L66" s="961"/>
      <c r="M66" s="962">
        <f t="shared" si="7"/>
        <v>0</v>
      </c>
      <c r="N66" s="1417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  <c r="AB66" s="926">
        <f t="shared" si="5"/>
        <v>0</v>
      </c>
    </row>
    <row r="67" spans="1:30" ht="29.4" thickBot="1" x14ac:dyDescent="0.35">
      <c r="A67" s="1663"/>
      <c r="B67" s="1423">
        <v>46295</v>
      </c>
      <c r="C67" s="1424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.4" thickBot="1" x14ac:dyDescent="0.35">
      <c r="A68" s="1663"/>
      <c r="B68" s="1425"/>
      <c r="C68" s="1426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492">
        <f>'Milling Down Time Hours'!L73</f>
        <v>0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.4" thickBot="1" x14ac:dyDescent="0.35">
      <c r="A69" s="1663"/>
      <c r="B69" s="1423">
        <v>46296</v>
      </c>
      <c r="C69" s="1424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493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.4" thickBot="1" x14ac:dyDescent="0.35">
      <c r="A70" s="1663"/>
      <c r="B70" s="1425"/>
      <c r="C70" s="1426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492">
        <f>'Milling Down Time Hours'!L75</f>
        <v>0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.4" thickBot="1" x14ac:dyDescent="0.35">
      <c r="A71" s="1663"/>
      <c r="B71" s="1423">
        <v>46297</v>
      </c>
      <c r="C71" s="1424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493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.4" thickBot="1" x14ac:dyDescent="0.35">
      <c r="A72" s="1663"/>
      <c r="B72" s="1425"/>
      <c r="C72" s="1426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492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.4" thickBot="1" x14ac:dyDescent="0.35">
      <c r="A73" s="1663"/>
      <c r="B73" s="1423">
        <v>46298</v>
      </c>
      <c r="C73" s="1424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493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.4" thickBot="1" x14ac:dyDescent="0.35">
      <c r="A74" s="1663"/>
      <c r="B74" s="1425"/>
      <c r="C74" s="1426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35">
      <c r="A75" s="1669">
        <v>13</v>
      </c>
      <c r="B75" s="1430">
        <v>46299</v>
      </c>
      <c r="C75" s="1431"/>
      <c r="D75" s="667" t="s">
        <v>796</v>
      </c>
      <c r="E75" s="1415" t="s">
        <v>766</v>
      </c>
      <c r="F75" s="959" t="s">
        <v>12</v>
      </c>
      <c r="G75" s="960">
        <v>0.22</v>
      </c>
      <c r="H75" s="668">
        <f>J75</f>
        <v>539.24789999999996</v>
      </c>
      <c r="I75" s="963">
        <f>H75/P75</f>
        <v>44.937324999999994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134.65020063</v>
      </c>
      <c r="N75" s="1422">
        <f>SUM(M75:M76)</f>
        <v>199.82504994374997</v>
      </c>
      <c r="O75" s="963">
        <f>M75/P75</f>
        <v>11.220850052499999</v>
      </c>
      <c r="P75" s="1190">
        <f>(720-R75)/60</f>
        <v>12</v>
      </c>
      <c r="Q75" s="1190">
        <f>720-R75</f>
        <v>720</v>
      </c>
      <c r="R75" s="1189">
        <f>'Milling Down Time Hours'!G73</f>
        <v>0</v>
      </c>
      <c r="S75" s="1422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71.319722933689988</v>
      </c>
      <c r="X75" s="963">
        <f t="shared" si="61"/>
        <v>68.2227683192</v>
      </c>
      <c r="Y75" s="963">
        <f t="shared" si="62"/>
        <v>2112.6616478846995</v>
      </c>
      <c r="Z75" s="966">
        <v>6</v>
      </c>
      <c r="AB75" s="926">
        <f t="shared" si="65"/>
        <v>178299307.33422497</v>
      </c>
    </row>
    <row r="76" spans="1:30" ht="15" thickBot="1" x14ac:dyDescent="0.35">
      <c r="A76" s="1669"/>
      <c r="B76" s="1432"/>
      <c r="C76" s="1433"/>
      <c r="D76" s="667" t="s">
        <v>796</v>
      </c>
      <c r="E76" s="1416"/>
      <c r="F76" s="968" t="s">
        <v>13</v>
      </c>
      <c r="G76" s="960">
        <v>0.25</v>
      </c>
      <c r="H76" s="668">
        <f>J76-SUM(H75)</f>
        <v>152.78690499999993</v>
      </c>
      <c r="I76" s="963">
        <f>H76/P76</f>
        <v>12.911569436619713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65.174849313749974</v>
      </c>
      <c r="N76" s="1417"/>
      <c r="O76" s="963">
        <f>M76/P76</f>
        <v>5.5077337448239412</v>
      </c>
      <c r="P76" s="1190">
        <f>(720-R76)/60</f>
        <v>11.833333333333334</v>
      </c>
      <c r="Q76" s="1190">
        <f>720-R76</f>
        <v>710</v>
      </c>
      <c r="R76" s="1189">
        <f>'Milling Down Time Hours'!G74</f>
        <v>10</v>
      </c>
      <c r="S76" s="1416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24.831617588538741</v>
      </c>
      <c r="X76" s="963">
        <f t="shared" si="61"/>
        <v>66.586971048881225</v>
      </c>
      <c r="Y76" s="963">
        <f t="shared" si="62"/>
        <v>1803.6922298082593</v>
      </c>
      <c r="Z76" s="966">
        <v>7.7</v>
      </c>
      <c r="AB76" s="926">
        <f t="shared" si="65"/>
        <v>62079043.971346855</v>
      </c>
    </row>
    <row r="77" spans="1:30" ht="15" thickBot="1" x14ac:dyDescent="0.35">
      <c r="A77" s="1669"/>
      <c r="B77" s="1430">
        <v>46300</v>
      </c>
      <c r="C77" s="1431"/>
      <c r="D77" s="667" t="s">
        <v>796</v>
      </c>
      <c r="E77" s="1416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422">
        <f>SUM(M77:M78)</f>
        <v>146.69565059625003</v>
      </c>
      <c r="O77" s="963">
        <f>M77/P77</f>
        <v>9.2834896284374953</v>
      </c>
      <c r="P77" s="1190">
        <f>(720-R77)/60</f>
        <v>12</v>
      </c>
      <c r="Q77" s="1190">
        <f>720-R77</f>
        <v>720</v>
      </c>
      <c r="R77" s="1189">
        <f>'Milling Down Time Hours'!G75</f>
        <v>0</v>
      </c>
      <c r="S77" s="1416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  <c r="AB77" s="926">
        <f t="shared" si="65"/>
        <v>178707175.3474218</v>
      </c>
    </row>
    <row r="78" spans="1:30" ht="15" thickBot="1" x14ac:dyDescent="0.35">
      <c r="A78" s="1669"/>
      <c r="B78" s="1432"/>
      <c r="C78" s="1433"/>
      <c r="D78" s="667" t="s">
        <v>796</v>
      </c>
      <c r="E78" s="1417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8.2385095833333448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417"/>
      <c r="O78" s="1104"/>
      <c r="P78" s="1190">
        <f>(720-R78)/60</f>
        <v>12</v>
      </c>
      <c r="Q78" s="1190">
        <f>720-R78</f>
        <v>720</v>
      </c>
      <c r="R78" s="963">
        <f>'Milling Down Time Hours'!L83</f>
        <v>0</v>
      </c>
      <c r="S78" s="1417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  <c r="AB78" s="926">
        <f t="shared" si="65"/>
        <v>47881888.157950118</v>
      </c>
    </row>
    <row r="79" spans="1:30" ht="15" customHeight="1" thickBot="1" x14ac:dyDescent="0.35">
      <c r="A79" s="1667">
        <v>14</v>
      </c>
      <c r="B79" s="1418">
        <v>46301</v>
      </c>
      <c r="C79" s="1419"/>
      <c r="D79" s="451"/>
      <c r="E79" s="1498" t="s">
        <v>782</v>
      </c>
      <c r="F79" s="1031" t="s">
        <v>12</v>
      </c>
      <c r="G79" s="450"/>
      <c r="H79" s="451"/>
      <c r="I79" s="1135"/>
      <c r="J79" s="932">
        <f t="shared" ref="J79:J97" si="66">3.14*Z79*((10.7/2)^2)</f>
        <v>107.84957999999997</v>
      </c>
      <c r="K79" s="450"/>
      <c r="L79" s="450"/>
      <c r="M79" s="1032">
        <f t="shared" ref="M79:M103" si="67">H79*K79*G79</f>
        <v>0</v>
      </c>
      <c r="N79" s="1434">
        <f>SUM(M79:M98)</f>
        <v>86.128674587999981</v>
      </c>
      <c r="O79" s="1135"/>
      <c r="P79" s="1203">
        <f>(720-R79)/60</f>
        <v>12</v>
      </c>
      <c r="Q79" s="1203">
        <f>720-R79</f>
        <v>720</v>
      </c>
      <c r="R79" s="932">
        <f>'Milling Down Time Hours'!L84</f>
        <v>0</v>
      </c>
      <c r="S79" s="451"/>
      <c r="T79" s="1204"/>
      <c r="U79" s="1204"/>
      <c r="V79" s="1205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  <c r="AB79" s="926">
        <f t="shared" si="65"/>
        <v>0</v>
      </c>
    </row>
    <row r="80" spans="1:30" ht="14.55" hidden="1" customHeight="1" thickBot="1" x14ac:dyDescent="0.35">
      <c r="A80" s="1667"/>
      <c r="B80" s="1484"/>
      <c r="C80" s="1485"/>
      <c r="D80" s="908"/>
      <c r="E80" s="1435"/>
      <c r="F80" s="945" t="s">
        <v>13</v>
      </c>
      <c r="G80" s="935"/>
      <c r="H80" s="451"/>
      <c r="I80" s="1135"/>
      <c r="J80" s="932">
        <f t="shared" si="66"/>
        <v>0</v>
      </c>
      <c r="K80" s="450"/>
      <c r="L80" s="450"/>
      <c r="M80" s="1032">
        <f t="shared" si="67"/>
        <v>0</v>
      </c>
      <c r="N80" s="1435"/>
      <c r="O80" s="1135"/>
      <c r="P80" s="1444">
        <f>'Milling Down Time Hours'!Q43</f>
        <v>0</v>
      </c>
      <c r="Q80" s="1197"/>
      <c r="R80" s="1444">
        <f>'Milling Down Time Hours'!L85</f>
        <v>0</v>
      </c>
      <c r="S80" s="451"/>
      <c r="T80" s="1488">
        <v>0.35699999999999998</v>
      </c>
      <c r="U80" s="1488">
        <v>1.056</v>
      </c>
      <c r="V80" s="1490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B80" s="926">
        <f t="shared" si="65"/>
        <v>0</v>
      </c>
      <c r="AD80" s="1">
        <v>0.51600000000000001</v>
      </c>
    </row>
    <row r="81" spans="1:30" ht="15" hidden="1" customHeight="1" thickBot="1" x14ac:dyDescent="0.35">
      <c r="A81" s="1667"/>
      <c r="B81" s="1484"/>
      <c r="C81" s="1485"/>
      <c r="D81" s="451"/>
      <c r="E81" s="1435"/>
      <c r="F81" s="1031" t="s">
        <v>12</v>
      </c>
      <c r="G81" s="450"/>
      <c r="H81" s="451"/>
      <c r="I81" s="1135"/>
      <c r="J81" s="932">
        <f t="shared" si="66"/>
        <v>0</v>
      </c>
      <c r="K81" s="450"/>
      <c r="L81" s="450"/>
      <c r="M81" s="1032">
        <f t="shared" si="67"/>
        <v>0</v>
      </c>
      <c r="N81" s="1435"/>
      <c r="O81" s="1135"/>
      <c r="P81" s="1438"/>
      <c r="Q81" s="1203"/>
      <c r="R81" s="1438"/>
      <c r="S81" s="451"/>
      <c r="T81" s="1489"/>
      <c r="U81" s="1489"/>
      <c r="V81" s="1491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B81" s="926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67"/>
      <c r="B82" s="1484"/>
      <c r="C82" s="1485"/>
      <c r="D82" s="908"/>
      <c r="E82" s="1435"/>
      <c r="F82" s="945" t="s">
        <v>13</v>
      </c>
      <c r="G82" s="450"/>
      <c r="H82" s="451"/>
      <c r="I82" s="1135"/>
      <c r="J82" s="932">
        <f t="shared" si="66"/>
        <v>0</v>
      </c>
      <c r="K82" s="450"/>
      <c r="L82" s="450"/>
      <c r="M82" s="1032">
        <f t="shared" si="67"/>
        <v>0</v>
      </c>
      <c r="N82" s="1435"/>
      <c r="O82" s="1135"/>
      <c r="P82" s="1437">
        <f>'Milling Down Time Hours'!M87</f>
        <v>0</v>
      </c>
      <c r="Q82" s="1206"/>
      <c r="R82" s="1437">
        <f>'Milling Down Time Hours'!L87</f>
        <v>0</v>
      </c>
      <c r="S82" s="451"/>
      <c r="T82" s="1486" t="e">
        <f>SUM(#REF!)</f>
        <v>#REF!</v>
      </c>
      <c r="U82" s="1486" t="e">
        <f t="shared" ref="U82:V82" si="68">SUM(T82:T84)</f>
        <v>#REF!</v>
      </c>
      <c r="V82" s="1494" t="e">
        <f t="shared" si="68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  <c r="AB82" s="926" t="e">
        <f t="shared" si="65"/>
        <v>#REF!</v>
      </c>
    </row>
    <row r="83" spans="1:30" ht="15" hidden="1" customHeight="1" thickBot="1" x14ac:dyDescent="0.35">
      <c r="A83" s="1667"/>
      <c r="B83" s="1484"/>
      <c r="C83" s="1485"/>
      <c r="D83" s="451"/>
      <c r="E83" s="1435"/>
      <c r="F83" s="1031" t="s">
        <v>12</v>
      </c>
      <c r="G83" s="450"/>
      <c r="H83" s="451"/>
      <c r="I83" s="1135"/>
      <c r="J83" s="932">
        <f t="shared" si="66"/>
        <v>0</v>
      </c>
      <c r="K83" s="450"/>
      <c r="L83" s="450"/>
      <c r="M83" s="1032">
        <f t="shared" si="67"/>
        <v>0</v>
      </c>
      <c r="N83" s="1435"/>
      <c r="O83" s="1135"/>
      <c r="P83" s="1438"/>
      <c r="Q83" s="1203"/>
      <c r="R83" s="1438"/>
      <c r="S83" s="451"/>
      <c r="T83" s="1487"/>
      <c r="U83" s="1487"/>
      <c r="V83" s="1495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  <c r="AB83" s="926">
        <f t="shared" si="65"/>
        <v>0</v>
      </c>
    </row>
    <row r="84" spans="1:30" ht="14.55" hidden="1" customHeight="1" thickBot="1" x14ac:dyDescent="0.35">
      <c r="A84" s="1667"/>
      <c r="B84" s="1484"/>
      <c r="C84" s="1485"/>
      <c r="D84" s="908"/>
      <c r="E84" s="1435"/>
      <c r="F84" s="945" t="s">
        <v>13</v>
      </c>
      <c r="G84" s="450"/>
      <c r="H84" s="451"/>
      <c r="I84" s="1135"/>
      <c r="J84" s="932">
        <f t="shared" si="66"/>
        <v>0</v>
      </c>
      <c r="K84" s="450"/>
      <c r="L84" s="450"/>
      <c r="M84" s="1032">
        <f t="shared" si="67"/>
        <v>0</v>
      </c>
      <c r="N84" s="1435"/>
      <c r="O84" s="1135"/>
      <c r="P84" s="1437">
        <f>'Milling Down Time Hours'!M89</f>
        <v>0</v>
      </c>
      <c r="Q84" s="1206"/>
      <c r="R84" s="1437">
        <f>'Milling Down Time Hours'!L89</f>
        <v>0</v>
      </c>
      <c r="S84" s="451"/>
      <c r="T84" s="1486" t="e">
        <f>SUM(#REF!)</f>
        <v>#REF!</v>
      </c>
      <c r="U84" s="1486" t="e">
        <f t="shared" ref="U84:V84" si="69">SUM(T84:T86)</f>
        <v>#REF!</v>
      </c>
      <c r="V84" s="1494" t="e">
        <f t="shared" si="69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  <c r="AB84" s="926" t="e">
        <f t="shared" si="65"/>
        <v>#REF!</v>
      </c>
    </row>
    <row r="85" spans="1:30" ht="15" hidden="1" customHeight="1" thickBot="1" x14ac:dyDescent="0.35">
      <c r="A85" s="1667"/>
      <c r="B85" s="1484"/>
      <c r="C85" s="1485"/>
      <c r="D85" s="451"/>
      <c r="E85" s="1435"/>
      <c r="F85" s="1031" t="s">
        <v>12</v>
      </c>
      <c r="G85" s="450"/>
      <c r="H85" s="451"/>
      <c r="I85" s="1135"/>
      <c r="J85" s="932">
        <f t="shared" si="66"/>
        <v>0</v>
      </c>
      <c r="K85" s="450"/>
      <c r="L85" s="450"/>
      <c r="M85" s="1032">
        <f t="shared" si="67"/>
        <v>0</v>
      </c>
      <c r="N85" s="1435"/>
      <c r="O85" s="1135"/>
      <c r="P85" s="1438"/>
      <c r="Q85" s="1203"/>
      <c r="R85" s="1438"/>
      <c r="S85" s="451"/>
      <c r="T85" s="1487"/>
      <c r="U85" s="1487"/>
      <c r="V85" s="1495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  <c r="AB85" s="926">
        <f t="shared" si="65"/>
        <v>0</v>
      </c>
    </row>
    <row r="86" spans="1:30" ht="14.55" hidden="1" customHeight="1" thickBot="1" x14ac:dyDescent="0.35">
      <c r="A86" s="1667"/>
      <c r="B86" s="1484"/>
      <c r="C86" s="1485"/>
      <c r="D86" s="908"/>
      <c r="E86" s="1435"/>
      <c r="F86" s="945" t="s">
        <v>13</v>
      </c>
      <c r="G86" s="450"/>
      <c r="H86" s="451"/>
      <c r="I86" s="1135"/>
      <c r="J86" s="932">
        <f t="shared" si="66"/>
        <v>0</v>
      </c>
      <c r="K86" s="450"/>
      <c r="L86" s="450"/>
      <c r="M86" s="1032">
        <f t="shared" si="67"/>
        <v>0</v>
      </c>
      <c r="N86" s="1435"/>
      <c r="O86" s="1135"/>
      <c r="P86" s="1437">
        <f>'Milling Down Time Hours'!M91</f>
        <v>0</v>
      </c>
      <c r="Q86" s="1206"/>
      <c r="R86" s="1437">
        <f>'Milling Down Time Hours'!L91</f>
        <v>0</v>
      </c>
      <c r="S86" s="451"/>
      <c r="T86" s="1486" t="e">
        <f>SUM(#REF!)</f>
        <v>#REF!</v>
      </c>
      <c r="U86" s="1486" t="e">
        <f t="shared" ref="U86:V86" si="70">SUM(T86:T88)</f>
        <v>#REF!</v>
      </c>
      <c r="V86" s="1494" t="e">
        <f t="shared" si="70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  <c r="AB86" s="926" t="e">
        <f t="shared" si="65"/>
        <v>#REF!</v>
      </c>
    </row>
    <row r="87" spans="1:30" ht="15" hidden="1" customHeight="1" thickBot="1" x14ac:dyDescent="0.35">
      <c r="A87" s="1667"/>
      <c r="B87" s="1484"/>
      <c r="C87" s="1485"/>
      <c r="D87" s="451"/>
      <c r="E87" s="1435"/>
      <c r="F87" s="1031" t="s">
        <v>12</v>
      </c>
      <c r="G87" s="450"/>
      <c r="H87" s="451"/>
      <c r="I87" s="1135"/>
      <c r="J87" s="932">
        <f t="shared" si="66"/>
        <v>0</v>
      </c>
      <c r="K87" s="450"/>
      <c r="L87" s="450"/>
      <c r="M87" s="1032">
        <f t="shared" si="67"/>
        <v>0</v>
      </c>
      <c r="N87" s="1435"/>
      <c r="O87" s="1135"/>
      <c r="P87" s="1438"/>
      <c r="Q87" s="1203"/>
      <c r="R87" s="1438"/>
      <c r="S87" s="451"/>
      <c r="T87" s="1487"/>
      <c r="U87" s="1487"/>
      <c r="V87" s="1495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  <c r="AB87" s="926">
        <f t="shared" si="65"/>
        <v>0</v>
      </c>
    </row>
    <row r="88" spans="1:30" ht="14.55" hidden="1" customHeight="1" thickBot="1" x14ac:dyDescent="0.35">
      <c r="A88" s="1667"/>
      <c r="B88" s="1484"/>
      <c r="C88" s="1485"/>
      <c r="D88" s="908"/>
      <c r="E88" s="1435"/>
      <c r="F88" s="945" t="s">
        <v>13</v>
      </c>
      <c r="G88" s="450"/>
      <c r="H88" s="451"/>
      <c r="I88" s="1135"/>
      <c r="J88" s="932">
        <f t="shared" si="66"/>
        <v>0</v>
      </c>
      <c r="K88" s="450"/>
      <c r="L88" s="450"/>
      <c r="M88" s="1032">
        <f t="shared" si="67"/>
        <v>0</v>
      </c>
      <c r="N88" s="1435"/>
      <c r="O88" s="1135"/>
      <c r="P88" s="1437">
        <f>'Milling Down Time Hours'!M93</f>
        <v>0</v>
      </c>
      <c r="Q88" s="1206"/>
      <c r="R88" s="1437">
        <f>'Milling Down Time Hours'!L93</f>
        <v>0</v>
      </c>
      <c r="S88" s="451"/>
      <c r="T88" s="1486" t="e">
        <f>SUM(#REF!)</f>
        <v>#REF!</v>
      </c>
      <c r="U88" s="1486" t="e">
        <f t="shared" ref="U88:V88" si="71">SUM(T88:T90)</f>
        <v>#REF!</v>
      </c>
      <c r="V88" s="1494" t="e">
        <f t="shared" si="71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  <c r="AB88" s="926" t="e">
        <f t="shared" si="65"/>
        <v>#REF!</v>
      </c>
    </row>
    <row r="89" spans="1:30" ht="15" hidden="1" customHeight="1" thickBot="1" x14ac:dyDescent="0.35">
      <c r="A89" s="1667"/>
      <c r="B89" s="1484"/>
      <c r="C89" s="1485"/>
      <c r="D89" s="451"/>
      <c r="E89" s="1435"/>
      <c r="F89" s="1031" t="s">
        <v>12</v>
      </c>
      <c r="G89" s="450"/>
      <c r="H89" s="451"/>
      <c r="I89" s="1135"/>
      <c r="J89" s="932">
        <f t="shared" si="66"/>
        <v>0</v>
      </c>
      <c r="K89" s="450"/>
      <c r="L89" s="450"/>
      <c r="M89" s="1032">
        <f t="shared" si="67"/>
        <v>0</v>
      </c>
      <c r="N89" s="1435"/>
      <c r="O89" s="1135"/>
      <c r="P89" s="1438"/>
      <c r="Q89" s="1203"/>
      <c r="R89" s="1438"/>
      <c r="S89" s="451"/>
      <c r="T89" s="1487"/>
      <c r="U89" s="1487"/>
      <c r="V89" s="1495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  <c r="AB89" s="926">
        <f t="shared" si="65"/>
        <v>0</v>
      </c>
    </row>
    <row r="90" spans="1:30" ht="14.55" hidden="1" customHeight="1" thickBot="1" x14ac:dyDescent="0.35">
      <c r="A90" s="1667"/>
      <c r="B90" s="1484"/>
      <c r="C90" s="1485"/>
      <c r="D90" s="908"/>
      <c r="E90" s="1435"/>
      <c r="F90" s="945" t="s">
        <v>13</v>
      </c>
      <c r="G90" s="450"/>
      <c r="H90" s="451"/>
      <c r="I90" s="1135"/>
      <c r="J90" s="932">
        <f t="shared" si="66"/>
        <v>0</v>
      </c>
      <c r="K90" s="450"/>
      <c r="L90" s="450"/>
      <c r="M90" s="1032">
        <f t="shared" si="67"/>
        <v>0</v>
      </c>
      <c r="N90" s="1435"/>
      <c r="O90" s="1135"/>
      <c r="P90" s="1437">
        <f>'Milling Down Time Hours'!M95</f>
        <v>0</v>
      </c>
      <c r="Q90" s="1206"/>
      <c r="R90" s="1437">
        <f>'Milling Down Time Hours'!L95</f>
        <v>0</v>
      </c>
      <c r="S90" s="451"/>
      <c r="T90" s="1486" t="e">
        <f>SUM(#REF!)</f>
        <v>#REF!</v>
      </c>
      <c r="U90" s="1486" t="e">
        <f t="shared" ref="U90:V90" si="72">SUM(T90:T92)</f>
        <v>#REF!</v>
      </c>
      <c r="V90" s="1494" t="e">
        <f t="shared" si="72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  <c r="AB90" s="926" t="e">
        <f t="shared" si="65"/>
        <v>#REF!</v>
      </c>
    </row>
    <row r="91" spans="1:30" ht="15" hidden="1" customHeight="1" thickBot="1" x14ac:dyDescent="0.35">
      <c r="A91" s="1667"/>
      <c r="B91" s="1484"/>
      <c r="C91" s="1485"/>
      <c r="D91" s="451"/>
      <c r="E91" s="1435"/>
      <c r="F91" s="1031" t="s">
        <v>12</v>
      </c>
      <c r="G91" s="450"/>
      <c r="H91" s="451"/>
      <c r="I91" s="1135"/>
      <c r="J91" s="932">
        <f t="shared" si="66"/>
        <v>0</v>
      </c>
      <c r="K91" s="450"/>
      <c r="L91" s="450"/>
      <c r="M91" s="1032">
        <f t="shared" si="67"/>
        <v>0</v>
      </c>
      <c r="N91" s="1435"/>
      <c r="O91" s="1135"/>
      <c r="P91" s="1438"/>
      <c r="Q91" s="1203"/>
      <c r="R91" s="1438"/>
      <c r="S91" s="451"/>
      <c r="T91" s="1487"/>
      <c r="U91" s="1487"/>
      <c r="V91" s="1495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  <c r="AB91" s="926">
        <f t="shared" si="65"/>
        <v>0</v>
      </c>
    </row>
    <row r="92" spans="1:30" ht="14.55" hidden="1" customHeight="1" thickBot="1" x14ac:dyDescent="0.35">
      <c r="A92" s="1667"/>
      <c r="B92" s="1484"/>
      <c r="C92" s="1485"/>
      <c r="D92" s="908"/>
      <c r="E92" s="1435"/>
      <c r="F92" s="945" t="s">
        <v>13</v>
      </c>
      <c r="G92" s="450"/>
      <c r="H92" s="451"/>
      <c r="I92" s="1135"/>
      <c r="J92" s="932">
        <f t="shared" si="66"/>
        <v>0</v>
      </c>
      <c r="K92" s="450"/>
      <c r="L92" s="450"/>
      <c r="M92" s="1032">
        <f t="shared" si="67"/>
        <v>0</v>
      </c>
      <c r="N92" s="1435"/>
      <c r="O92" s="1135"/>
      <c r="P92" s="1437">
        <f>'Milling Down Time Hours'!M97</f>
        <v>0</v>
      </c>
      <c r="Q92" s="1206"/>
      <c r="R92" s="1437">
        <f>'Milling Down Time Hours'!L97</f>
        <v>0</v>
      </c>
      <c r="S92" s="451"/>
      <c r="T92" s="1486" t="e">
        <f>SUM(#REF!)</f>
        <v>#REF!</v>
      </c>
      <c r="U92" s="1486" t="e">
        <f t="shared" ref="U92:V92" si="73">SUM(T92:T94)</f>
        <v>#REF!</v>
      </c>
      <c r="V92" s="1494" t="e">
        <f t="shared" si="73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  <c r="AB92" s="926" t="e">
        <f t="shared" si="65"/>
        <v>#REF!</v>
      </c>
    </row>
    <row r="93" spans="1:30" ht="15" hidden="1" customHeight="1" thickBot="1" x14ac:dyDescent="0.35">
      <c r="A93" s="1667"/>
      <c r="B93" s="1484"/>
      <c r="C93" s="1485"/>
      <c r="D93" s="451"/>
      <c r="E93" s="1435"/>
      <c r="F93" s="1031" t="s">
        <v>12</v>
      </c>
      <c r="G93" s="450"/>
      <c r="H93" s="451"/>
      <c r="I93" s="1135"/>
      <c r="J93" s="932">
        <f t="shared" si="66"/>
        <v>0</v>
      </c>
      <c r="K93" s="450"/>
      <c r="L93" s="450"/>
      <c r="M93" s="1032">
        <f t="shared" si="67"/>
        <v>0</v>
      </c>
      <c r="N93" s="1435"/>
      <c r="O93" s="1135"/>
      <c r="P93" s="1438"/>
      <c r="Q93" s="1203"/>
      <c r="R93" s="1438"/>
      <c r="S93" s="451"/>
      <c r="T93" s="1487"/>
      <c r="U93" s="1487"/>
      <c r="V93" s="1495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  <c r="AB93" s="926">
        <f t="shared" si="65"/>
        <v>0</v>
      </c>
    </row>
    <row r="94" spans="1:30" ht="14.55" hidden="1" customHeight="1" thickBot="1" x14ac:dyDescent="0.35">
      <c r="A94" s="1667"/>
      <c r="B94" s="1484"/>
      <c r="C94" s="1485"/>
      <c r="D94" s="908"/>
      <c r="E94" s="1435"/>
      <c r="F94" s="945" t="s">
        <v>13</v>
      </c>
      <c r="G94" s="450"/>
      <c r="H94" s="451"/>
      <c r="I94" s="1135"/>
      <c r="J94" s="932">
        <f t="shared" si="66"/>
        <v>0</v>
      </c>
      <c r="K94" s="450"/>
      <c r="L94" s="450"/>
      <c r="M94" s="1032">
        <f t="shared" si="67"/>
        <v>0</v>
      </c>
      <c r="N94" s="1435"/>
      <c r="O94" s="1135"/>
      <c r="P94" s="1437">
        <f>'Milling Down Time Hours'!M99</f>
        <v>0</v>
      </c>
      <c r="Q94" s="1206"/>
      <c r="R94" s="1437">
        <f>'Milling Down Time Hours'!L99</f>
        <v>0</v>
      </c>
      <c r="S94" s="451"/>
      <c r="T94" s="1486" t="e">
        <f>SUM(#REF!)</f>
        <v>#REF!</v>
      </c>
      <c r="U94" s="1486" t="e">
        <f t="shared" ref="U94:V94" si="74">SUM(T94:T96)</f>
        <v>#REF!</v>
      </c>
      <c r="V94" s="1494" t="e">
        <f t="shared" si="74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  <c r="AB94" s="926" t="e">
        <f t="shared" si="65"/>
        <v>#REF!</v>
      </c>
    </row>
    <row r="95" spans="1:30" ht="15" hidden="1" customHeight="1" thickBot="1" x14ac:dyDescent="0.35">
      <c r="A95" s="1667"/>
      <c r="B95" s="1484"/>
      <c r="C95" s="1485"/>
      <c r="D95" s="451"/>
      <c r="E95" s="1435"/>
      <c r="F95" s="1031" t="s">
        <v>12</v>
      </c>
      <c r="G95" s="450"/>
      <c r="H95" s="451"/>
      <c r="I95" s="1135"/>
      <c r="J95" s="932">
        <f t="shared" si="66"/>
        <v>0</v>
      </c>
      <c r="K95" s="450"/>
      <c r="L95" s="450"/>
      <c r="M95" s="1032">
        <f t="shared" si="67"/>
        <v>0</v>
      </c>
      <c r="N95" s="1435"/>
      <c r="O95" s="1135"/>
      <c r="P95" s="1438"/>
      <c r="Q95" s="1203"/>
      <c r="R95" s="1438"/>
      <c r="S95" s="451"/>
      <c r="T95" s="1487"/>
      <c r="U95" s="1487"/>
      <c r="V95" s="1495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  <c r="AB95" s="926">
        <f t="shared" si="65"/>
        <v>0</v>
      </c>
    </row>
    <row r="96" spans="1:30" ht="14.55" hidden="1" customHeight="1" thickBot="1" x14ac:dyDescent="0.35">
      <c r="A96" s="1667"/>
      <c r="B96" s="1484"/>
      <c r="C96" s="1485"/>
      <c r="D96" s="908"/>
      <c r="E96" s="1435"/>
      <c r="F96" s="945" t="s">
        <v>13</v>
      </c>
      <c r="G96" s="450"/>
      <c r="H96" s="451"/>
      <c r="I96" s="1135"/>
      <c r="J96" s="932">
        <f t="shared" si="66"/>
        <v>0</v>
      </c>
      <c r="K96" s="450"/>
      <c r="L96" s="450"/>
      <c r="M96" s="1032">
        <f t="shared" si="67"/>
        <v>0</v>
      </c>
      <c r="N96" s="1435"/>
      <c r="O96" s="1135"/>
      <c r="P96" s="1437">
        <f>'Milling Down Time Hours'!M101</f>
        <v>0</v>
      </c>
      <c r="Q96" s="1206"/>
      <c r="R96" s="1437">
        <f>'Milling Down Time Hours'!L101</f>
        <v>0</v>
      </c>
      <c r="S96" s="451"/>
      <c r="T96" s="1486" t="e">
        <f>SUM(#REF!)</f>
        <v>#REF!</v>
      </c>
      <c r="U96" s="1486" t="e">
        <f>SUM(T96:T113)</f>
        <v>#REF!</v>
      </c>
      <c r="V96" s="1494" t="e">
        <f>SUM(U96:U113)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  <c r="AB96" s="926" t="e">
        <f t="shared" si="65"/>
        <v>#REF!</v>
      </c>
    </row>
    <row r="97" spans="1:28" ht="14.55" hidden="1" customHeight="1" thickBot="1" x14ac:dyDescent="0.35">
      <c r="A97" s="1667"/>
      <c r="B97" s="1484"/>
      <c r="C97" s="1485"/>
      <c r="D97" s="1207"/>
      <c r="E97" s="1435"/>
      <c r="F97" s="1031" t="s">
        <v>12</v>
      </c>
      <c r="G97" s="1208"/>
      <c r="H97" s="1207"/>
      <c r="I97" s="1209"/>
      <c r="J97" s="932">
        <f t="shared" si="66"/>
        <v>0</v>
      </c>
      <c r="K97" s="1208"/>
      <c r="L97" s="1208"/>
      <c r="M97" s="1032">
        <f t="shared" si="67"/>
        <v>0</v>
      </c>
      <c r="N97" s="1435"/>
      <c r="O97" s="1209"/>
      <c r="P97" s="1444"/>
      <c r="Q97" s="1197"/>
      <c r="R97" s="1439"/>
      <c r="S97" s="1207"/>
      <c r="T97" s="1496"/>
      <c r="U97" s="1496"/>
      <c r="V97" s="1497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  <c r="AB97" s="926">
        <f t="shared" si="65"/>
        <v>0</v>
      </c>
    </row>
    <row r="98" spans="1:28" ht="15" customHeight="1" thickBot="1" x14ac:dyDescent="0.35">
      <c r="A98" s="1667"/>
      <c r="B98" s="1420"/>
      <c r="C98" s="1421"/>
      <c r="D98" s="451"/>
      <c r="E98" s="1436"/>
      <c r="F98" s="978" t="s">
        <v>13</v>
      </c>
      <c r="G98" s="935">
        <v>0.33</v>
      </c>
      <c r="H98" s="673">
        <f>J98</f>
        <v>215.69915999999995</v>
      </c>
      <c r="I98" s="932">
        <f>H98/P98</f>
        <v>53.924789999999987</v>
      </c>
      <c r="J98" s="932">
        <f>3.14*Z98*((10.7/2)^2)</f>
        <v>215.69915999999995</v>
      </c>
      <c r="K98" s="450">
        <v>1.21</v>
      </c>
      <c r="L98" s="935">
        <v>0.68</v>
      </c>
      <c r="M98" s="1032">
        <f t="shared" si="67"/>
        <v>86.128674587999981</v>
      </c>
      <c r="N98" s="1436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434">
        <f>SUM(M98:M101)</f>
        <v>417.86319770999995</v>
      </c>
      <c r="T98" s="1115">
        <f>T78</f>
        <v>0.54266666666666674</v>
      </c>
      <c r="U98" s="1115">
        <f t="shared" ref="U98:V98" si="75">U78</f>
        <v>0.91666666666666663</v>
      </c>
      <c r="V98" s="1115">
        <f t="shared" si="75"/>
        <v>18.760000000000002</v>
      </c>
      <c r="W98" s="977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8">
        <v>2.4</v>
      </c>
      <c r="AB98" s="926">
        <f t="shared" si="65"/>
        <v>116847901.85771999</v>
      </c>
    </row>
    <row r="99" spans="1:28" ht="15" customHeight="1" thickBot="1" x14ac:dyDescent="0.35">
      <c r="A99" s="1667"/>
      <c r="B99" s="1418">
        <v>46302</v>
      </c>
      <c r="C99" s="1419"/>
      <c r="D99" s="451"/>
      <c r="E99" s="1498" t="s">
        <v>788</v>
      </c>
      <c r="F99" s="1031" t="s">
        <v>12</v>
      </c>
      <c r="G99" s="935">
        <v>0.35</v>
      </c>
      <c r="H99" s="673">
        <f>J99-SUM(H98)</f>
        <v>170.76183500000002</v>
      </c>
      <c r="I99" s="932">
        <f>H99/P99</f>
        <v>14.230152916666668</v>
      </c>
      <c r="J99" s="932">
        <f>3.14*Z99*((10.7/2)^2)</f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1434">
        <f>SUM(M99:M100)</f>
        <v>231.13782737699989</v>
      </c>
      <c r="O99" s="932">
        <f t="shared" ref="O99:O101" si="76">M99/P99</f>
        <v>6.686898646625</v>
      </c>
      <c r="P99" s="932">
        <f t="shared" ref="P99:P100" si="77">Q99/60</f>
        <v>12</v>
      </c>
      <c r="Q99" s="932">
        <f t="shared" ref="Q99:Q100" si="78">(720-R99)</f>
        <v>720</v>
      </c>
      <c r="R99" s="932">
        <f>'Milling Down Time Hours'!G79</f>
        <v>0</v>
      </c>
      <c r="S99" s="1435"/>
      <c r="T99" s="1115">
        <f>AVERAGE('LT Ball Mill'!F163:F165)</f>
        <v>0.32100000000000001</v>
      </c>
      <c r="U99" s="1115">
        <f>AVERAGE('LT Ball Mill'!G163:G165)</f>
        <v>3.6666666666666667E-2</v>
      </c>
      <c r="V99" s="1115">
        <f>AVERAGE('LT Ball Mill'!H163:H165)</f>
        <v>7.833333333333333</v>
      </c>
      <c r="W99" s="977">
        <f t="shared" si="60"/>
        <v>25.757933586799499</v>
      </c>
      <c r="X99" s="932">
        <f t="shared" ref="X99:X100" si="79">M99*U99</f>
        <v>2.9422354045149999</v>
      </c>
      <c r="Y99" s="932">
        <f t="shared" ref="Y99:Y100" si="80">M99*V99</f>
        <v>628.56847278274995</v>
      </c>
      <c r="Z99" s="978">
        <v>4.3</v>
      </c>
      <c r="AB99" s="926">
        <f t="shared" si="65"/>
        <v>64394833.966998748</v>
      </c>
    </row>
    <row r="100" spans="1:28" ht="15" customHeight="1" thickBot="1" x14ac:dyDescent="0.35">
      <c r="A100" s="1667"/>
      <c r="B100" s="1420"/>
      <c r="C100" s="1421"/>
      <c r="D100" s="451"/>
      <c r="E100" s="1436"/>
      <c r="F100" s="945" t="s">
        <v>13</v>
      </c>
      <c r="G100" s="935">
        <v>0.35</v>
      </c>
      <c r="H100" s="673">
        <f>J100-SUM(H98:H99)</f>
        <v>350.5111349999998</v>
      </c>
      <c r="I100" s="932">
        <f>H100/P100</f>
        <v>30.043811571428556</v>
      </c>
      <c r="J100" s="932">
        <f>3.14*Z100*((10.7/2)^2)</f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1439"/>
      <c r="O100" s="932">
        <f t="shared" si="76"/>
        <v>12.93386088149999</v>
      </c>
      <c r="P100" s="932">
        <f t="shared" si="77"/>
        <v>11.666666666666666</v>
      </c>
      <c r="Q100" s="932">
        <f t="shared" si="78"/>
        <v>700</v>
      </c>
      <c r="R100" s="932">
        <f>'Milling Down Time Hours'!G80</f>
        <v>20</v>
      </c>
      <c r="S100" s="1435"/>
      <c r="T100" s="1115">
        <f>AVERAGE('LT Ball Mill'!F166:F168)</f>
        <v>0.47433333333333333</v>
      </c>
      <c r="U100" s="1115">
        <f>AVERAGE('LT Ball Mill'!G166:G168)</f>
        <v>6.6766666666666667</v>
      </c>
      <c r="V100" s="1115">
        <f>AVERAGE('LT Ball Mill'!H166:H168)</f>
        <v>9.8133333333333326</v>
      </c>
      <c r="W100" s="977">
        <f t="shared" si="60"/>
        <v>71.574549022567439</v>
      </c>
      <c r="X100" s="932">
        <f t="shared" si="79"/>
        <v>1007.4759078861742</v>
      </c>
      <c r="Y100" s="932">
        <f t="shared" si="80"/>
        <v>1480.7833613663986</v>
      </c>
      <c r="Z100" s="978">
        <v>8.1999999999999993</v>
      </c>
      <c r="AB100" s="926">
        <f t="shared" si="65"/>
        <v>178936372.5564186</v>
      </c>
    </row>
    <row r="101" spans="1:28" ht="15" customHeight="1" thickBot="1" x14ac:dyDescent="0.35">
      <c r="A101" s="1667"/>
      <c r="B101" s="1654">
        <v>46303</v>
      </c>
      <c r="C101" s="1655"/>
      <c r="D101" s="451"/>
      <c r="E101" s="451" t="s">
        <v>789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>H101/P101</f>
        <v>19.47284083333335</v>
      </c>
      <c r="J101" s="932">
        <f>3.14*Z101*((10.7/2)^2)</f>
        <v>970.64621999999997</v>
      </c>
      <c r="K101" s="450">
        <v>1.23</v>
      </c>
      <c r="L101" s="935">
        <v>0.8</v>
      </c>
      <c r="M101" s="1032">
        <f>(J101*K101*G101)-SUM(M98:M100)</f>
        <v>100.59669574500009</v>
      </c>
      <c r="N101" s="1434">
        <f>SUM(M101:M102)</f>
        <v>315.91838221500007</v>
      </c>
      <c r="O101" s="932">
        <f t="shared" si="76"/>
        <v>8.3830579787500081</v>
      </c>
      <c r="P101" s="932">
        <f t="shared" ref="P101" si="81">Q101/60</f>
        <v>12</v>
      </c>
      <c r="Q101" s="932">
        <f t="shared" ref="Q101" si="82">(720-R101)</f>
        <v>720</v>
      </c>
      <c r="R101" s="932">
        <f>'Milling Down Time Hours'!G81</f>
        <v>0</v>
      </c>
      <c r="S101" s="1436"/>
      <c r="T101" s="1115">
        <f>AVERAGE('LT Ball Mill'!F169:F171)</f>
        <v>0.4326666666666667</v>
      </c>
      <c r="U101" s="1115">
        <f>AVERAGE('LT Ball Mill'!G169:G171)</f>
        <v>0.5033333333333333</v>
      </c>
      <c r="V101" s="1115">
        <f>AVERAGE('LT Ball Mill'!H169:H171)</f>
        <v>8.31</v>
      </c>
      <c r="W101" s="977">
        <f t="shared" ref="W101" si="83">T101*M101</f>
        <v>43.524837025670045</v>
      </c>
      <c r="X101" s="932">
        <f t="shared" ref="X101" si="84">M101*U101</f>
        <v>50.63367019165004</v>
      </c>
      <c r="Y101" s="932">
        <f t="shared" ref="Y101" si="85">M101*V101</f>
        <v>835.95854164095078</v>
      </c>
      <c r="Z101" s="978">
        <v>10.8</v>
      </c>
      <c r="AB101" s="926">
        <f t="shared" si="65"/>
        <v>108812092.56417511</v>
      </c>
    </row>
    <row r="102" spans="1:28" ht="15" customHeight="1" thickBot="1" x14ac:dyDescent="0.35">
      <c r="A102" s="1669">
        <v>15</v>
      </c>
      <c r="B102" s="1650">
        <v>46303</v>
      </c>
      <c r="C102" s="1651"/>
      <c r="D102" s="667"/>
      <c r="E102" s="667" t="s">
        <v>790</v>
      </c>
      <c r="F102" s="968" t="s">
        <v>13</v>
      </c>
      <c r="G102" s="996">
        <v>0.33</v>
      </c>
      <c r="H102" s="1627">
        <f>J102</f>
        <v>539.24789999999996</v>
      </c>
      <c r="I102" s="1628">
        <f>H102/P102</f>
        <v>46.891121739130433</v>
      </c>
      <c r="J102" s="1628">
        <f>3.14*Z102*((10.7/2)^2)</f>
        <v>539.24789999999996</v>
      </c>
      <c r="K102" s="961">
        <v>1.21</v>
      </c>
      <c r="L102" s="1634">
        <v>0.8</v>
      </c>
      <c r="M102" s="962">
        <f t="shared" si="67"/>
        <v>215.32168646999997</v>
      </c>
      <c r="N102" s="1439"/>
      <c r="O102" s="1628">
        <f t="shared" ref="O102" si="86">M102/P102</f>
        <v>18.723624910434779</v>
      </c>
      <c r="P102" s="1628">
        <f t="shared" ref="P102" si="87">Q102/60</f>
        <v>11.5</v>
      </c>
      <c r="Q102" s="1628">
        <f t="shared" ref="Q102" si="88">(720-R102)</f>
        <v>690</v>
      </c>
      <c r="R102" s="1628">
        <f>'Milling Down Time Hours'!G82</f>
        <v>30</v>
      </c>
      <c r="S102" s="1629">
        <f>SUM(M102:M105)</f>
        <v>890.43309487499982</v>
      </c>
      <c r="T102" s="1649">
        <f>AVERAGE('LT Ball Mill'!F172:F174)</f>
        <v>0.39733333333333337</v>
      </c>
      <c r="U102" s="1649">
        <f>AVERAGE('LT Ball Mill'!G172:G174)</f>
        <v>0.29666666666666663</v>
      </c>
      <c r="V102" s="1649">
        <f>AVERAGE('LT Ball Mill'!H172:H174)</f>
        <v>8.43</v>
      </c>
      <c r="W102" s="965">
        <f t="shared" si="60"/>
        <v>85.554483424080004</v>
      </c>
      <c r="X102" s="963">
        <f t="shared" si="61"/>
        <v>63.878766986099983</v>
      </c>
      <c r="Y102" s="963">
        <f t="shared" si="62"/>
        <v>1815.1618169420997</v>
      </c>
      <c r="Z102" s="966">
        <f>5*1.2</f>
        <v>6</v>
      </c>
      <c r="AA102" s="446"/>
      <c r="AB102" s="926">
        <f t="shared" si="65"/>
        <v>213886208.56020001</v>
      </c>
    </row>
    <row r="103" spans="1:28" ht="15" customHeight="1" thickBot="1" x14ac:dyDescent="0.35">
      <c r="A103" s="1669"/>
      <c r="B103" s="1650">
        <v>46304</v>
      </c>
      <c r="C103" s="1651"/>
      <c r="D103" s="667"/>
      <c r="E103" s="667" t="s">
        <v>790</v>
      </c>
      <c r="F103" s="959" t="s">
        <v>12</v>
      </c>
      <c r="G103" s="960">
        <v>0.35</v>
      </c>
      <c r="H103" s="1627">
        <f>J103</f>
        <v>754.94705999999985</v>
      </c>
      <c r="I103" s="1628">
        <f>H103/P103</f>
        <v>75.494705999999979</v>
      </c>
      <c r="J103" s="963">
        <f>3.14*Z103*((10.7/2)^2)</f>
        <v>754.94705999999985</v>
      </c>
      <c r="K103" s="961">
        <v>1.2250000000000001</v>
      </c>
      <c r="L103" s="960"/>
      <c r="M103" s="962">
        <f t="shared" si="67"/>
        <v>323.68355197499994</v>
      </c>
      <c r="N103" s="1629">
        <f>SUM(M103:M104)</f>
        <v>675.11140840499991</v>
      </c>
      <c r="O103" s="1628">
        <f t="shared" ref="O103" si="89">M103/P103</f>
        <v>32.368355197499994</v>
      </c>
      <c r="P103" s="1628">
        <f t="shared" ref="P103" si="90">Q103/60</f>
        <v>10</v>
      </c>
      <c r="Q103" s="1628">
        <f t="shared" ref="Q103" si="91">(720-R103)</f>
        <v>600</v>
      </c>
      <c r="R103" s="1628">
        <f>'Milling Down Time Hours'!G83</f>
        <v>120.00000000000001</v>
      </c>
      <c r="S103" s="1631"/>
      <c r="T103" s="963"/>
      <c r="U103" s="963"/>
      <c r="V103" s="995"/>
      <c r="W103" s="965"/>
      <c r="X103" s="963"/>
      <c r="Y103" s="963"/>
      <c r="Z103" s="966">
        <f>7*1.2</f>
        <v>8.4</v>
      </c>
      <c r="AA103" s="446"/>
      <c r="AB103" s="926">
        <f t="shared" si="65"/>
        <v>0</v>
      </c>
    </row>
    <row r="104" spans="1:28" ht="15" customHeight="1" thickBot="1" x14ac:dyDescent="0.35">
      <c r="A104" s="1669"/>
      <c r="B104" s="1652"/>
      <c r="C104" s="1653"/>
      <c r="D104" s="667"/>
      <c r="E104" s="667" t="s">
        <v>791</v>
      </c>
      <c r="F104" s="968" t="s">
        <v>13</v>
      </c>
      <c r="G104" s="960">
        <v>0.35</v>
      </c>
      <c r="H104" s="1627">
        <f>J104</f>
        <v>819.65680799999984</v>
      </c>
      <c r="I104" s="1628">
        <f>H104/P104</f>
        <v>68.304733999999982</v>
      </c>
      <c r="J104" s="963">
        <f>3.14*Z104*((10.7/2)^2)</f>
        <v>819.65680799999984</v>
      </c>
      <c r="K104" s="961">
        <v>1.2250000000000001</v>
      </c>
      <c r="L104" s="961"/>
      <c r="M104" s="962">
        <f t="shared" ref="M104" si="92">H104*K104*G104</f>
        <v>351.42785642999996</v>
      </c>
      <c r="N104" s="1630"/>
      <c r="O104" s="1628">
        <f t="shared" ref="O104" si="93">M104/P104</f>
        <v>29.285654702499997</v>
      </c>
      <c r="P104" s="1628">
        <f t="shared" ref="P104" si="94">Q104/60</f>
        <v>12</v>
      </c>
      <c r="Q104" s="1628">
        <f t="shared" ref="Q104" si="95">(720-R104)</f>
        <v>720</v>
      </c>
      <c r="R104" s="1628">
        <f>'Milling Down Time Hours'!G84</f>
        <v>0</v>
      </c>
      <c r="S104" s="1631"/>
      <c r="T104" s="963"/>
      <c r="U104" s="963"/>
      <c r="V104" s="995"/>
      <c r="W104" s="965">
        <f t="shared" ref="W104" si="96">T104*M104</f>
        <v>0</v>
      </c>
      <c r="X104" s="963">
        <f t="shared" ref="X104" si="97">M104*U104</f>
        <v>0</v>
      </c>
      <c r="Y104" s="963">
        <f t="shared" ref="Y104" si="98">M104*V104</f>
        <v>0</v>
      </c>
      <c r="Z104" s="966">
        <f>1.2*7.6</f>
        <v>9.1199999999999992</v>
      </c>
      <c r="AA104" s="446"/>
      <c r="AB104" s="926">
        <f t="shared" si="65"/>
        <v>0</v>
      </c>
    </row>
    <row r="105" spans="1:28" ht="15" thickBot="1" x14ac:dyDescent="0.35">
      <c r="B105" s="1423">
        <v>46305</v>
      </c>
      <c r="C105" s="1424"/>
      <c r="D105" s="13"/>
      <c r="E105" s="13"/>
      <c r="F105" s="915" t="s">
        <v>12</v>
      </c>
      <c r="G105" s="880"/>
      <c r="H105" s="13"/>
      <c r="I105" s="871"/>
      <c r="J105" s="154"/>
      <c r="K105" s="233"/>
      <c r="L105" s="880"/>
      <c r="M105" s="883"/>
      <c r="N105" s="880"/>
      <c r="O105" s="871"/>
      <c r="P105" s="154"/>
      <c r="Q105" s="154"/>
      <c r="R105" s="154"/>
      <c r="S105" s="1632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35">
      <c r="B106" s="1425"/>
      <c r="C106" s="1426"/>
      <c r="D106" s="13"/>
      <c r="E106" s="13"/>
      <c r="F106" s="906" t="s">
        <v>13</v>
      </c>
      <c r="G106" s="233"/>
      <c r="H106" s="13"/>
      <c r="I106" s="871"/>
      <c r="J106" s="154"/>
      <c r="K106" s="233"/>
      <c r="L106" s="233"/>
      <c r="M106" s="883">
        <f t="shared" ref="M106" si="99">H106*K106*G106</f>
        <v>0</v>
      </c>
      <c r="N106" s="233"/>
      <c r="O106" s="871"/>
      <c r="P106" s="154"/>
      <c r="Q106" s="154"/>
      <c r="R106" s="154"/>
      <c r="S106" s="13"/>
      <c r="T106" s="154"/>
      <c r="U106" s="154"/>
      <c r="V106" s="418"/>
      <c r="W106" s="159">
        <f t="shared" ref="W106" si="100">T106*M106</f>
        <v>0</v>
      </c>
      <c r="X106" s="154">
        <f t="shared" ref="X106" si="101">M106*U106</f>
        <v>0</v>
      </c>
      <c r="Y106" s="154">
        <f t="shared" ref="Y106" si="102">M106*V106</f>
        <v>0</v>
      </c>
      <c r="Z106" s="745"/>
      <c r="AA106" s="446"/>
      <c r="AB106" s="926">
        <f t="shared" si="65"/>
        <v>0</v>
      </c>
    </row>
    <row r="107" spans="1:28" ht="15" thickBot="1" x14ac:dyDescent="0.35">
      <c r="B107" s="1423">
        <v>46306</v>
      </c>
      <c r="C107" s="1424"/>
      <c r="D107" s="13"/>
      <c r="E107" s="13"/>
      <c r="F107" s="915" t="s">
        <v>12</v>
      </c>
      <c r="G107" s="880"/>
      <c r="H107" s="13"/>
      <c r="I107" s="871"/>
      <c r="J107" s="154"/>
      <c r="K107" s="233"/>
      <c r="L107" s="880"/>
      <c r="M107" s="883"/>
      <c r="N107" s="880"/>
      <c r="O107" s="871"/>
      <c r="P107" s="154"/>
      <c r="Q107" s="154"/>
      <c r="R107" s="154"/>
      <c r="S107" s="13"/>
      <c r="T107" s="154"/>
      <c r="U107" s="154"/>
      <c r="V107" s="418"/>
      <c r="W107" s="159"/>
      <c r="X107" s="154"/>
      <c r="Y107" s="154"/>
      <c r="Z107" s="745"/>
      <c r="AA107" s="446"/>
      <c r="AB107" s="926">
        <f t="shared" si="65"/>
        <v>0</v>
      </c>
    </row>
    <row r="108" spans="1:28" ht="15" thickBot="1" x14ac:dyDescent="0.35">
      <c r="B108" s="1425"/>
      <c r="C108" s="1426"/>
      <c r="D108" s="13"/>
      <c r="E108" s="13"/>
      <c r="F108" s="906" t="s">
        <v>13</v>
      </c>
      <c r="G108" s="233"/>
      <c r="H108" s="13"/>
      <c r="I108" s="871"/>
      <c r="J108" s="154"/>
      <c r="K108" s="233"/>
      <c r="L108" s="233"/>
      <c r="M108" s="883">
        <f t="shared" ref="M108" si="103">H108*K108*G108</f>
        <v>0</v>
      </c>
      <c r="N108" s="233"/>
      <c r="O108" s="871"/>
      <c r="P108" s="154"/>
      <c r="Q108" s="154"/>
      <c r="R108" s="154"/>
      <c r="S108" s="13"/>
      <c r="T108" s="154"/>
      <c r="U108" s="154"/>
      <c r="V108" s="418"/>
      <c r="W108" s="159">
        <f t="shared" ref="W108" si="104">T108*M108</f>
        <v>0</v>
      </c>
      <c r="X108" s="154">
        <f t="shared" ref="X108" si="105">M108*U108</f>
        <v>0</v>
      </c>
      <c r="Y108" s="154">
        <f t="shared" ref="Y108" si="106">M108*V108</f>
        <v>0</v>
      </c>
      <c r="Z108" s="745"/>
      <c r="AA108" s="446"/>
      <c r="AB108" s="926">
        <f t="shared" si="65"/>
        <v>0</v>
      </c>
    </row>
    <row r="109" spans="1:28" ht="15" thickBot="1" x14ac:dyDescent="0.35">
      <c r="B109" s="1423">
        <v>46307</v>
      </c>
      <c r="C109" s="1424"/>
      <c r="D109" s="13"/>
      <c r="E109" s="13"/>
      <c r="F109" s="915" t="s">
        <v>12</v>
      </c>
      <c r="G109" s="880"/>
      <c r="H109" s="13"/>
      <c r="I109" s="871"/>
      <c r="J109" s="154"/>
      <c r="K109" s="233"/>
      <c r="L109" s="880"/>
      <c r="M109" s="883"/>
      <c r="N109" s="880"/>
      <c r="O109" s="871"/>
      <c r="P109" s="154"/>
      <c r="Q109" s="154"/>
      <c r="R109" s="154"/>
      <c r="S109" s="13"/>
      <c r="T109" s="154"/>
      <c r="U109" s="154"/>
      <c r="V109" s="418"/>
      <c r="W109" s="159"/>
      <c r="X109" s="154"/>
      <c r="Y109" s="154"/>
      <c r="Z109" s="745"/>
      <c r="AA109" s="446"/>
      <c r="AB109" s="926">
        <f t="shared" si="65"/>
        <v>0</v>
      </c>
    </row>
    <row r="110" spans="1:28" ht="15" thickBot="1" x14ac:dyDescent="0.35">
      <c r="B110" s="1425"/>
      <c r="C110" s="1426"/>
      <c r="D110" s="13"/>
      <c r="E110" s="13"/>
      <c r="F110" s="906" t="s">
        <v>13</v>
      </c>
      <c r="G110" s="233"/>
      <c r="H110" s="13"/>
      <c r="I110" s="871"/>
      <c r="J110" s="154"/>
      <c r="K110" s="233"/>
      <c r="L110" s="233"/>
      <c r="M110" s="883">
        <f t="shared" ref="M110" si="107">H110*K110*G110</f>
        <v>0</v>
      </c>
      <c r="N110" s="233"/>
      <c r="O110" s="871"/>
      <c r="P110" s="154"/>
      <c r="Q110" s="154"/>
      <c r="R110" s="154"/>
      <c r="S110" s="13"/>
      <c r="T110" s="154"/>
      <c r="U110" s="154"/>
      <c r="V110" s="418"/>
      <c r="W110" s="159">
        <f t="shared" ref="W110" si="108">T110*M110</f>
        <v>0</v>
      </c>
      <c r="X110" s="154">
        <f t="shared" ref="X110" si="109">M110*U110</f>
        <v>0</v>
      </c>
      <c r="Y110" s="154">
        <f t="shared" ref="Y110" si="110">M110*V110</f>
        <v>0</v>
      </c>
      <c r="Z110" s="745"/>
      <c r="AA110" s="446"/>
      <c r="AB110" s="926">
        <f t="shared" si="65"/>
        <v>0</v>
      </c>
    </row>
    <row r="111" spans="1:28" ht="15" thickBot="1" x14ac:dyDescent="0.35">
      <c r="B111" s="1423">
        <v>46308</v>
      </c>
      <c r="C111" s="1424"/>
      <c r="D111" s="13"/>
      <c r="E111" s="13"/>
      <c r="F111" s="915" t="s">
        <v>12</v>
      </c>
      <c r="G111" s="880"/>
      <c r="H111" s="13"/>
      <c r="I111" s="871"/>
      <c r="J111" s="154"/>
      <c r="K111" s="233"/>
      <c r="L111" s="880"/>
      <c r="M111" s="883"/>
      <c r="N111" s="880"/>
      <c r="O111" s="871"/>
      <c r="P111" s="154"/>
      <c r="Q111" s="154"/>
      <c r="R111" s="154"/>
      <c r="S111" s="13"/>
      <c r="T111" s="154"/>
      <c r="U111" s="154"/>
      <c r="V111" s="418"/>
      <c r="W111" s="159"/>
      <c r="X111" s="154"/>
      <c r="Y111" s="154"/>
      <c r="Z111" s="745"/>
      <c r="AA111" s="446"/>
      <c r="AB111" s="926">
        <f t="shared" si="65"/>
        <v>0</v>
      </c>
    </row>
    <row r="112" spans="1:28" ht="15" thickBot="1" x14ac:dyDescent="0.35">
      <c r="B112" s="1425"/>
      <c r="C112" s="1426"/>
      <c r="D112" s="13"/>
      <c r="E112" s="13"/>
      <c r="F112" s="906" t="s">
        <v>13</v>
      </c>
      <c r="G112" s="233"/>
      <c r="H112" s="13"/>
      <c r="I112" s="871"/>
      <c r="J112" s="154"/>
      <c r="K112" s="233"/>
      <c r="L112" s="233"/>
      <c r="M112" s="883">
        <f t="shared" ref="M112" si="111">H112*K112*G112</f>
        <v>0</v>
      </c>
      <c r="N112" s="233"/>
      <c r="O112" s="871"/>
      <c r="P112" s="154"/>
      <c r="Q112" s="154"/>
      <c r="R112" s="154"/>
      <c r="S112" s="13"/>
      <c r="T112" s="154"/>
      <c r="U112" s="154"/>
      <c r="V112" s="418"/>
      <c r="W112" s="159">
        <f t="shared" ref="W112" si="112">T112*M112</f>
        <v>0</v>
      </c>
      <c r="X112" s="154">
        <f t="shared" ref="X112" si="113">M112*U112</f>
        <v>0</v>
      </c>
      <c r="Y112" s="154">
        <f t="shared" ref="Y112" si="114">M112*V112</f>
        <v>0</v>
      </c>
      <c r="Z112" s="745"/>
      <c r="AA112" s="446"/>
      <c r="AB112" s="926">
        <f t="shared" si="65"/>
        <v>0</v>
      </c>
    </row>
    <row r="113" spans="2:28" ht="18" x14ac:dyDescent="0.35">
      <c r="B113" s="125" t="s">
        <v>121</v>
      </c>
      <c r="C113" s="126"/>
      <c r="D113" s="465"/>
      <c r="E113" s="465"/>
      <c r="F113" s="873"/>
      <c r="G113" s="873"/>
      <c r="H113" s="465"/>
      <c r="I113" s="872"/>
      <c r="J113" s="873"/>
      <c r="K113" s="873"/>
      <c r="L113" s="881">
        <f>AVERAGE(L5:L102)</f>
        <v>0.72701754385964923</v>
      </c>
      <c r="M113" s="884">
        <f>SUM(M5:M106)</f>
        <v>5648.7557813760004</v>
      </c>
      <c r="N113" s="881"/>
      <c r="O113" s="931" t="e">
        <f>AVERAGE(O5:O106)</f>
        <v>#DIV/0!</v>
      </c>
      <c r="P113" s="931">
        <f>SUM(P5:P106)</f>
        <v>599.4</v>
      </c>
      <c r="Q113" s="931">
        <f>SUM(Q5:Q106)</f>
        <v>35964</v>
      </c>
      <c r="R113" s="931">
        <f>SUM(R5:R106)</f>
        <v>13777.152777777777</v>
      </c>
      <c r="S113" s="1094">
        <f>SUM(S5:S106)</f>
        <v>5648.7557813759995</v>
      </c>
      <c r="T113" s="118">
        <f>AVERAGE(T5:T43)</f>
        <v>0.65487096774193554</v>
      </c>
      <c r="U113" s="118">
        <f>AVERAGE(U5:U43)</f>
        <v>0.6632580645161289</v>
      </c>
      <c r="V113" s="118">
        <f>AVERAGE(V5:V43)</f>
        <v>8.9542903225806452</v>
      </c>
      <c r="W113" s="119" t="e">
        <f>SUM(W5:W102)</f>
        <v>#VALUE!</v>
      </c>
      <c r="X113" s="119">
        <f>SUM(X5:X16)</f>
        <v>421.51466277143334</v>
      </c>
      <c r="Y113" s="119">
        <f>SUM(Y5:Y16)</f>
        <v>5120.844159414587</v>
      </c>
      <c r="Z113" s="745"/>
      <c r="AB113" s="1633"/>
    </row>
    <row r="115" spans="2:28" x14ac:dyDescent="0.3">
      <c r="Z115" s="584" t="s">
        <v>203</v>
      </c>
      <c r="AA115" s="1">
        <f>MIN(Z5:Z102)</f>
        <v>0</v>
      </c>
    </row>
    <row r="116" spans="2:28" x14ac:dyDescent="0.3">
      <c r="N116" s="885"/>
      <c r="Z116" s="584" t="s">
        <v>202</v>
      </c>
      <c r="AA116" s="136">
        <f>MAX(Z5:Z102)</f>
        <v>11.3</v>
      </c>
    </row>
    <row r="117" spans="2:28" x14ac:dyDescent="0.3">
      <c r="W117" s="136"/>
    </row>
  </sheetData>
  <mergeCells count="173">
    <mergeCell ref="A75:A78"/>
    <mergeCell ref="A102:A104"/>
    <mergeCell ref="A79:A101"/>
    <mergeCell ref="B107:C108"/>
    <mergeCell ref="B109:C110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T88:T89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S75:S78"/>
    <mergeCell ref="P86:P87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E75:E78"/>
    <mergeCell ref="B99:C100"/>
    <mergeCell ref="N75:N76"/>
    <mergeCell ref="B103:C104"/>
    <mergeCell ref="B105:C106"/>
    <mergeCell ref="S61:S65"/>
    <mergeCell ref="B75:C76"/>
    <mergeCell ref="N77:N78"/>
    <mergeCell ref="S98:S101"/>
    <mergeCell ref="P90:P91"/>
    <mergeCell ref="R90:R91"/>
    <mergeCell ref="N79:N98"/>
    <mergeCell ref="N99:N100"/>
    <mergeCell ref="N101:N102"/>
    <mergeCell ref="R88:R89"/>
    <mergeCell ref="N103:N104"/>
    <mergeCell ref="S102:S105"/>
  </mergeCells>
  <phoneticPr fontId="94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2"/>
  <sheetViews>
    <sheetView topLeftCell="K255" zoomScale="77" zoomScaleNormal="55" workbookViewId="0">
      <selection activeCell="X240" sqref="X24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214" t="s">
        <v>664</v>
      </c>
      <c r="C2" s="1215"/>
      <c r="D2" s="1215"/>
      <c r="E2" s="1215"/>
      <c r="F2" s="1215"/>
      <c r="G2" s="1215"/>
      <c r="H2" s="1215"/>
      <c r="I2" s="1215"/>
      <c r="J2" s="1215"/>
      <c r="K2" s="1215"/>
      <c r="L2" s="1215"/>
      <c r="M2" s="1216"/>
      <c r="AD2" s="13">
        <v>2</v>
      </c>
      <c r="AE2" s="13">
        <v>9.9000000000000005E-2</v>
      </c>
    </row>
    <row r="3" spans="2:31" ht="15" thickBot="1" x14ac:dyDescent="0.35">
      <c r="B3" s="1214" t="s">
        <v>197</v>
      </c>
      <c r="C3" s="1215"/>
      <c r="D3" s="1215"/>
      <c r="E3" s="1215"/>
      <c r="F3" s="1215"/>
      <c r="G3" s="1215"/>
      <c r="H3" s="1215"/>
      <c r="I3" s="1215"/>
      <c r="J3" s="1215"/>
      <c r="K3" s="1215"/>
      <c r="L3" s="1215"/>
      <c r="M3" s="1216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662</v>
      </c>
      <c r="K7" s="1118" t="s">
        <v>371</v>
      </c>
      <c r="L7" s="1118" t="s">
        <v>185</v>
      </c>
      <c r="M7" s="1118" t="s">
        <v>195</v>
      </c>
      <c r="Q7" s="1217" t="s">
        <v>337</v>
      </c>
      <c r="R7" s="1217"/>
      <c r="S7" s="1217"/>
      <c r="T7" s="1217"/>
      <c r="U7" s="1217"/>
      <c r="V7" s="1217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0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3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218"/>
      <c r="AH34" s="1219"/>
      <c r="AI34" s="1219"/>
      <c r="AJ34" s="1219"/>
      <c r="AK34" s="1219"/>
      <c r="AL34" s="1220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08"/>
      <c r="O35" s="1113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J35-Crushing!N125</f>
        <v>-461.35209999999915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59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221" t="s">
        <v>422</v>
      </c>
      <c r="C106" s="1221"/>
      <c r="D106" s="1221"/>
      <c r="E106" s="1221"/>
      <c r="F106" s="1221"/>
      <c r="G106" s="1221"/>
      <c r="H106" s="1221"/>
      <c r="I106" s="1221"/>
      <c r="J106" s="1221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221"/>
      <c r="C107" s="1221"/>
      <c r="D107" s="1221"/>
      <c r="E107" s="1221"/>
      <c r="F107" s="1221"/>
      <c r="G107" s="1221"/>
      <c r="H107" s="1221"/>
      <c r="I107" s="1221"/>
      <c r="J107" s="1221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4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1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4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208" t="s">
        <v>669</v>
      </c>
      <c r="S211" s="262">
        <v>46289</v>
      </c>
      <c r="T211" s="6">
        <v>0.59299999999999997</v>
      </c>
      <c r="U211" s="6"/>
      <c r="V211" s="6"/>
    </row>
    <row r="212" spans="17:22" x14ac:dyDescent="0.3">
      <c r="Q212" s="208">
        <v>216</v>
      </c>
      <c r="R212" s="6" t="s">
        <v>670</v>
      </c>
      <c r="S212" s="262">
        <v>46289</v>
      </c>
      <c r="T212" s="6">
        <v>0.51400000000000001</v>
      </c>
      <c r="U212" s="6"/>
      <c r="V212" s="6"/>
    </row>
    <row r="213" spans="17:22" x14ac:dyDescent="0.3">
      <c r="Q213" s="208">
        <v>217</v>
      </c>
      <c r="R213" s="6" t="s">
        <v>671</v>
      </c>
      <c r="S213" s="262">
        <v>46289</v>
      </c>
      <c r="T213" s="6">
        <v>0.48799999999999999</v>
      </c>
      <c r="U213" s="6"/>
      <c r="V213" s="6"/>
    </row>
    <row r="214" spans="17:22" x14ac:dyDescent="0.3">
      <c r="Q214" s="208">
        <v>218</v>
      </c>
      <c r="R214" s="6" t="s">
        <v>672</v>
      </c>
      <c r="S214" s="262">
        <v>46289</v>
      </c>
      <c r="T214" s="6">
        <v>0.51700000000000002</v>
      </c>
      <c r="U214" s="6"/>
      <c r="V214" s="6"/>
    </row>
    <row r="215" spans="17:22" x14ac:dyDescent="0.3">
      <c r="Q215" s="208">
        <v>219</v>
      </c>
      <c r="R215" s="6" t="s">
        <v>673</v>
      </c>
      <c r="S215" s="262">
        <v>46289</v>
      </c>
      <c r="T215" s="6">
        <v>0.71799999999999997</v>
      </c>
      <c r="U215" s="6"/>
      <c r="V215" s="6"/>
    </row>
    <row r="216" spans="17:22" x14ac:dyDescent="0.3">
      <c r="Q216" s="208">
        <v>220</v>
      </c>
      <c r="R216" s="208" t="s">
        <v>389</v>
      </c>
      <c r="S216" s="262">
        <v>46290</v>
      </c>
      <c r="T216" s="6">
        <v>0.48399999999999999</v>
      </c>
      <c r="U216" s="6"/>
      <c r="V216" s="6"/>
    </row>
    <row r="217" spans="17:22" x14ac:dyDescent="0.3">
      <c r="Q217" s="208">
        <v>221</v>
      </c>
      <c r="R217" s="208" t="s">
        <v>391</v>
      </c>
      <c r="S217" s="262">
        <v>46290</v>
      </c>
      <c r="T217" s="6">
        <v>0.24299999999999999</v>
      </c>
      <c r="U217" s="6"/>
      <c r="V217" s="6"/>
    </row>
    <row r="218" spans="17:22" x14ac:dyDescent="0.3">
      <c r="Q218" s="208">
        <v>222</v>
      </c>
      <c r="R218" s="208" t="s">
        <v>393</v>
      </c>
      <c r="S218" s="262">
        <v>46290</v>
      </c>
      <c r="T218" s="6">
        <v>0.625</v>
      </c>
      <c r="U218" s="6"/>
      <c r="V218" s="6"/>
    </row>
    <row r="219" spans="17:22" x14ac:dyDescent="0.3">
      <c r="Q219" s="208">
        <v>223</v>
      </c>
      <c r="R219" s="208" t="s">
        <v>395</v>
      </c>
      <c r="S219" s="262">
        <v>46290</v>
      </c>
      <c r="T219" s="6">
        <v>0.41699999999999998</v>
      </c>
      <c r="U219" s="6"/>
      <c r="V219" s="6"/>
    </row>
    <row r="220" spans="17:22" x14ac:dyDescent="0.3">
      <c r="Q220" s="208">
        <v>224</v>
      </c>
      <c r="R220" s="208" t="s">
        <v>397</v>
      </c>
      <c r="S220" s="262">
        <v>46290</v>
      </c>
      <c r="T220" s="6">
        <v>0.35299999999999998</v>
      </c>
      <c r="U220" s="6"/>
      <c r="V220" s="6"/>
    </row>
    <row r="221" spans="17:22" x14ac:dyDescent="0.3">
      <c r="Q221" s="208">
        <v>225</v>
      </c>
      <c r="R221" s="208" t="s">
        <v>399</v>
      </c>
      <c r="S221" s="262">
        <v>46290</v>
      </c>
      <c r="T221" s="6">
        <v>0.46</v>
      </c>
      <c r="U221" s="6"/>
      <c r="V221" s="6"/>
    </row>
    <row r="222" spans="17:22" x14ac:dyDescent="0.3">
      <c r="Q222" s="208">
        <v>226</v>
      </c>
      <c r="R222" s="208" t="s">
        <v>401</v>
      </c>
      <c r="S222" s="262">
        <v>46290</v>
      </c>
      <c r="T222" s="6">
        <v>0.16200000000000001</v>
      </c>
      <c r="U222" s="6"/>
      <c r="V222" s="6"/>
    </row>
    <row r="223" spans="17:22" x14ac:dyDescent="0.3">
      <c r="Q223" s="208">
        <v>227</v>
      </c>
      <c r="R223" s="208" t="s">
        <v>403</v>
      </c>
      <c r="S223" s="262">
        <v>46290</v>
      </c>
      <c r="T223" s="6">
        <v>0.373</v>
      </c>
      <c r="U223" s="6"/>
      <c r="V223" s="6"/>
    </row>
    <row r="224" spans="17:22" x14ac:dyDescent="0.3">
      <c r="Q224" s="208">
        <v>228</v>
      </c>
      <c r="R224" s="208" t="s">
        <v>384</v>
      </c>
      <c r="S224" s="262">
        <v>46290</v>
      </c>
      <c r="T224" s="6">
        <v>0.92400000000000004</v>
      </c>
      <c r="U224" s="6"/>
      <c r="V224" s="6"/>
    </row>
    <row r="225" spans="17:22" x14ac:dyDescent="0.3">
      <c r="Q225" s="208">
        <v>229</v>
      </c>
      <c r="R225" s="208" t="s">
        <v>404</v>
      </c>
      <c r="S225" s="262">
        <v>46290</v>
      </c>
      <c r="T225" s="6">
        <v>0.45700000000000002</v>
      </c>
      <c r="U225" s="6"/>
      <c r="V225" s="6"/>
    </row>
    <row r="226" spans="17:22" x14ac:dyDescent="0.3">
      <c r="Q226" s="208">
        <v>230</v>
      </c>
      <c r="R226" s="208" t="s">
        <v>406</v>
      </c>
      <c r="S226" s="262">
        <v>46290</v>
      </c>
      <c r="T226" s="6">
        <v>0.309</v>
      </c>
      <c r="U226" s="6"/>
      <c r="V226" s="6"/>
    </row>
    <row r="227" spans="17:22" x14ac:dyDescent="0.3">
      <c r="Q227" s="208">
        <v>231</v>
      </c>
      <c r="R227" s="6" t="s">
        <v>670</v>
      </c>
      <c r="S227" s="262">
        <v>46290</v>
      </c>
      <c r="T227" s="6">
        <v>0.69499999999999995</v>
      </c>
      <c r="U227" s="6"/>
      <c r="V227" s="6"/>
    </row>
    <row r="228" spans="17:22" x14ac:dyDescent="0.3">
      <c r="Q228" s="208">
        <v>232</v>
      </c>
      <c r="R228" s="6" t="s">
        <v>671</v>
      </c>
      <c r="S228" s="262">
        <v>46290</v>
      </c>
      <c r="T228" s="6">
        <v>0.34300000000000003</v>
      </c>
      <c r="U228" s="6"/>
      <c r="V228" s="6"/>
    </row>
    <row r="229" spans="17:22" x14ac:dyDescent="0.3">
      <c r="Q229" s="208">
        <v>233</v>
      </c>
      <c r="R229" s="208" t="s">
        <v>669</v>
      </c>
      <c r="S229" s="262">
        <v>46291</v>
      </c>
      <c r="T229" s="6">
        <v>0.51900000000000002</v>
      </c>
      <c r="U229" s="6"/>
      <c r="V229" s="6"/>
    </row>
    <row r="230" spans="17:22" x14ac:dyDescent="0.3">
      <c r="Q230" s="208">
        <v>234</v>
      </c>
      <c r="R230" s="6" t="s">
        <v>670</v>
      </c>
      <c r="S230" s="262">
        <v>46291</v>
      </c>
      <c r="T230" s="6">
        <v>0.374</v>
      </c>
      <c r="U230" s="6"/>
      <c r="V230" s="6"/>
    </row>
    <row r="231" spans="17:22" x14ac:dyDescent="0.3">
      <c r="Q231" s="208">
        <v>235</v>
      </c>
      <c r="R231" s="6" t="s">
        <v>671</v>
      </c>
      <c r="S231" s="262">
        <v>46291</v>
      </c>
      <c r="T231" s="6">
        <v>0.379</v>
      </c>
      <c r="U231" s="6"/>
      <c r="V231" s="6"/>
    </row>
    <row r="232" spans="17:22" x14ac:dyDescent="0.3">
      <c r="Q232" s="208">
        <v>236</v>
      </c>
      <c r="R232" s="6" t="s">
        <v>674</v>
      </c>
      <c r="S232" s="262">
        <v>46292</v>
      </c>
      <c r="T232" s="6">
        <v>0.40600000000000003</v>
      </c>
      <c r="U232" s="6"/>
      <c r="V232" s="6"/>
    </row>
    <row r="233" spans="17:22" x14ac:dyDescent="0.3">
      <c r="Q233" s="208">
        <v>237</v>
      </c>
      <c r="R233" s="6" t="s">
        <v>675</v>
      </c>
      <c r="S233" s="262">
        <v>46292</v>
      </c>
      <c r="T233" s="6">
        <v>1.425</v>
      </c>
      <c r="U233" s="6"/>
      <c r="V233" s="6"/>
    </row>
    <row r="234" spans="17:22" x14ac:dyDescent="0.3">
      <c r="Q234" s="208">
        <v>238</v>
      </c>
      <c r="R234" s="208" t="s">
        <v>389</v>
      </c>
      <c r="S234" s="262">
        <v>46292</v>
      </c>
      <c r="T234" s="6">
        <v>0.48</v>
      </c>
      <c r="U234" s="6"/>
      <c r="V234" s="6"/>
    </row>
    <row r="235" spans="17:22" x14ac:dyDescent="0.3">
      <c r="Q235" s="208">
        <v>239</v>
      </c>
      <c r="R235" s="208" t="s">
        <v>391</v>
      </c>
      <c r="S235" s="262">
        <v>46292</v>
      </c>
      <c r="T235" s="6">
        <v>0.23</v>
      </c>
      <c r="U235" s="6"/>
      <c r="V235" s="6"/>
    </row>
    <row r="236" spans="17:22" x14ac:dyDescent="0.3">
      <c r="Q236" s="208">
        <v>240</v>
      </c>
      <c r="R236" s="208" t="s">
        <v>393</v>
      </c>
      <c r="S236" s="262">
        <v>46292</v>
      </c>
      <c r="T236" s="6">
        <v>0.313</v>
      </c>
      <c r="U236" s="6"/>
      <c r="V236" s="6"/>
    </row>
    <row r="237" spans="17:22" x14ac:dyDescent="0.3">
      <c r="Q237" s="208">
        <v>241</v>
      </c>
      <c r="R237" s="208" t="s">
        <v>395</v>
      </c>
      <c r="S237" s="262">
        <v>46292</v>
      </c>
      <c r="T237" s="6">
        <v>0.53</v>
      </c>
      <c r="U237" s="6"/>
      <c r="V237" s="6"/>
    </row>
    <row r="238" spans="17:22" x14ac:dyDescent="0.3">
      <c r="Q238" s="208">
        <v>242</v>
      </c>
      <c r="R238" s="208" t="s">
        <v>401</v>
      </c>
      <c r="S238" s="262">
        <v>46292</v>
      </c>
      <c r="T238" s="6">
        <v>0.622</v>
      </c>
      <c r="U238" s="6"/>
      <c r="V238" s="6"/>
    </row>
    <row r="239" spans="17:22" x14ac:dyDescent="0.3">
      <c r="Q239" s="208">
        <v>243</v>
      </c>
      <c r="R239" s="208" t="s">
        <v>403</v>
      </c>
      <c r="S239" s="262">
        <v>46292</v>
      </c>
      <c r="T239" s="6">
        <v>0.72399999999999998</v>
      </c>
      <c r="U239" s="6"/>
      <c r="V239" s="6"/>
    </row>
    <row r="240" spans="17:22" x14ac:dyDescent="0.3">
      <c r="Q240" s="208">
        <v>244</v>
      </c>
      <c r="R240" s="208" t="s">
        <v>384</v>
      </c>
      <c r="S240" s="262">
        <v>46292</v>
      </c>
      <c r="T240" s="6">
        <v>1.042</v>
      </c>
      <c r="U240" s="6"/>
      <c r="V240" s="6"/>
    </row>
    <row r="241" spans="17:22" x14ac:dyDescent="0.3">
      <c r="Q241" s="208">
        <v>245</v>
      </c>
      <c r="R241" s="6" t="s">
        <v>406</v>
      </c>
      <c r="S241" s="62">
        <v>46296</v>
      </c>
      <c r="T241" s="6">
        <v>0.95</v>
      </c>
      <c r="U241" s="6"/>
      <c r="V241" s="6"/>
    </row>
    <row r="242" spans="17:22" x14ac:dyDescent="0.3">
      <c r="Q242" s="208">
        <v>246</v>
      </c>
      <c r="R242" s="208" t="s">
        <v>669</v>
      </c>
      <c r="S242" s="62">
        <v>46296</v>
      </c>
      <c r="T242" s="6">
        <v>0.69699999999999995</v>
      </c>
      <c r="U242" s="6"/>
      <c r="V242" s="6"/>
    </row>
    <row r="243" spans="17:22" x14ac:dyDescent="0.3">
      <c r="Q243" s="208">
        <v>247</v>
      </c>
      <c r="R243" s="6" t="s">
        <v>670</v>
      </c>
      <c r="S243" s="62">
        <v>46296</v>
      </c>
      <c r="T243" s="6">
        <v>0.40400000000000003</v>
      </c>
      <c r="U243" s="6"/>
      <c r="V243" s="6"/>
    </row>
    <row r="244" spans="17:22" x14ac:dyDescent="0.3">
      <c r="Q244" s="208">
        <v>248</v>
      </c>
      <c r="R244" s="6" t="s">
        <v>671</v>
      </c>
      <c r="S244" s="62">
        <v>46296</v>
      </c>
      <c r="T244" s="6">
        <v>0.96699999999999997</v>
      </c>
      <c r="U244" s="6"/>
      <c r="V244" s="6"/>
    </row>
    <row r="245" spans="17:22" x14ac:dyDescent="0.3">
      <c r="Q245" s="13">
        <v>249</v>
      </c>
      <c r="R245" s="6" t="s">
        <v>672</v>
      </c>
      <c r="S245" s="62">
        <v>46296</v>
      </c>
      <c r="T245" s="6">
        <v>1.141</v>
      </c>
      <c r="U245" s="6"/>
      <c r="V245" s="6"/>
    </row>
    <row r="246" spans="17:22" x14ac:dyDescent="0.3">
      <c r="Q246" s="13">
        <v>250</v>
      </c>
      <c r="R246" s="6" t="s">
        <v>673</v>
      </c>
      <c r="S246" s="62">
        <v>46297</v>
      </c>
      <c r="T246" s="6">
        <v>1.7989999999999999</v>
      </c>
      <c r="U246" s="6"/>
      <c r="V246" s="6"/>
    </row>
    <row r="247" spans="17:22" x14ac:dyDescent="0.3">
      <c r="Q247" s="13">
        <v>251</v>
      </c>
      <c r="R247" s="6" t="s">
        <v>745</v>
      </c>
      <c r="S247" s="62">
        <v>46297</v>
      </c>
      <c r="T247" s="6">
        <v>2.262</v>
      </c>
      <c r="U247" s="6"/>
      <c r="V247" s="6"/>
    </row>
    <row r="248" spans="17:22" x14ac:dyDescent="0.3">
      <c r="Q248" s="13">
        <v>252</v>
      </c>
      <c r="R248" s="6" t="s">
        <v>675</v>
      </c>
      <c r="S248" s="62">
        <v>46297</v>
      </c>
      <c r="T248" s="6">
        <v>2.0390000000000001</v>
      </c>
      <c r="U248" s="6"/>
      <c r="V248" s="6"/>
    </row>
    <row r="249" spans="17:22" x14ac:dyDescent="0.3">
      <c r="Q249" s="13">
        <v>253</v>
      </c>
      <c r="R249" s="6" t="s">
        <v>676</v>
      </c>
      <c r="S249" s="62">
        <v>46297</v>
      </c>
      <c r="T249" s="6">
        <v>0.873</v>
      </c>
      <c r="U249" s="6"/>
      <c r="V249" s="6"/>
    </row>
    <row r="250" spans="17:22" x14ac:dyDescent="0.3">
      <c r="Q250" s="13">
        <v>254</v>
      </c>
      <c r="R250" s="6"/>
      <c r="S250" s="6"/>
      <c r="T250" s="6"/>
      <c r="U250" s="6"/>
      <c r="V250" s="6"/>
    </row>
    <row r="251" spans="17:22" x14ac:dyDescent="0.3">
      <c r="Q251" s="13">
        <v>255</v>
      </c>
      <c r="R251" s="6"/>
      <c r="S251" s="6"/>
      <c r="T251" s="6"/>
      <c r="U251" s="6"/>
      <c r="V251" s="6"/>
    </row>
    <row r="252" spans="17:22" x14ac:dyDescent="0.3">
      <c r="Q252" s="13">
        <v>256</v>
      </c>
      <c r="R252" s="6"/>
      <c r="S252" s="6"/>
      <c r="T252" s="6"/>
      <c r="U252" s="6"/>
      <c r="V252" s="6"/>
    </row>
    <row r="253" spans="17:22" x14ac:dyDescent="0.3">
      <c r="Q253" s="13">
        <v>257</v>
      </c>
      <c r="R253" s="6"/>
      <c r="S253" s="6"/>
      <c r="T253" s="6"/>
      <c r="U253" s="6"/>
      <c r="V253" s="6"/>
    </row>
    <row r="254" spans="17:22" x14ac:dyDescent="0.3">
      <c r="Q254" s="13">
        <v>258</v>
      </c>
      <c r="R254" s="6"/>
      <c r="S254" s="6"/>
      <c r="T254" s="6"/>
      <c r="U254" s="6"/>
      <c r="V254" s="6"/>
    </row>
    <row r="255" spans="17:22" x14ac:dyDescent="0.3">
      <c r="Q255" s="13">
        <v>259</v>
      </c>
      <c r="R255" s="6"/>
      <c r="S255" s="6"/>
      <c r="T255" s="6"/>
      <c r="U255" s="6"/>
      <c r="V255" s="6"/>
    </row>
    <row r="256" spans="17:22" x14ac:dyDescent="0.3">
      <c r="Q256" s="13">
        <v>260</v>
      </c>
      <c r="R256" s="6"/>
      <c r="S256" s="6"/>
      <c r="T256" s="6"/>
      <c r="U256" s="6"/>
      <c r="V256" s="6"/>
    </row>
    <row r="257" spans="17:22" x14ac:dyDescent="0.3">
      <c r="Q257" s="13">
        <v>261</v>
      </c>
      <c r="R257" s="6"/>
      <c r="S257" s="6"/>
      <c r="T257" s="6"/>
      <c r="U257" s="6"/>
      <c r="V257" s="6"/>
    </row>
    <row r="258" spans="17:22" x14ac:dyDescent="0.3">
      <c r="Q258" s="13">
        <v>262</v>
      </c>
      <c r="R258" s="6"/>
      <c r="S258" s="6"/>
      <c r="T258" s="6"/>
      <c r="U258" s="6"/>
      <c r="V258" s="6"/>
    </row>
    <row r="259" spans="17:22" x14ac:dyDescent="0.3">
      <c r="Q259" s="13">
        <v>263</v>
      </c>
      <c r="R259" s="6"/>
      <c r="S259" s="6"/>
      <c r="T259" s="6"/>
      <c r="U259" s="6"/>
      <c r="V259" s="6"/>
    </row>
    <row r="260" spans="17:22" x14ac:dyDescent="0.3">
      <c r="Q260" s="13">
        <v>264</v>
      </c>
      <c r="R260" s="6"/>
      <c r="S260" s="6"/>
      <c r="T260" s="6"/>
      <c r="U260" s="6"/>
      <c r="V260" s="6"/>
    </row>
    <row r="261" spans="17:22" x14ac:dyDescent="0.3">
      <c r="Q261" s="13">
        <v>265</v>
      </c>
      <c r="R261" s="6"/>
      <c r="S261" s="6"/>
      <c r="T261" s="6"/>
      <c r="U261" s="6"/>
      <c r="V261" s="6"/>
    </row>
    <row r="262" spans="17:22" x14ac:dyDescent="0.3">
      <c r="Q262" s="13">
        <v>266</v>
      </c>
      <c r="R262" s="6"/>
      <c r="S262" s="6"/>
      <c r="T262" s="6"/>
      <c r="U262" s="6"/>
      <c r="V262" s="6"/>
    </row>
    <row r="263" spans="17:22" x14ac:dyDescent="0.3">
      <c r="Q263" s="13">
        <v>267</v>
      </c>
      <c r="R263" s="6"/>
      <c r="S263" s="6"/>
      <c r="T263" s="6"/>
      <c r="U263" s="6"/>
      <c r="V263" s="6"/>
    </row>
    <row r="264" spans="17:22" x14ac:dyDescent="0.3">
      <c r="Q264" s="13">
        <v>268</v>
      </c>
      <c r="R264" s="6"/>
      <c r="S264" s="6"/>
      <c r="T264" s="6"/>
      <c r="U264" s="6"/>
      <c r="V264" s="6"/>
    </row>
    <row r="265" spans="17:22" x14ac:dyDescent="0.3">
      <c r="Q265" s="13">
        <v>269</v>
      </c>
      <c r="R265" s="6"/>
      <c r="S265" s="6"/>
      <c r="T265" s="6"/>
      <c r="U265" s="6"/>
      <c r="V265" s="6"/>
    </row>
    <row r="266" spans="17:22" x14ac:dyDescent="0.3">
      <c r="Q266" s="13">
        <v>270</v>
      </c>
      <c r="R266" s="6"/>
      <c r="S266" s="6"/>
      <c r="T266" s="6"/>
      <c r="U266" s="6"/>
      <c r="V266" s="6"/>
    </row>
    <row r="267" spans="17:22" x14ac:dyDescent="0.3">
      <c r="Q267" s="13">
        <v>271</v>
      </c>
      <c r="R267" s="6"/>
      <c r="S267" s="6"/>
      <c r="T267" s="6"/>
      <c r="U267" s="6"/>
      <c r="V267" s="6"/>
    </row>
    <row r="268" spans="17:22" x14ac:dyDescent="0.3">
      <c r="Q268" s="13">
        <v>272</v>
      </c>
      <c r="R268" s="6"/>
      <c r="S268" s="6"/>
      <c r="T268" s="6"/>
      <c r="U268" s="6"/>
      <c r="V268" s="6"/>
    </row>
    <row r="269" spans="17:22" x14ac:dyDescent="0.3">
      <c r="Q269" s="13">
        <v>273</v>
      </c>
      <c r="R269" s="6"/>
      <c r="S269" s="6"/>
      <c r="T269" s="6"/>
      <c r="U269" s="6"/>
      <c r="V269" s="6"/>
    </row>
    <row r="270" spans="17:22" x14ac:dyDescent="0.3">
      <c r="Q270" s="13">
        <v>274</v>
      </c>
      <c r="R270" s="6"/>
      <c r="S270" s="6"/>
      <c r="T270" s="6"/>
      <c r="U270" s="6"/>
      <c r="V270" s="6"/>
    </row>
    <row r="271" spans="17:22" x14ac:dyDescent="0.3">
      <c r="Q271" s="13">
        <v>275</v>
      </c>
      <c r="R271" s="6"/>
      <c r="S271" s="6"/>
      <c r="T271" s="6"/>
      <c r="U271" s="6"/>
      <c r="V271" s="6"/>
    </row>
    <row r="272" spans="17:22" x14ac:dyDescent="0.3">
      <c r="Q272" s="13">
        <v>276</v>
      </c>
      <c r="R272" s="6"/>
      <c r="S272" s="6"/>
      <c r="T272" s="6"/>
      <c r="U272" s="6"/>
      <c r="V272" s="6"/>
    </row>
    <row r="273" spans="17:22" x14ac:dyDescent="0.3">
      <c r="Q273" s="13">
        <v>277</v>
      </c>
      <c r="R273" s="6"/>
      <c r="S273" s="6"/>
      <c r="T273" s="6"/>
      <c r="U273" s="6"/>
      <c r="V273" s="6"/>
    </row>
    <row r="274" spans="17:22" x14ac:dyDescent="0.3">
      <c r="Q274" s="13">
        <v>278</v>
      </c>
      <c r="R274" s="6"/>
      <c r="S274" s="6"/>
      <c r="T274" s="6"/>
      <c r="U274" s="6"/>
      <c r="V274" s="6"/>
    </row>
    <row r="275" spans="17:22" x14ac:dyDescent="0.3">
      <c r="Q275" s="13">
        <v>279</v>
      </c>
      <c r="R275" s="6"/>
      <c r="S275" s="6"/>
      <c r="T275" s="6"/>
      <c r="U275" s="6"/>
      <c r="V275" s="6"/>
    </row>
    <row r="276" spans="17:22" x14ac:dyDescent="0.3">
      <c r="Q276" s="13">
        <v>280</v>
      </c>
      <c r="R276" s="6"/>
      <c r="S276" s="6"/>
      <c r="T276" s="6"/>
      <c r="U276" s="6"/>
      <c r="V276" s="6"/>
    </row>
    <row r="277" spans="17:22" x14ac:dyDescent="0.3">
      <c r="Q277" s="13">
        <v>281</v>
      </c>
      <c r="R277" s="6"/>
      <c r="S277" s="6"/>
      <c r="T277" s="6"/>
      <c r="U277" s="6"/>
      <c r="V277" s="6"/>
    </row>
    <row r="278" spans="17:22" x14ac:dyDescent="0.3">
      <c r="Q278" s="13">
        <v>282</v>
      </c>
      <c r="R278" s="6"/>
      <c r="S278" s="6"/>
      <c r="T278" s="6"/>
      <c r="U278" s="6"/>
      <c r="V278" s="6"/>
    </row>
    <row r="279" spans="17:22" x14ac:dyDescent="0.3">
      <c r="Q279" s="13">
        <v>283</v>
      </c>
      <c r="R279" s="6"/>
      <c r="S279" s="6"/>
      <c r="T279" s="6"/>
      <c r="U279" s="6"/>
      <c r="V279" s="6"/>
    </row>
    <row r="280" spans="17:22" x14ac:dyDescent="0.3">
      <c r="Q280" s="13">
        <v>284</v>
      </c>
      <c r="R280" s="6"/>
      <c r="S280" s="6"/>
      <c r="T280" s="6"/>
      <c r="U280" s="6"/>
      <c r="V280" s="6"/>
    </row>
    <row r="281" spans="17:22" x14ac:dyDescent="0.3">
      <c r="Q281" s="13">
        <v>285</v>
      </c>
      <c r="R281" s="6"/>
      <c r="S281" s="6"/>
      <c r="T281" s="6"/>
      <c r="U281" s="6"/>
      <c r="V281" s="6"/>
    </row>
    <row r="282" spans="17:22" x14ac:dyDescent="0.3">
      <c r="Q282" s="13">
        <v>286</v>
      </c>
      <c r="R282" s="6"/>
      <c r="S282" s="6"/>
      <c r="T282" s="6"/>
      <c r="U282" s="6"/>
      <c r="V282" s="6"/>
    </row>
    <row r="283" spans="17:22" x14ac:dyDescent="0.3">
      <c r="Q283" s="13">
        <v>287</v>
      </c>
      <c r="R283" s="6"/>
      <c r="S283" s="6"/>
      <c r="T283" s="6"/>
      <c r="U283" s="6"/>
      <c r="V283" s="6"/>
    </row>
    <row r="284" spans="17:22" x14ac:dyDescent="0.3">
      <c r="Q284" s="13">
        <v>288</v>
      </c>
      <c r="R284" s="6"/>
      <c r="S284" s="6"/>
      <c r="T284" s="6"/>
      <c r="U284" s="6"/>
      <c r="V284" s="6"/>
    </row>
    <row r="285" spans="17:22" x14ac:dyDescent="0.3">
      <c r="Q285" s="13">
        <v>289</v>
      </c>
      <c r="R285" s="6"/>
      <c r="S285" s="6"/>
      <c r="T285" s="6"/>
      <c r="U285" s="6"/>
      <c r="V285" s="6"/>
    </row>
    <row r="286" spans="17:22" x14ac:dyDescent="0.3">
      <c r="Q286" s="13">
        <v>290</v>
      </c>
      <c r="R286" s="6"/>
      <c r="S286" s="6"/>
      <c r="T286" s="6"/>
      <c r="U286" s="6"/>
      <c r="V286" s="6"/>
    </row>
    <row r="287" spans="17:22" x14ac:dyDescent="0.3">
      <c r="Q287" s="13">
        <v>291</v>
      </c>
      <c r="R287" s="6"/>
      <c r="S287" s="6"/>
      <c r="T287" s="6"/>
      <c r="U287" s="6"/>
      <c r="V287" s="6"/>
    </row>
    <row r="288" spans="17:22" x14ac:dyDescent="0.3">
      <c r="Q288" s="13">
        <v>292</v>
      </c>
      <c r="R288" s="6"/>
      <c r="S288" s="6"/>
      <c r="T288" s="6"/>
      <c r="U288" s="6"/>
      <c r="V288" s="6"/>
    </row>
    <row r="289" spans="17:22" x14ac:dyDescent="0.3">
      <c r="Q289" s="13">
        <v>293</v>
      </c>
      <c r="R289" s="6"/>
      <c r="S289" s="6"/>
      <c r="T289" s="6"/>
      <c r="U289" s="6"/>
      <c r="V289" s="6"/>
    </row>
    <row r="290" spans="17:22" x14ac:dyDescent="0.3">
      <c r="Q290" s="13">
        <v>294</v>
      </c>
      <c r="R290" s="6"/>
      <c r="S290" s="6"/>
      <c r="T290" s="6"/>
      <c r="U290" s="6"/>
      <c r="V290" s="6"/>
    </row>
    <row r="291" spans="17:22" x14ac:dyDescent="0.3">
      <c r="Q291" s="13">
        <v>295</v>
      </c>
      <c r="R291" s="6"/>
      <c r="S291" s="6"/>
      <c r="T291" s="6"/>
      <c r="U291" s="6"/>
      <c r="V291" s="6"/>
    </row>
    <row r="292" spans="17:22" x14ac:dyDescent="0.3">
      <c r="Q292" s="13">
        <v>296</v>
      </c>
      <c r="R292" s="6"/>
      <c r="S292" s="6"/>
      <c r="T292" s="6"/>
      <c r="U292" s="6"/>
      <c r="V292" s="6"/>
    </row>
    <row r="293" spans="17:22" x14ac:dyDescent="0.3">
      <c r="Q293" s="13">
        <v>297</v>
      </c>
      <c r="R293" s="6"/>
      <c r="S293" s="6"/>
      <c r="T293" s="6"/>
      <c r="U293" s="6"/>
      <c r="V293" s="6"/>
    </row>
    <row r="294" spans="17:22" x14ac:dyDescent="0.3">
      <c r="Q294" s="13">
        <v>298</v>
      </c>
      <c r="R294" s="6"/>
      <c r="S294" s="6"/>
      <c r="T294" s="6"/>
      <c r="U294" s="6"/>
      <c r="V294" s="6"/>
    </row>
    <row r="295" spans="17:22" x14ac:dyDescent="0.3">
      <c r="Q295" s="13">
        <v>299</v>
      </c>
      <c r="R295" s="6"/>
      <c r="S295" s="6"/>
      <c r="T295" s="6"/>
      <c r="U295" s="6"/>
      <c r="V295" s="6"/>
    </row>
    <row r="296" spans="17:22" x14ac:dyDescent="0.3">
      <c r="Q296" s="13">
        <v>300</v>
      </c>
      <c r="R296" s="6"/>
      <c r="S296" s="6"/>
      <c r="T296" s="6"/>
      <c r="U296" s="6"/>
      <c r="V296" s="6"/>
    </row>
    <row r="297" spans="17:22" x14ac:dyDescent="0.3">
      <c r="Q297" s="13">
        <v>301</v>
      </c>
      <c r="R297" s="6"/>
      <c r="S297" s="6"/>
      <c r="T297" s="6"/>
      <c r="U297" s="6"/>
      <c r="V297" s="6"/>
    </row>
    <row r="298" spans="17:22" x14ac:dyDescent="0.3">
      <c r="Q298" s="13">
        <v>302</v>
      </c>
      <c r="R298" s="6"/>
      <c r="S298" s="6"/>
      <c r="T298" s="6"/>
      <c r="U298" s="6"/>
      <c r="V298" s="6"/>
    </row>
    <row r="299" spans="17:22" x14ac:dyDescent="0.3">
      <c r="Q299" s="13">
        <v>303</v>
      </c>
      <c r="R299" s="6"/>
      <c r="S299" s="6"/>
      <c r="T299" s="6"/>
      <c r="U299" s="6"/>
      <c r="V299" s="6"/>
    </row>
    <row r="300" spans="17:22" x14ac:dyDescent="0.3">
      <c r="Q300" s="13">
        <v>304</v>
      </c>
      <c r="R300" s="6"/>
      <c r="S300" s="6"/>
      <c r="T300" s="6"/>
      <c r="U300" s="6"/>
      <c r="V300" s="6"/>
    </row>
    <row r="301" spans="17:22" x14ac:dyDescent="0.3">
      <c r="Q301" s="13">
        <v>305</v>
      </c>
      <c r="R301" s="6"/>
      <c r="S301" s="6"/>
      <c r="T301" s="6"/>
      <c r="U301" s="6"/>
      <c r="V301" s="6"/>
    </row>
    <row r="302" spans="17:22" x14ac:dyDescent="0.3">
      <c r="Q302" s="13">
        <v>306</v>
      </c>
      <c r="R302" s="6"/>
      <c r="S302" s="6"/>
      <c r="T302" s="6"/>
      <c r="U302" s="6"/>
      <c r="V302" s="6"/>
    </row>
    <row r="303" spans="17:22" x14ac:dyDescent="0.3">
      <c r="Q303" s="13">
        <v>307</v>
      </c>
      <c r="R303" s="6"/>
      <c r="S303" s="6"/>
      <c r="T303" s="6"/>
      <c r="U303" s="6"/>
      <c r="V303" s="6"/>
    </row>
    <row r="304" spans="17:22" x14ac:dyDescent="0.3">
      <c r="Q304" s="13">
        <v>308</v>
      </c>
      <c r="R304" s="6"/>
      <c r="S304" s="6"/>
      <c r="T304" s="6"/>
      <c r="U304" s="6"/>
      <c r="V304" s="6"/>
    </row>
    <row r="305" spans="17:22" x14ac:dyDescent="0.3">
      <c r="Q305" s="13">
        <v>309</v>
      </c>
      <c r="R305" s="6"/>
      <c r="S305" s="6"/>
      <c r="T305" s="6"/>
      <c r="U305" s="6"/>
      <c r="V305" s="6"/>
    </row>
    <row r="306" spans="17:22" x14ac:dyDescent="0.3">
      <c r="Q306" s="13">
        <v>310</v>
      </c>
      <c r="R306" s="6"/>
      <c r="S306" s="6"/>
      <c r="T306" s="6"/>
      <c r="U306" s="6"/>
      <c r="V306" s="6"/>
    </row>
    <row r="307" spans="17:22" x14ac:dyDescent="0.3">
      <c r="Q307" s="13">
        <v>311</v>
      </c>
      <c r="R307" s="6"/>
      <c r="S307" s="6"/>
      <c r="T307" s="6"/>
      <c r="U307" s="6"/>
      <c r="V307" s="6"/>
    </row>
    <row r="308" spans="17:22" x14ac:dyDescent="0.3">
      <c r="Q308" s="13">
        <v>312</v>
      </c>
      <c r="R308" s="6"/>
      <c r="S308" s="6"/>
      <c r="T308" s="6"/>
      <c r="U308" s="6"/>
      <c r="V308" s="6"/>
    </row>
    <row r="309" spans="17:22" x14ac:dyDescent="0.3">
      <c r="Q309" s="13">
        <v>313</v>
      </c>
      <c r="R309" s="6"/>
      <c r="S309" s="6"/>
      <c r="T309" s="6"/>
      <c r="U309" s="6"/>
      <c r="V309" s="6"/>
    </row>
    <row r="310" spans="17:22" x14ac:dyDescent="0.3">
      <c r="Q310" s="13">
        <v>314</v>
      </c>
      <c r="R310" s="6"/>
      <c r="S310" s="6"/>
      <c r="T310" s="6"/>
      <c r="U310" s="6"/>
      <c r="V310" s="6"/>
    </row>
    <row r="311" spans="17:22" x14ac:dyDescent="0.3">
      <c r="Q311" s="13">
        <v>315</v>
      </c>
      <c r="R311" s="6"/>
      <c r="S311" s="6"/>
      <c r="T311" s="6"/>
      <c r="U311" s="6"/>
      <c r="V311" s="6"/>
    </row>
    <row r="312" spans="17:22" x14ac:dyDescent="0.3">
      <c r="Q312" s="13">
        <v>316</v>
      </c>
      <c r="R312" s="6"/>
      <c r="S312" s="6"/>
      <c r="T312" s="6"/>
      <c r="U312" s="6"/>
      <c r="V312" s="6"/>
    </row>
    <row r="313" spans="17:22" x14ac:dyDescent="0.3">
      <c r="Q313" s="13">
        <v>317</v>
      </c>
      <c r="R313" s="6"/>
      <c r="S313" s="6"/>
      <c r="T313" s="6"/>
      <c r="U313" s="6"/>
      <c r="V313" s="6"/>
    </row>
    <row r="314" spans="17:22" x14ac:dyDescent="0.3">
      <c r="Q314" s="13">
        <v>318</v>
      </c>
      <c r="R314" s="6"/>
      <c r="S314" s="6"/>
      <c r="T314" s="6"/>
      <c r="U314" s="6"/>
      <c r="V314" s="6"/>
    </row>
    <row r="315" spans="17:22" x14ac:dyDescent="0.3">
      <c r="Q315" s="13">
        <v>319</v>
      </c>
      <c r="R315" s="6"/>
      <c r="S315" s="6"/>
      <c r="T315" s="6"/>
      <c r="U315" s="6"/>
      <c r="V315" s="6"/>
    </row>
    <row r="316" spans="17:22" x14ac:dyDescent="0.3">
      <c r="Q316" s="13">
        <v>320</v>
      </c>
      <c r="R316" s="6"/>
      <c r="S316" s="6"/>
      <c r="T316" s="6"/>
      <c r="U316" s="6"/>
      <c r="V316" s="6"/>
    </row>
    <row r="317" spans="17:22" x14ac:dyDescent="0.3">
      <c r="Q317" s="13">
        <v>321</v>
      </c>
      <c r="R317" s="6"/>
      <c r="S317" s="6"/>
      <c r="T317" s="6"/>
      <c r="U317" s="6"/>
      <c r="V317" s="6"/>
    </row>
    <row r="318" spans="17:22" x14ac:dyDescent="0.3">
      <c r="Q318" s="13">
        <v>322</v>
      </c>
      <c r="R318" s="6"/>
      <c r="S318" s="6"/>
      <c r="T318" s="6"/>
      <c r="U318" s="6"/>
      <c r="V318" s="6"/>
    </row>
    <row r="319" spans="17:22" x14ac:dyDescent="0.3">
      <c r="Q319" s="13">
        <v>323</v>
      </c>
      <c r="R319" s="6"/>
      <c r="S319" s="6"/>
      <c r="T319" s="6"/>
      <c r="U319" s="6"/>
      <c r="V319" s="6"/>
    </row>
    <row r="320" spans="17:22" x14ac:dyDescent="0.3">
      <c r="Q320" s="13">
        <v>324</v>
      </c>
      <c r="R320" s="6"/>
      <c r="S320" s="6"/>
      <c r="T320" s="6"/>
      <c r="U320" s="6"/>
      <c r="V320" s="6"/>
    </row>
    <row r="321" spans="17:22" x14ac:dyDescent="0.3">
      <c r="Q321" s="13">
        <v>325</v>
      </c>
      <c r="R321" s="6"/>
      <c r="S321" s="6"/>
      <c r="T321" s="6"/>
      <c r="U321" s="6"/>
      <c r="V321" s="6"/>
    </row>
    <row r="322" spans="17:22" x14ac:dyDescent="0.3">
      <c r="Q322" s="13">
        <v>326</v>
      </c>
      <c r="R322" s="6"/>
      <c r="S322" s="6"/>
      <c r="T322" s="6"/>
      <c r="U322" s="6"/>
      <c r="V322" s="6"/>
    </row>
    <row r="323" spans="17:22" x14ac:dyDescent="0.3">
      <c r="Q323" s="13">
        <v>327</v>
      </c>
      <c r="R323" s="6"/>
      <c r="S323" s="6"/>
      <c r="T323" s="6"/>
      <c r="U323" s="6"/>
      <c r="V323" s="6"/>
    </row>
    <row r="324" spans="17:22" x14ac:dyDescent="0.3">
      <c r="Q324" s="13">
        <v>328</v>
      </c>
      <c r="R324" s="6"/>
      <c r="S324" s="6"/>
      <c r="T324" s="6"/>
      <c r="U324" s="6"/>
      <c r="V324" s="6"/>
    </row>
    <row r="325" spans="17:22" x14ac:dyDescent="0.3">
      <c r="Q325" s="13">
        <v>329</v>
      </c>
      <c r="R325" s="6"/>
      <c r="S325" s="6"/>
      <c r="T325" s="6"/>
      <c r="U325" s="6"/>
      <c r="V325" s="6"/>
    </row>
    <row r="326" spans="17:22" x14ac:dyDescent="0.3">
      <c r="Q326" s="13">
        <v>330</v>
      </c>
      <c r="R326" s="6"/>
      <c r="S326" s="6"/>
      <c r="T326" s="6"/>
      <c r="U326" s="6"/>
      <c r="V326" s="6"/>
    </row>
    <row r="327" spans="17:22" x14ac:dyDescent="0.3">
      <c r="Q327" s="13">
        <v>331</v>
      </c>
      <c r="R327" s="6"/>
      <c r="S327" s="6"/>
      <c r="T327" s="6"/>
      <c r="U327" s="6"/>
      <c r="V327" s="6"/>
    </row>
    <row r="328" spans="17:22" x14ac:dyDescent="0.3">
      <c r="Q328" s="13">
        <v>332</v>
      </c>
      <c r="R328" s="6"/>
      <c r="S328" s="6"/>
      <c r="T328" s="6"/>
      <c r="U328" s="6"/>
      <c r="V328" s="6"/>
    </row>
    <row r="329" spans="17:22" x14ac:dyDescent="0.3">
      <c r="Q329" s="13">
        <v>333</v>
      </c>
      <c r="R329" s="6"/>
      <c r="S329" s="6"/>
      <c r="T329" s="6"/>
      <c r="U329" s="6"/>
      <c r="V329" s="6"/>
    </row>
    <row r="330" spans="17:22" x14ac:dyDescent="0.3">
      <c r="Q330" s="13">
        <v>334</v>
      </c>
      <c r="R330" s="6"/>
      <c r="S330" s="6"/>
      <c r="T330" s="6"/>
      <c r="U330" s="6"/>
      <c r="V330" s="6"/>
    </row>
    <row r="331" spans="17:22" x14ac:dyDescent="0.3">
      <c r="Q331" s="13">
        <v>335</v>
      </c>
      <c r="R331" s="6"/>
      <c r="S331" s="6"/>
      <c r="T331" s="6"/>
      <c r="U331" s="6"/>
      <c r="V331" s="6"/>
    </row>
    <row r="332" spans="17:22" x14ac:dyDescent="0.3">
      <c r="Q332" s="13">
        <v>336</v>
      </c>
      <c r="R332" s="6"/>
      <c r="S332" s="6"/>
      <c r="T332" s="6"/>
      <c r="U332" s="6"/>
      <c r="V332" s="6"/>
    </row>
    <row r="333" spans="17:22" x14ac:dyDescent="0.3">
      <c r="Q333" s="13">
        <v>337</v>
      </c>
      <c r="R333" s="6"/>
      <c r="S333" s="6"/>
      <c r="T333" s="6"/>
      <c r="U333" s="6"/>
      <c r="V333" s="6"/>
    </row>
    <row r="334" spans="17:22" x14ac:dyDescent="0.3">
      <c r="Q334" s="13">
        <v>338</v>
      </c>
      <c r="R334" s="6"/>
      <c r="S334" s="6"/>
      <c r="T334" s="6"/>
      <c r="U334" s="6"/>
      <c r="V334" s="6"/>
    </row>
    <row r="335" spans="17:22" x14ac:dyDescent="0.3">
      <c r="Q335" s="13">
        <v>339</v>
      </c>
      <c r="R335" s="6"/>
      <c r="S335" s="6"/>
      <c r="T335" s="6"/>
      <c r="U335" s="6"/>
      <c r="V335" s="6"/>
    </row>
    <row r="336" spans="17:22" x14ac:dyDescent="0.3">
      <c r="Q336" s="13">
        <v>340</v>
      </c>
      <c r="R336" s="6"/>
      <c r="S336" s="6"/>
      <c r="T336" s="6"/>
      <c r="U336" s="6"/>
      <c r="V336" s="6"/>
    </row>
    <row r="337" spans="17:22" x14ac:dyDescent="0.3">
      <c r="Q337" s="13">
        <v>341</v>
      </c>
      <c r="R337" s="6"/>
      <c r="S337" s="6"/>
      <c r="T337" s="6"/>
      <c r="U337" s="6"/>
      <c r="V337" s="6"/>
    </row>
    <row r="338" spans="17:22" x14ac:dyDescent="0.3">
      <c r="Q338" s="13">
        <v>342</v>
      </c>
      <c r="R338" s="6"/>
      <c r="S338" s="6"/>
      <c r="T338" s="6"/>
      <c r="U338" s="6"/>
      <c r="V338" s="6"/>
    </row>
    <row r="339" spans="17:22" x14ac:dyDescent="0.3">
      <c r="Q339" s="13">
        <v>343</v>
      </c>
      <c r="R339" s="6"/>
      <c r="S339" s="6"/>
      <c r="T339" s="6"/>
      <c r="U339" s="6"/>
      <c r="V339" s="6"/>
    </row>
    <row r="340" spans="17:22" x14ac:dyDescent="0.3">
      <c r="Q340" s="13">
        <v>344</v>
      </c>
      <c r="R340" s="6"/>
      <c r="S340" s="6"/>
      <c r="T340" s="6"/>
      <c r="U340" s="6"/>
      <c r="V340" s="6"/>
    </row>
    <row r="341" spans="17:22" x14ac:dyDescent="0.3">
      <c r="Q341" s="13">
        <v>345</v>
      </c>
      <c r="R341" s="6"/>
      <c r="S341" s="6"/>
      <c r="T341" s="6"/>
      <c r="U341" s="6"/>
      <c r="V341" s="6"/>
    </row>
    <row r="342" spans="17:22" x14ac:dyDescent="0.3">
      <c r="Q342" s="13">
        <v>346</v>
      </c>
      <c r="R342" s="6"/>
      <c r="S342" s="6"/>
      <c r="T342" s="6"/>
      <c r="U342" s="6"/>
      <c r="V342" s="6"/>
    </row>
    <row r="343" spans="17:22" x14ac:dyDescent="0.3">
      <c r="Q343" s="13">
        <v>347</v>
      </c>
      <c r="R343" s="6"/>
      <c r="S343" s="6"/>
      <c r="T343" s="6"/>
      <c r="U343" s="6"/>
      <c r="V343" s="6"/>
    </row>
    <row r="344" spans="17:22" x14ac:dyDescent="0.3">
      <c r="Q344" s="13">
        <v>348</v>
      </c>
      <c r="R344" s="6"/>
      <c r="S344" s="6"/>
      <c r="T344" s="6"/>
      <c r="U344" s="6"/>
      <c r="V344" s="6"/>
    </row>
    <row r="345" spans="17:22" x14ac:dyDescent="0.3">
      <c r="Q345" s="13">
        <v>349</v>
      </c>
      <c r="R345" s="6"/>
      <c r="S345" s="6"/>
      <c r="T345" s="6"/>
      <c r="U345" s="6"/>
      <c r="V345" s="6"/>
    </row>
    <row r="346" spans="17:22" x14ac:dyDescent="0.3">
      <c r="Q346" s="13">
        <v>350</v>
      </c>
      <c r="R346" s="6"/>
      <c r="S346" s="6"/>
      <c r="T346" s="6"/>
      <c r="U346" s="6"/>
      <c r="V346" s="6"/>
    </row>
    <row r="347" spans="17:22" x14ac:dyDescent="0.3">
      <c r="Q347" s="13">
        <v>351</v>
      </c>
      <c r="R347" s="6"/>
      <c r="S347" s="6"/>
      <c r="T347" s="6"/>
      <c r="U347" s="6"/>
      <c r="V347" s="6"/>
    </row>
    <row r="348" spans="17:22" x14ac:dyDescent="0.3">
      <c r="Q348" s="13">
        <v>352</v>
      </c>
      <c r="R348" s="6"/>
      <c r="S348" s="6"/>
      <c r="T348" s="6"/>
      <c r="U348" s="6"/>
      <c r="V348" s="6"/>
    </row>
    <row r="349" spans="17:22" x14ac:dyDescent="0.3">
      <c r="Q349" s="13">
        <v>353</v>
      </c>
      <c r="R349" s="6"/>
      <c r="S349" s="6"/>
      <c r="T349" s="6"/>
      <c r="U349" s="6"/>
      <c r="V349" s="6"/>
    </row>
    <row r="350" spans="17:22" x14ac:dyDescent="0.3">
      <c r="Q350" s="13">
        <v>354</v>
      </c>
      <c r="R350" s="6"/>
      <c r="S350" s="6"/>
      <c r="T350" s="6"/>
      <c r="U350" s="6"/>
      <c r="V350" s="6"/>
    </row>
    <row r="351" spans="17:22" x14ac:dyDescent="0.3">
      <c r="Q351" s="13">
        <v>355</v>
      </c>
      <c r="R351" s="6"/>
      <c r="S351" s="6"/>
      <c r="T351" s="6"/>
      <c r="U351" s="6"/>
      <c r="V351" s="6"/>
    </row>
    <row r="352" spans="17:22" x14ac:dyDescent="0.3">
      <c r="Q352" s="13">
        <v>356</v>
      </c>
      <c r="R352" s="6"/>
      <c r="S352" s="6"/>
      <c r="T352" s="6"/>
      <c r="U352" s="6"/>
      <c r="V352" s="6"/>
    </row>
    <row r="353" spans="17:22" x14ac:dyDescent="0.3">
      <c r="Q353" s="13">
        <v>357</v>
      </c>
      <c r="R353" s="6"/>
      <c r="S353" s="6"/>
      <c r="T353" s="6"/>
      <c r="U353" s="6"/>
      <c r="V353" s="6"/>
    </row>
    <row r="354" spans="17:22" x14ac:dyDescent="0.3">
      <c r="Q354" s="13">
        <v>358</v>
      </c>
      <c r="R354" s="6"/>
      <c r="S354" s="6"/>
      <c r="T354" s="6"/>
      <c r="U354" s="6"/>
      <c r="V354" s="6"/>
    </row>
    <row r="355" spans="17:22" x14ac:dyDescent="0.3">
      <c r="Q355" s="13">
        <v>359</v>
      </c>
      <c r="R355" s="6"/>
      <c r="S355" s="6"/>
      <c r="T355" s="6"/>
      <c r="U355" s="6"/>
      <c r="V355" s="6"/>
    </row>
    <row r="356" spans="17:22" x14ac:dyDescent="0.3">
      <c r="Q356" s="13">
        <v>360</v>
      </c>
      <c r="R356" s="6"/>
      <c r="S356" s="6"/>
      <c r="T356" s="6"/>
      <c r="U356" s="6"/>
      <c r="V356" s="6"/>
    </row>
    <row r="357" spans="17:22" x14ac:dyDescent="0.3">
      <c r="Q357" s="13">
        <v>361</v>
      </c>
      <c r="R357" s="6"/>
      <c r="S357" s="6"/>
      <c r="T357" s="6"/>
      <c r="U357" s="6"/>
      <c r="V357" s="6"/>
    </row>
    <row r="358" spans="17:22" x14ac:dyDescent="0.3">
      <c r="Q358" s="13">
        <v>362</v>
      </c>
      <c r="R358" s="6"/>
      <c r="S358" s="6"/>
      <c r="T358" s="6"/>
      <c r="U358" s="6"/>
      <c r="V358" s="6"/>
    </row>
    <row r="359" spans="17:22" x14ac:dyDescent="0.3">
      <c r="Q359" s="13">
        <v>363</v>
      </c>
      <c r="R359" s="6"/>
      <c r="S359" s="6"/>
      <c r="T359" s="6"/>
      <c r="U359" s="6"/>
      <c r="V359" s="6"/>
    </row>
    <row r="360" spans="17:22" x14ac:dyDescent="0.3">
      <c r="Q360" s="13">
        <v>364</v>
      </c>
      <c r="R360" s="6"/>
      <c r="S360" s="6"/>
      <c r="T360" s="6"/>
      <c r="U360" s="6"/>
      <c r="V360" s="6"/>
    </row>
    <row r="361" spans="17:22" x14ac:dyDescent="0.3">
      <c r="Q361" s="13">
        <v>365</v>
      </c>
      <c r="R361" s="6"/>
      <c r="S361" s="6"/>
      <c r="T361" s="6"/>
      <c r="U361" s="6"/>
      <c r="V361" s="6"/>
    </row>
    <row r="362" spans="17:22" x14ac:dyDescent="0.3">
      <c r="Q362" s="13">
        <v>366</v>
      </c>
      <c r="R362" s="6"/>
      <c r="S362" s="6"/>
      <c r="T362" s="6"/>
      <c r="U362" s="6"/>
      <c r="V362" s="6"/>
    </row>
    <row r="363" spans="17:22" x14ac:dyDescent="0.3">
      <c r="Q363" s="13">
        <v>367</v>
      </c>
      <c r="R363" s="6"/>
      <c r="S363" s="6"/>
      <c r="T363" s="6"/>
      <c r="U363" s="6"/>
      <c r="V363" s="6"/>
    </row>
    <row r="364" spans="17:22" x14ac:dyDescent="0.3">
      <c r="Q364" s="13">
        <v>368</v>
      </c>
      <c r="R364" s="6"/>
      <c r="S364" s="6"/>
      <c r="T364" s="6"/>
      <c r="U364" s="6"/>
      <c r="V364" s="6"/>
    </row>
    <row r="365" spans="17:22" x14ac:dyDescent="0.3">
      <c r="Q365" s="13">
        <v>369</v>
      </c>
      <c r="R365" s="6"/>
      <c r="S365" s="6"/>
      <c r="T365" s="6"/>
      <c r="U365" s="6"/>
      <c r="V365" s="6"/>
    </row>
    <row r="366" spans="17:22" x14ac:dyDescent="0.3">
      <c r="Q366" s="13">
        <v>370</v>
      </c>
      <c r="R366" s="6"/>
      <c r="S366" s="6"/>
      <c r="T366" s="6"/>
      <c r="U366" s="6"/>
      <c r="V366" s="6"/>
    </row>
    <row r="367" spans="17:22" x14ac:dyDescent="0.3">
      <c r="Q367" s="13">
        <v>371</v>
      </c>
      <c r="R367" s="6"/>
      <c r="S367" s="6"/>
      <c r="T367" s="6"/>
      <c r="U367" s="6"/>
      <c r="V367" s="6"/>
    </row>
    <row r="368" spans="17:22" x14ac:dyDescent="0.3">
      <c r="Q368" s="13">
        <v>372</v>
      </c>
      <c r="R368" s="6"/>
      <c r="S368" s="6"/>
      <c r="T368" s="6"/>
      <c r="U368" s="6"/>
      <c r="V368" s="6"/>
    </row>
    <row r="369" spans="17:22" x14ac:dyDescent="0.3">
      <c r="Q369" s="13">
        <v>373</v>
      </c>
      <c r="R369" s="6"/>
      <c r="S369" s="6"/>
      <c r="T369" s="6"/>
      <c r="U369" s="6"/>
      <c r="V369" s="6"/>
    </row>
    <row r="370" spans="17:22" x14ac:dyDescent="0.3">
      <c r="Q370" s="13">
        <v>374</v>
      </c>
      <c r="R370" s="6"/>
      <c r="S370" s="6"/>
      <c r="T370" s="6"/>
      <c r="U370" s="6"/>
      <c r="V370" s="6"/>
    </row>
    <row r="371" spans="17:22" x14ac:dyDescent="0.3">
      <c r="Q371" s="13">
        <v>375</v>
      </c>
      <c r="R371" s="6"/>
      <c r="S371" s="6"/>
      <c r="T371" s="6"/>
      <c r="U371" s="6"/>
      <c r="V371" s="6"/>
    </row>
    <row r="372" spans="17:22" x14ac:dyDescent="0.3">
      <c r="Q372" s="13">
        <v>376</v>
      </c>
      <c r="R372" s="6"/>
      <c r="S372" s="6"/>
      <c r="T372" s="6"/>
      <c r="U372" s="6"/>
      <c r="V372" s="6"/>
    </row>
    <row r="373" spans="17:22" x14ac:dyDescent="0.3">
      <c r="Q373" s="13">
        <v>377</v>
      </c>
      <c r="R373" s="6"/>
      <c r="S373" s="6"/>
      <c r="T373" s="6"/>
      <c r="U373" s="6"/>
      <c r="V373" s="6"/>
    </row>
    <row r="374" spans="17:22" x14ac:dyDescent="0.3">
      <c r="Q374" s="13">
        <v>378</v>
      </c>
      <c r="R374" s="6"/>
      <c r="S374" s="6"/>
      <c r="T374" s="6"/>
      <c r="U374" s="6"/>
      <c r="V374" s="6"/>
    </row>
    <row r="375" spans="17:22" x14ac:dyDescent="0.3">
      <c r="Q375" s="13">
        <v>379</v>
      </c>
      <c r="R375" s="6"/>
      <c r="S375" s="6"/>
      <c r="T375" s="6"/>
      <c r="U375" s="6"/>
      <c r="V375" s="6"/>
    </row>
    <row r="376" spans="17:22" x14ac:dyDescent="0.3">
      <c r="Q376" s="13">
        <v>380</v>
      </c>
      <c r="R376" s="6"/>
      <c r="S376" s="6"/>
      <c r="T376" s="6"/>
      <c r="U376" s="6"/>
      <c r="V376" s="6"/>
    </row>
    <row r="377" spans="17:22" x14ac:dyDescent="0.3">
      <c r="Q377" s="13">
        <v>381</v>
      </c>
      <c r="R377" s="6"/>
      <c r="S377" s="6"/>
      <c r="T377" s="6"/>
      <c r="U377" s="6"/>
      <c r="V377" s="6"/>
    </row>
    <row r="378" spans="17:22" x14ac:dyDescent="0.3">
      <c r="Q378" s="13">
        <v>382</v>
      </c>
      <c r="R378" s="6"/>
      <c r="S378" s="6"/>
      <c r="T378" s="6"/>
      <c r="U378" s="6"/>
      <c r="V378" s="6"/>
    </row>
    <row r="379" spans="17:22" x14ac:dyDescent="0.3">
      <c r="Q379" s="13">
        <v>383</v>
      </c>
      <c r="R379" s="6"/>
      <c r="S379" s="6"/>
      <c r="T379" s="6"/>
      <c r="U379" s="6"/>
      <c r="V379" s="6"/>
    </row>
    <row r="380" spans="17:22" x14ac:dyDescent="0.3">
      <c r="Q380" s="13">
        <v>384</v>
      </c>
      <c r="R380" s="6"/>
      <c r="S380" s="6"/>
      <c r="T380" s="6"/>
      <c r="U380" s="6"/>
      <c r="V380" s="6"/>
    </row>
    <row r="381" spans="17:22" x14ac:dyDescent="0.3">
      <c r="Q381" s="13">
        <v>385</v>
      </c>
      <c r="R381" s="6"/>
      <c r="S381" s="6"/>
      <c r="T381" s="6"/>
      <c r="U381" s="6"/>
      <c r="V381" s="6"/>
    </row>
    <row r="382" spans="17:22" x14ac:dyDescent="0.3">
      <c r="Q382" s="13">
        <v>386</v>
      </c>
      <c r="R382" s="6"/>
      <c r="S382" s="6"/>
      <c r="T382" s="6"/>
      <c r="U382" s="6"/>
      <c r="V382" s="6"/>
    </row>
    <row r="383" spans="17:22" x14ac:dyDescent="0.3">
      <c r="Q383" s="13">
        <v>387</v>
      </c>
      <c r="R383" s="6"/>
      <c r="S383" s="6"/>
      <c r="T383" s="6"/>
      <c r="U383" s="6"/>
      <c r="V383" s="6"/>
    </row>
    <row r="384" spans="17:22" x14ac:dyDescent="0.3">
      <c r="Q384" s="13">
        <v>388</v>
      </c>
      <c r="R384" s="6"/>
      <c r="S384" s="6"/>
      <c r="T384" s="6"/>
      <c r="U384" s="6"/>
      <c r="V384" s="6"/>
    </row>
    <row r="385" spans="17:22" x14ac:dyDescent="0.3">
      <c r="Q385" s="13">
        <v>389</v>
      </c>
      <c r="R385" s="6"/>
      <c r="S385" s="6"/>
      <c r="T385" s="6"/>
      <c r="U385" s="6"/>
      <c r="V385" s="6"/>
    </row>
    <row r="386" spans="17:22" x14ac:dyDescent="0.3">
      <c r="Q386" s="13">
        <v>390</v>
      </c>
      <c r="R386" s="6"/>
      <c r="S386" s="6"/>
      <c r="T386" s="6"/>
      <c r="U386" s="6"/>
      <c r="V386" s="6"/>
    </row>
    <row r="387" spans="17:22" x14ac:dyDescent="0.3">
      <c r="Q387" s="13">
        <v>391</v>
      </c>
      <c r="R387" s="6"/>
      <c r="S387" s="6"/>
      <c r="T387" s="6"/>
      <c r="U387" s="6"/>
      <c r="V387" s="6"/>
    </row>
    <row r="388" spans="17:22" x14ac:dyDescent="0.3">
      <c r="Q388" s="13">
        <v>392</v>
      </c>
      <c r="R388" s="6"/>
      <c r="S388" s="6"/>
      <c r="T388" s="6"/>
      <c r="U388" s="6"/>
      <c r="V388" s="6"/>
    </row>
    <row r="389" spans="17:22" x14ac:dyDescent="0.3">
      <c r="Q389" s="13">
        <v>393</v>
      </c>
      <c r="R389" s="6"/>
      <c r="S389" s="6"/>
      <c r="T389" s="6"/>
      <c r="U389" s="6"/>
      <c r="V389" s="6"/>
    </row>
    <row r="390" spans="17:22" x14ac:dyDescent="0.3">
      <c r="Q390" s="13">
        <v>394</v>
      </c>
      <c r="R390" s="6"/>
      <c r="S390" s="6"/>
      <c r="T390" s="6"/>
      <c r="U390" s="6"/>
      <c r="V390" s="6"/>
    </row>
    <row r="391" spans="17:22" x14ac:dyDescent="0.3">
      <c r="Q391" s="13">
        <v>395</v>
      </c>
      <c r="R391" s="6"/>
      <c r="S391" s="6"/>
      <c r="T391" s="6"/>
      <c r="U391" s="6"/>
      <c r="V391" s="6"/>
    </row>
    <row r="392" spans="17:22" x14ac:dyDescent="0.3">
      <c r="Q392" s="13">
        <v>396</v>
      </c>
      <c r="R392" s="6"/>
      <c r="S392" s="6"/>
      <c r="T392" s="6"/>
      <c r="U392" s="6"/>
      <c r="V392" s="6"/>
    </row>
    <row r="393" spans="17:22" x14ac:dyDescent="0.3">
      <c r="Q393" s="13">
        <v>397</v>
      </c>
      <c r="R393" s="6"/>
      <c r="S393" s="6"/>
      <c r="T393" s="6"/>
      <c r="U393" s="6"/>
      <c r="V393" s="6"/>
    </row>
    <row r="394" spans="17:22" x14ac:dyDescent="0.3">
      <c r="Q394" s="13">
        <v>398</v>
      </c>
      <c r="R394" s="6"/>
      <c r="S394" s="6"/>
      <c r="T394" s="6"/>
      <c r="U394" s="6"/>
      <c r="V394" s="6"/>
    </row>
    <row r="395" spans="17:22" x14ac:dyDescent="0.3">
      <c r="Q395" s="13">
        <v>399</v>
      </c>
      <c r="R395" s="6"/>
      <c r="S395" s="6"/>
      <c r="T395" s="6"/>
      <c r="U395" s="6"/>
      <c r="V395" s="6"/>
    </row>
    <row r="396" spans="17:22" x14ac:dyDescent="0.3">
      <c r="Q396" s="13">
        <v>400</v>
      </c>
      <c r="R396" s="6"/>
      <c r="S396" s="6"/>
      <c r="T396" s="6"/>
      <c r="U396" s="6"/>
      <c r="V396" s="6"/>
    </row>
    <row r="397" spans="17:22" x14ac:dyDescent="0.3">
      <c r="Q397" s="13">
        <v>401</v>
      </c>
      <c r="R397" s="6"/>
      <c r="S397" s="6"/>
      <c r="T397" s="6"/>
      <c r="U397" s="6"/>
      <c r="V397" s="6"/>
    </row>
    <row r="398" spans="17:22" x14ac:dyDescent="0.3">
      <c r="Q398" s="13">
        <v>402</v>
      </c>
      <c r="R398" s="6"/>
      <c r="S398" s="6"/>
      <c r="T398" s="6"/>
      <c r="U398" s="6"/>
      <c r="V398" s="6"/>
    </row>
    <row r="399" spans="17:22" x14ac:dyDescent="0.3">
      <c r="Q399" s="13">
        <v>403</v>
      </c>
      <c r="R399" s="6"/>
      <c r="S399" s="6"/>
      <c r="T399" s="6"/>
      <c r="U399" s="6"/>
      <c r="V399" s="6"/>
    </row>
    <row r="400" spans="17:22" x14ac:dyDescent="0.3">
      <c r="Q400" s="13">
        <v>404</v>
      </c>
      <c r="R400" s="6"/>
      <c r="S400" s="6"/>
      <c r="T400" s="6"/>
      <c r="U400" s="6"/>
      <c r="V400" s="6"/>
    </row>
    <row r="401" spans="17:22" x14ac:dyDescent="0.3">
      <c r="Q401" s="13">
        <v>405</v>
      </c>
      <c r="R401" s="6"/>
      <c r="S401" s="6"/>
      <c r="T401" s="6"/>
      <c r="U401" s="6"/>
      <c r="V401" s="6"/>
    </row>
    <row r="402" spans="17:22" x14ac:dyDescent="0.3">
      <c r="Q402" s="13">
        <v>406</v>
      </c>
      <c r="R402" s="6"/>
      <c r="S402" s="6"/>
      <c r="T402" s="6"/>
      <c r="U402" s="6"/>
      <c r="V402" s="6"/>
    </row>
    <row r="403" spans="17:22" x14ac:dyDescent="0.3">
      <c r="Q403" s="13">
        <v>407</v>
      </c>
      <c r="R403" s="6"/>
      <c r="S403" s="6"/>
      <c r="T403" s="6"/>
      <c r="U403" s="6"/>
      <c r="V403" s="6"/>
    </row>
    <row r="404" spans="17:22" x14ac:dyDescent="0.3">
      <c r="Q404" s="13">
        <v>408</v>
      </c>
      <c r="R404" s="6"/>
      <c r="S404" s="6"/>
      <c r="T404" s="6"/>
      <c r="U404" s="6"/>
      <c r="V404" s="6"/>
    </row>
    <row r="405" spans="17:22" x14ac:dyDescent="0.3">
      <c r="Q405" s="13">
        <v>409</v>
      </c>
      <c r="R405" s="6"/>
      <c r="S405" s="6"/>
      <c r="T405" s="6"/>
      <c r="U405" s="6"/>
      <c r="V405" s="6"/>
    </row>
    <row r="406" spans="17:22" x14ac:dyDescent="0.3">
      <c r="Q406" s="13">
        <v>410</v>
      </c>
      <c r="R406" s="6"/>
      <c r="S406" s="6"/>
      <c r="T406" s="6"/>
      <c r="U406" s="6"/>
      <c r="V406" s="6"/>
    </row>
    <row r="407" spans="17:22" x14ac:dyDescent="0.3">
      <c r="Q407" s="13">
        <v>411</v>
      </c>
      <c r="R407" s="6"/>
      <c r="S407" s="6"/>
      <c r="T407" s="6"/>
      <c r="U407" s="6"/>
      <c r="V407" s="6"/>
    </row>
    <row r="408" spans="17:22" x14ac:dyDescent="0.3">
      <c r="Q408" s="13">
        <v>412</v>
      </c>
      <c r="R408" s="6"/>
      <c r="S408" s="6"/>
      <c r="T408" s="6"/>
      <c r="U408" s="6"/>
      <c r="V408" s="6"/>
    </row>
    <row r="409" spans="17:22" x14ac:dyDescent="0.3">
      <c r="Q409" s="13">
        <v>413</v>
      </c>
      <c r="R409" s="6"/>
      <c r="S409" s="6"/>
      <c r="T409" s="6"/>
      <c r="U409" s="6"/>
      <c r="V409" s="6"/>
    </row>
    <row r="410" spans="17:22" x14ac:dyDescent="0.3">
      <c r="Q410" s="13">
        <v>414</v>
      </c>
      <c r="R410" s="6"/>
      <c r="S410" s="6"/>
      <c r="T410" s="6"/>
      <c r="U410" s="6"/>
      <c r="V410" s="6"/>
    </row>
    <row r="411" spans="17:22" x14ac:dyDescent="0.3">
      <c r="Q411" s="13">
        <v>415</v>
      </c>
      <c r="R411" s="6"/>
      <c r="S411" s="6"/>
      <c r="T411" s="6"/>
      <c r="U411" s="6"/>
      <c r="V411" s="6"/>
    </row>
    <row r="412" spans="17:22" x14ac:dyDescent="0.3">
      <c r="Q412" s="13">
        <v>416</v>
      </c>
      <c r="R412" s="6"/>
      <c r="S412" s="6"/>
      <c r="T412" s="6"/>
      <c r="U412" s="6"/>
      <c r="V412" s="6"/>
    </row>
    <row r="413" spans="17:22" x14ac:dyDescent="0.3">
      <c r="Q413" s="13">
        <v>417</v>
      </c>
      <c r="R413" s="6"/>
      <c r="S413" s="6"/>
      <c r="T413" s="6"/>
      <c r="U413" s="6"/>
      <c r="V413" s="6"/>
    </row>
    <row r="414" spans="17:22" x14ac:dyDescent="0.3">
      <c r="Q414" s="13">
        <v>418</v>
      </c>
      <c r="R414" s="6"/>
      <c r="S414" s="6"/>
      <c r="T414" s="6"/>
      <c r="U414" s="6"/>
      <c r="V414" s="6"/>
    </row>
    <row r="415" spans="17:22" x14ac:dyDescent="0.3">
      <c r="Q415" s="13">
        <v>419</v>
      </c>
      <c r="R415" s="6"/>
      <c r="S415" s="6"/>
      <c r="T415" s="6"/>
      <c r="U415" s="6"/>
      <c r="V415" s="6"/>
    </row>
    <row r="416" spans="17:22" x14ac:dyDescent="0.3">
      <c r="Q416" s="13">
        <v>420</v>
      </c>
      <c r="R416" s="6"/>
      <c r="S416" s="6"/>
      <c r="T416" s="6"/>
      <c r="U416" s="6"/>
      <c r="V416" s="6"/>
    </row>
    <row r="417" spans="17:22" x14ac:dyDescent="0.3">
      <c r="Q417" s="13">
        <v>421</v>
      </c>
      <c r="R417" s="6"/>
      <c r="S417" s="6"/>
      <c r="T417" s="6"/>
      <c r="U417" s="6"/>
      <c r="V417" s="6"/>
    </row>
    <row r="418" spans="17:22" x14ac:dyDescent="0.3">
      <c r="Q418" s="13">
        <v>422</v>
      </c>
      <c r="R418" s="6"/>
      <c r="S418" s="6"/>
      <c r="T418" s="6"/>
      <c r="U418" s="6"/>
      <c r="V418" s="6"/>
    </row>
    <row r="419" spans="17:22" x14ac:dyDescent="0.3">
      <c r="Q419" s="13">
        <v>423</v>
      </c>
      <c r="R419" s="6"/>
      <c r="S419" s="6"/>
      <c r="T419" s="6"/>
      <c r="U419" s="6"/>
      <c r="V419" s="6"/>
    </row>
    <row r="420" spans="17:22" x14ac:dyDescent="0.3">
      <c r="Q420" s="13">
        <v>424</v>
      </c>
      <c r="R420" s="6"/>
      <c r="S420" s="6"/>
      <c r="T420" s="6"/>
      <c r="U420" s="6"/>
      <c r="V420" s="6"/>
    </row>
    <row r="421" spans="17:22" x14ac:dyDescent="0.3">
      <c r="Q421" s="13">
        <v>425</v>
      </c>
      <c r="R421" s="6"/>
      <c r="S421" s="6"/>
      <c r="T421" s="6"/>
      <c r="U421" s="6"/>
      <c r="V421" s="6"/>
    </row>
    <row r="422" spans="17:22" x14ac:dyDescent="0.3">
      <c r="Q422" s="13">
        <v>426</v>
      </c>
      <c r="R422" s="6"/>
      <c r="S422" s="6"/>
      <c r="T422" s="6"/>
      <c r="U422" s="6"/>
      <c r="V422" s="6"/>
    </row>
    <row r="423" spans="17:22" x14ac:dyDescent="0.3">
      <c r="Q423" s="13">
        <v>427</v>
      </c>
      <c r="R423" s="6"/>
      <c r="S423" s="6"/>
      <c r="T423" s="6"/>
      <c r="U423" s="6"/>
      <c r="V423" s="6"/>
    </row>
    <row r="424" spans="17:22" x14ac:dyDescent="0.3">
      <c r="Q424" s="13">
        <v>428</v>
      </c>
      <c r="R424" s="6"/>
      <c r="S424" s="6"/>
      <c r="T424" s="6"/>
      <c r="U424" s="6"/>
      <c r="V424" s="6"/>
    </row>
    <row r="425" spans="17:22" x14ac:dyDescent="0.3">
      <c r="Q425" s="13">
        <v>429</v>
      </c>
      <c r="R425" s="6"/>
      <c r="S425" s="6"/>
      <c r="T425" s="6"/>
      <c r="U425" s="6"/>
      <c r="V425" s="6"/>
    </row>
    <row r="426" spans="17:22" x14ac:dyDescent="0.3">
      <c r="Q426" s="13">
        <v>430</v>
      </c>
      <c r="R426" s="6"/>
      <c r="S426" s="6"/>
      <c r="T426" s="6"/>
      <c r="U426" s="6"/>
      <c r="V426" s="6"/>
    </row>
    <row r="427" spans="17:22" x14ac:dyDescent="0.3">
      <c r="Q427" s="13">
        <v>431</v>
      </c>
      <c r="R427" s="6"/>
      <c r="S427" s="6"/>
      <c r="T427" s="6"/>
      <c r="U427" s="6"/>
      <c r="V427" s="6"/>
    </row>
    <row r="428" spans="17:22" x14ac:dyDescent="0.3">
      <c r="Q428" s="13">
        <v>432</v>
      </c>
      <c r="R428" s="6"/>
      <c r="S428" s="6"/>
      <c r="T428" s="6"/>
      <c r="U428" s="6"/>
      <c r="V428" s="6"/>
    </row>
    <row r="429" spans="17:22" x14ac:dyDescent="0.3">
      <c r="Q429" s="13">
        <v>433</v>
      </c>
      <c r="R429" s="6"/>
      <c r="S429" s="6"/>
      <c r="T429" s="6"/>
      <c r="U429" s="6"/>
      <c r="V429" s="6"/>
    </row>
    <row r="430" spans="17:22" x14ac:dyDescent="0.3">
      <c r="Q430" s="13">
        <v>434</v>
      </c>
      <c r="R430" s="6"/>
      <c r="S430" s="6"/>
      <c r="T430" s="6"/>
      <c r="U430" s="6"/>
      <c r="V430" s="6"/>
    </row>
    <row r="431" spans="17:22" x14ac:dyDescent="0.3">
      <c r="Q431" s="13">
        <v>435</v>
      </c>
      <c r="R431" s="6"/>
      <c r="S431" s="6"/>
      <c r="T431" s="6"/>
      <c r="U431" s="6"/>
      <c r="V431" s="6"/>
    </row>
    <row r="432" spans="17:22" x14ac:dyDescent="0.3">
      <c r="Q432" s="13">
        <v>436</v>
      </c>
      <c r="R432" s="6"/>
      <c r="S432" s="6"/>
      <c r="T432" s="6"/>
      <c r="U432" s="6"/>
      <c r="V432" s="6"/>
    </row>
    <row r="433" spans="17:22" x14ac:dyDescent="0.3">
      <c r="Q433" s="13">
        <v>437</v>
      </c>
      <c r="R433" s="6"/>
      <c r="S433" s="6"/>
      <c r="T433" s="6"/>
      <c r="U433" s="6"/>
      <c r="V433" s="6"/>
    </row>
    <row r="434" spans="17:22" x14ac:dyDescent="0.3">
      <c r="Q434" s="13">
        <v>438</v>
      </c>
      <c r="R434" s="6"/>
      <c r="S434" s="6"/>
      <c r="T434" s="6"/>
      <c r="U434" s="6"/>
      <c r="V434" s="6"/>
    </row>
    <row r="435" spans="17:22" x14ac:dyDescent="0.3">
      <c r="Q435" s="13">
        <v>439</v>
      </c>
      <c r="R435" s="6"/>
      <c r="S435" s="6"/>
      <c r="T435" s="6"/>
      <c r="U435" s="6"/>
      <c r="V435" s="6"/>
    </row>
    <row r="436" spans="17:22" x14ac:dyDescent="0.3">
      <c r="Q436" s="13">
        <v>440</v>
      </c>
      <c r="R436" s="6"/>
      <c r="S436" s="6"/>
      <c r="T436" s="6"/>
      <c r="U436" s="6"/>
      <c r="V436" s="6"/>
    </row>
    <row r="437" spans="17:22" x14ac:dyDescent="0.3">
      <c r="Q437" s="13">
        <v>441</v>
      </c>
      <c r="R437" s="6"/>
      <c r="S437" s="6"/>
      <c r="T437" s="6"/>
      <c r="U437" s="6"/>
      <c r="V437" s="6"/>
    </row>
    <row r="438" spans="17:22" x14ac:dyDescent="0.3">
      <c r="Q438" s="13">
        <v>442</v>
      </c>
      <c r="R438" s="6"/>
      <c r="S438" s="6"/>
      <c r="T438" s="6"/>
      <c r="U438" s="6"/>
      <c r="V438" s="6"/>
    </row>
    <row r="439" spans="17:22" x14ac:dyDescent="0.3">
      <c r="Q439" s="13">
        <v>443</v>
      </c>
      <c r="R439" s="6"/>
      <c r="S439" s="6"/>
      <c r="T439" s="6"/>
      <c r="U439" s="6"/>
      <c r="V439" s="6"/>
    </row>
    <row r="440" spans="17:22" x14ac:dyDescent="0.3">
      <c r="Q440" s="13">
        <v>444</v>
      </c>
      <c r="R440" s="6"/>
      <c r="S440" s="6"/>
      <c r="T440" s="6"/>
      <c r="U440" s="6"/>
      <c r="V440" s="6"/>
    </row>
    <row r="441" spans="17:22" x14ac:dyDescent="0.3">
      <c r="Q441" s="13">
        <v>445</v>
      </c>
      <c r="R441" s="6"/>
      <c r="S441" s="6"/>
      <c r="T441" s="6"/>
      <c r="U441" s="6"/>
      <c r="V441" s="6"/>
    </row>
    <row r="442" spans="17:22" x14ac:dyDescent="0.3">
      <c r="Q442" s="13">
        <v>446</v>
      </c>
      <c r="R442" s="6"/>
      <c r="S442" s="6"/>
      <c r="T442" s="6"/>
      <c r="U442" s="6"/>
      <c r="V442" s="6"/>
    </row>
    <row r="443" spans="17:22" x14ac:dyDescent="0.3">
      <c r="Q443" s="13">
        <v>447</v>
      </c>
      <c r="R443" s="6"/>
      <c r="S443" s="6"/>
      <c r="T443" s="6"/>
      <c r="U443" s="6"/>
      <c r="V443" s="6"/>
    </row>
    <row r="444" spans="17:22" x14ac:dyDescent="0.3">
      <c r="Q444" s="13">
        <v>448</v>
      </c>
      <c r="R444" s="6"/>
      <c r="S444" s="6"/>
      <c r="T444" s="6"/>
      <c r="U444" s="6"/>
      <c r="V444" s="6"/>
    </row>
    <row r="445" spans="17:22" x14ac:dyDescent="0.3">
      <c r="Q445" s="13">
        <v>449</v>
      </c>
      <c r="R445" s="6"/>
      <c r="S445" s="6"/>
      <c r="T445" s="6"/>
      <c r="U445" s="6"/>
      <c r="V445" s="6"/>
    </row>
    <row r="446" spans="17:22" x14ac:dyDescent="0.3">
      <c r="Q446" s="13">
        <v>450</v>
      </c>
      <c r="R446" s="6"/>
      <c r="S446" s="6"/>
      <c r="T446" s="6"/>
      <c r="U446" s="6"/>
      <c r="V446" s="6"/>
    </row>
    <row r="447" spans="17:22" x14ac:dyDescent="0.3">
      <c r="Q447" s="13">
        <v>451</v>
      </c>
      <c r="R447" s="6"/>
      <c r="S447" s="6"/>
      <c r="T447" s="6"/>
      <c r="U447" s="6"/>
      <c r="V447" s="6"/>
    </row>
    <row r="448" spans="17:22" x14ac:dyDescent="0.3">
      <c r="Q448" s="13">
        <v>452</v>
      </c>
      <c r="R448" s="6"/>
      <c r="S448" s="6"/>
      <c r="T448" s="6"/>
      <c r="U448" s="6"/>
      <c r="V448" s="6"/>
    </row>
    <row r="449" spans="17:22" x14ac:dyDescent="0.3">
      <c r="Q449" s="13">
        <v>453</v>
      </c>
      <c r="R449" s="6"/>
      <c r="S449" s="6"/>
      <c r="T449" s="6"/>
      <c r="U449" s="6"/>
      <c r="V449" s="6"/>
    </row>
    <row r="450" spans="17:22" x14ac:dyDescent="0.3">
      <c r="Q450" s="13">
        <v>454</v>
      </c>
      <c r="R450" s="6"/>
      <c r="S450" s="6"/>
      <c r="T450" s="6"/>
      <c r="U450" s="6"/>
      <c r="V450" s="6"/>
    </row>
    <row r="451" spans="17:22" x14ac:dyDescent="0.3">
      <c r="Q451" s="13">
        <v>455</v>
      </c>
      <c r="R451" s="6"/>
      <c r="S451" s="6"/>
      <c r="T451" s="6"/>
      <c r="U451" s="6"/>
      <c r="V451" s="6"/>
    </row>
    <row r="452" spans="17:22" x14ac:dyDescent="0.3">
      <c r="Q452" s="13">
        <v>456</v>
      </c>
      <c r="R452" s="6"/>
      <c r="S452" s="6"/>
      <c r="T452" s="6"/>
      <c r="U452" s="6"/>
      <c r="V452" s="6"/>
    </row>
    <row r="453" spans="17:22" x14ac:dyDescent="0.3">
      <c r="Q453" s="13">
        <v>457</v>
      </c>
      <c r="R453" s="6"/>
      <c r="S453" s="6"/>
      <c r="T453" s="6"/>
      <c r="U453" s="6"/>
      <c r="V453" s="6"/>
    </row>
    <row r="454" spans="17:22" x14ac:dyDescent="0.3">
      <c r="Q454" s="13">
        <v>458</v>
      </c>
      <c r="R454" s="6"/>
      <c r="S454" s="6"/>
      <c r="T454" s="6"/>
      <c r="U454" s="6"/>
      <c r="V454" s="6"/>
    </row>
    <row r="455" spans="17:22" x14ac:dyDescent="0.3">
      <c r="Q455" s="13">
        <v>459</v>
      </c>
      <c r="R455" s="6"/>
      <c r="S455" s="6"/>
      <c r="T455" s="6"/>
      <c r="U455" s="6"/>
      <c r="V455" s="6"/>
    </row>
    <row r="456" spans="17:22" x14ac:dyDescent="0.3">
      <c r="Q456" s="13">
        <v>460</v>
      </c>
      <c r="R456" s="6"/>
      <c r="S456" s="6"/>
      <c r="T456" s="6"/>
      <c r="U456" s="6"/>
      <c r="V456" s="6"/>
    </row>
    <row r="457" spans="17:22" x14ac:dyDescent="0.3">
      <c r="Q457" s="13">
        <v>461</v>
      </c>
      <c r="R457" s="6"/>
      <c r="S457" s="6"/>
      <c r="T457" s="6"/>
      <c r="U457" s="6"/>
      <c r="V457" s="6"/>
    </row>
    <row r="458" spans="17:22" x14ac:dyDescent="0.3">
      <c r="Q458" s="13">
        <v>462</v>
      </c>
      <c r="R458" s="6"/>
      <c r="S458" s="6"/>
      <c r="T458" s="6"/>
      <c r="U458" s="6"/>
      <c r="V458" s="6"/>
    </row>
    <row r="459" spans="17:22" x14ac:dyDescent="0.3">
      <c r="Q459" s="13">
        <v>463</v>
      </c>
      <c r="R459" s="6"/>
      <c r="S459" s="6"/>
      <c r="T459" s="6"/>
      <c r="U459" s="6"/>
      <c r="V459" s="6"/>
    </row>
    <row r="460" spans="17:22" x14ac:dyDescent="0.3">
      <c r="Q460" s="13">
        <v>464</v>
      </c>
      <c r="R460" s="6"/>
      <c r="S460" s="6"/>
      <c r="T460" s="6"/>
      <c r="U460" s="6"/>
      <c r="V460" s="6"/>
    </row>
    <row r="461" spans="17:22" x14ac:dyDescent="0.3">
      <c r="Q461" s="13">
        <v>465</v>
      </c>
      <c r="R461" s="6"/>
      <c r="S461" s="6"/>
      <c r="T461" s="6"/>
      <c r="U461" s="6"/>
      <c r="V461" s="6"/>
    </row>
    <row r="462" spans="17:22" x14ac:dyDescent="0.3">
      <c r="Q462" s="13">
        <v>466</v>
      </c>
      <c r="R462" s="6"/>
      <c r="S462" s="6"/>
      <c r="T462" s="6"/>
      <c r="U462" s="6"/>
      <c r="V462" s="6"/>
    </row>
    <row r="463" spans="17:22" x14ac:dyDescent="0.3">
      <c r="Q463" s="13">
        <v>467</v>
      </c>
      <c r="R463" s="6"/>
      <c r="S463" s="6"/>
      <c r="T463" s="6"/>
      <c r="U463" s="6"/>
      <c r="V463" s="6"/>
    </row>
    <row r="464" spans="17:22" x14ac:dyDescent="0.3">
      <c r="Q464" s="13">
        <v>468</v>
      </c>
      <c r="R464" s="6"/>
      <c r="S464" s="6"/>
      <c r="T464" s="6"/>
      <c r="U464" s="6"/>
      <c r="V464" s="6"/>
    </row>
    <row r="465" spans="17:22" x14ac:dyDescent="0.3">
      <c r="Q465" s="13">
        <v>469</v>
      </c>
      <c r="R465" s="6"/>
      <c r="S465" s="6"/>
      <c r="T465" s="6"/>
      <c r="U465" s="6"/>
      <c r="V465" s="6"/>
    </row>
    <row r="466" spans="17:22" x14ac:dyDescent="0.3">
      <c r="Q466" s="13">
        <v>470</v>
      </c>
      <c r="R466" s="6"/>
      <c r="S466" s="6"/>
      <c r="T466" s="6"/>
      <c r="U466" s="6"/>
      <c r="V466" s="6"/>
    </row>
    <row r="467" spans="17:22" x14ac:dyDescent="0.3">
      <c r="Q467" s="13">
        <v>471</v>
      </c>
      <c r="R467" s="6"/>
      <c r="S467" s="6"/>
      <c r="T467" s="6"/>
      <c r="U467" s="6"/>
      <c r="V467" s="6"/>
    </row>
    <row r="468" spans="17:22" x14ac:dyDescent="0.3">
      <c r="Q468" s="13">
        <v>472</v>
      </c>
      <c r="R468" s="6"/>
      <c r="S468" s="6"/>
      <c r="T468" s="6"/>
      <c r="U468" s="6"/>
      <c r="V468" s="6"/>
    </row>
    <row r="469" spans="17:22" x14ac:dyDescent="0.3">
      <c r="Q469" s="13">
        <v>473</v>
      </c>
      <c r="R469" s="6"/>
      <c r="S469" s="6"/>
      <c r="T469" s="6"/>
      <c r="U469" s="6"/>
      <c r="V469" s="6"/>
    </row>
    <row r="470" spans="17:22" x14ac:dyDescent="0.3">
      <c r="Q470" s="13">
        <v>474</v>
      </c>
      <c r="R470" s="6"/>
      <c r="S470" s="6"/>
      <c r="T470" s="6"/>
      <c r="U470" s="6"/>
      <c r="V470" s="6"/>
    </row>
    <row r="471" spans="17:22" x14ac:dyDescent="0.3">
      <c r="Q471" s="13">
        <v>475</v>
      </c>
      <c r="R471" s="6"/>
      <c r="S471" s="6"/>
      <c r="T471" s="6"/>
      <c r="U471" s="6"/>
      <c r="V471" s="6"/>
    </row>
    <row r="472" spans="17:22" x14ac:dyDescent="0.3">
      <c r="Q472" s="13">
        <v>476</v>
      </c>
      <c r="R472" s="6"/>
      <c r="S472" s="6"/>
      <c r="T472" s="6"/>
      <c r="U472" s="6"/>
      <c r="V472" s="6"/>
    </row>
    <row r="473" spans="17:22" x14ac:dyDescent="0.3">
      <c r="Q473" s="13">
        <v>477</v>
      </c>
      <c r="R473" s="6"/>
      <c r="S473" s="6"/>
      <c r="T473" s="6"/>
      <c r="U473" s="6"/>
      <c r="V473" s="6"/>
    </row>
    <row r="474" spans="17:22" x14ac:dyDescent="0.3">
      <c r="Q474" s="13">
        <v>478</v>
      </c>
      <c r="R474" s="6"/>
      <c r="S474" s="6"/>
      <c r="T474" s="6"/>
      <c r="U474" s="6"/>
      <c r="V474" s="6"/>
    </row>
    <row r="475" spans="17:22" x14ac:dyDescent="0.3">
      <c r="Q475" s="13">
        <v>479</v>
      </c>
      <c r="R475" s="6"/>
      <c r="S475" s="6"/>
      <c r="T475" s="6"/>
      <c r="U475" s="6"/>
      <c r="V475" s="6"/>
    </row>
    <row r="476" spans="17:22" x14ac:dyDescent="0.3">
      <c r="Q476" s="13">
        <v>480</v>
      </c>
      <c r="R476" s="6"/>
      <c r="S476" s="6"/>
      <c r="T476" s="6"/>
      <c r="U476" s="6"/>
      <c r="V476" s="6"/>
    </row>
    <row r="477" spans="17:22" x14ac:dyDescent="0.3">
      <c r="Q477" s="13">
        <v>481</v>
      </c>
      <c r="R477" s="6"/>
      <c r="S477" s="6"/>
      <c r="T477" s="6"/>
      <c r="U477" s="6"/>
      <c r="V477" s="6"/>
    </row>
    <row r="478" spans="17:22" x14ac:dyDescent="0.3">
      <c r="Q478" s="13">
        <v>482</v>
      </c>
      <c r="R478" s="6"/>
      <c r="S478" s="6"/>
      <c r="T478" s="6"/>
      <c r="U478" s="6"/>
      <c r="V478" s="6"/>
    </row>
    <row r="479" spans="17:22" x14ac:dyDescent="0.3">
      <c r="Q479" s="13">
        <v>483</v>
      </c>
      <c r="R479" s="6"/>
      <c r="S479" s="6"/>
      <c r="T479" s="6"/>
      <c r="U479" s="6"/>
      <c r="V479" s="6"/>
    </row>
    <row r="480" spans="17:22" x14ac:dyDescent="0.3">
      <c r="Q480" s="13">
        <v>484</v>
      </c>
      <c r="R480" s="6"/>
      <c r="S480" s="6"/>
      <c r="T480" s="6"/>
      <c r="U480" s="6"/>
      <c r="V480" s="6"/>
    </row>
    <row r="481" spans="17:22" x14ac:dyDescent="0.3">
      <c r="Q481" s="13">
        <v>485</v>
      </c>
      <c r="R481" s="6"/>
      <c r="S481" s="6"/>
      <c r="T481" s="6"/>
      <c r="U481" s="6"/>
      <c r="V481" s="6"/>
    </row>
    <row r="482" spans="17:22" x14ac:dyDescent="0.3">
      <c r="Q482" s="13">
        <v>486</v>
      </c>
      <c r="R482" s="6"/>
      <c r="S482" s="6"/>
      <c r="T482" s="6"/>
      <c r="U482" s="6"/>
      <c r="V482" s="6"/>
    </row>
    <row r="483" spans="17:22" x14ac:dyDescent="0.3">
      <c r="Q483" s="13">
        <v>487</v>
      </c>
      <c r="R483" s="6"/>
      <c r="S483" s="6"/>
      <c r="T483" s="6"/>
      <c r="U483" s="6"/>
      <c r="V483" s="6"/>
    </row>
    <row r="484" spans="17:22" x14ac:dyDescent="0.3">
      <c r="Q484" s="13">
        <v>488</v>
      </c>
      <c r="R484" s="6"/>
      <c r="S484" s="6"/>
      <c r="T484" s="6"/>
      <c r="U484" s="6"/>
      <c r="V484" s="6"/>
    </row>
    <row r="485" spans="17:22" x14ac:dyDescent="0.3">
      <c r="Q485" s="13">
        <v>489</v>
      </c>
      <c r="R485" s="6"/>
      <c r="S485" s="6"/>
      <c r="T485" s="6"/>
      <c r="U485" s="6"/>
      <c r="V485" s="6"/>
    </row>
    <row r="486" spans="17:22" x14ac:dyDescent="0.3">
      <c r="Q486" s="13">
        <v>490</v>
      </c>
      <c r="R486" s="6"/>
      <c r="S486" s="6"/>
      <c r="T486" s="6"/>
      <c r="U486" s="6"/>
      <c r="V486" s="6"/>
    </row>
    <row r="487" spans="17:22" x14ac:dyDescent="0.3">
      <c r="Q487" s="13">
        <v>491</v>
      </c>
      <c r="R487" s="6"/>
      <c r="S487" s="6"/>
      <c r="T487" s="6"/>
      <c r="U487" s="6"/>
      <c r="V487" s="6"/>
    </row>
    <row r="488" spans="17:22" x14ac:dyDescent="0.3">
      <c r="Q488" s="13">
        <v>492</v>
      </c>
      <c r="R488" s="6"/>
      <c r="S488" s="6"/>
      <c r="T488" s="6"/>
      <c r="U488" s="6"/>
      <c r="V488" s="6"/>
    </row>
    <row r="489" spans="17:22" x14ac:dyDescent="0.3">
      <c r="Q489" s="13">
        <v>493</v>
      </c>
      <c r="R489" s="6"/>
      <c r="S489" s="6"/>
      <c r="T489" s="6"/>
      <c r="U489" s="6"/>
      <c r="V489" s="6"/>
    </row>
    <row r="490" spans="17:22" x14ac:dyDescent="0.3">
      <c r="Q490" s="13">
        <v>494</v>
      </c>
      <c r="R490" s="6"/>
      <c r="S490" s="6"/>
      <c r="T490" s="6"/>
      <c r="U490" s="6"/>
      <c r="V490" s="6"/>
    </row>
    <row r="491" spans="17:22" x14ac:dyDescent="0.3">
      <c r="Q491" s="13">
        <v>495</v>
      </c>
      <c r="R491" s="6"/>
      <c r="S491" s="6"/>
      <c r="T491" s="6"/>
      <c r="U491" s="6"/>
      <c r="V491" s="6"/>
    </row>
    <row r="492" spans="17:22" x14ac:dyDescent="0.3">
      <c r="Q492" s="13">
        <v>496</v>
      </c>
      <c r="R492" s="6"/>
      <c r="S492" s="6"/>
      <c r="T492" s="6"/>
      <c r="U492" s="6"/>
      <c r="V492" s="6"/>
    </row>
    <row r="493" spans="17:22" x14ac:dyDescent="0.3">
      <c r="Q493" s="13">
        <v>497</v>
      </c>
      <c r="R493" s="6"/>
      <c r="S493" s="6"/>
      <c r="T493" s="6"/>
      <c r="U493" s="6"/>
      <c r="V493" s="6"/>
    </row>
    <row r="494" spans="17:22" x14ac:dyDescent="0.3">
      <c r="Q494" s="13">
        <v>498</v>
      </c>
      <c r="R494" s="6"/>
      <c r="S494" s="6"/>
      <c r="T494" s="6"/>
      <c r="U494" s="6"/>
      <c r="V494" s="6"/>
    </row>
    <row r="495" spans="17:22" x14ac:dyDescent="0.3">
      <c r="Q495" s="13">
        <v>499</v>
      </c>
      <c r="R495" s="6"/>
      <c r="S495" s="6"/>
      <c r="T495" s="6"/>
      <c r="U495" s="6"/>
      <c r="V495" s="6"/>
    </row>
    <row r="496" spans="17:22" x14ac:dyDescent="0.3">
      <c r="Q496" s="13">
        <v>500</v>
      </c>
      <c r="R496" s="6"/>
      <c r="S496" s="6"/>
      <c r="T496" s="6"/>
      <c r="U496" s="6"/>
      <c r="V496" s="6"/>
    </row>
    <row r="497" spans="17:22" x14ac:dyDescent="0.3">
      <c r="Q497" s="13">
        <v>501</v>
      </c>
      <c r="R497" s="6"/>
      <c r="S497" s="6"/>
      <c r="T497" s="6"/>
      <c r="U497" s="6"/>
      <c r="V497" s="6"/>
    </row>
    <row r="498" spans="17:22" x14ac:dyDescent="0.3">
      <c r="Q498" s="13">
        <v>502</v>
      </c>
      <c r="R498" s="6"/>
      <c r="S498" s="6"/>
      <c r="T498" s="6"/>
      <c r="U498" s="6"/>
      <c r="V498" s="6"/>
    </row>
    <row r="499" spans="17:22" x14ac:dyDescent="0.3">
      <c r="Q499" s="13">
        <v>503</v>
      </c>
      <c r="R499" s="6"/>
      <c r="S499" s="6"/>
      <c r="T499" s="6"/>
      <c r="U499" s="6"/>
      <c r="V499" s="6"/>
    </row>
    <row r="500" spans="17:22" x14ac:dyDescent="0.3">
      <c r="Q500" s="13">
        <v>504</v>
      </c>
      <c r="R500" s="6"/>
      <c r="S500" s="6"/>
      <c r="T500" s="6"/>
      <c r="U500" s="6"/>
      <c r="V500" s="6"/>
    </row>
    <row r="501" spans="17:22" x14ac:dyDescent="0.3">
      <c r="Q501" s="13">
        <v>505</v>
      </c>
      <c r="R501" s="6"/>
      <c r="S501" s="6"/>
      <c r="T501" s="6"/>
      <c r="U501" s="6"/>
      <c r="V501" s="6"/>
    </row>
    <row r="502" spans="17:22" x14ac:dyDescent="0.3">
      <c r="Q502" s="13">
        <v>506</v>
      </c>
      <c r="R502" s="6"/>
      <c r="S502" s="6"/>
      <c r="T502" s="6"/>
      <c r="U502" s="6"/>
      <c r="V502" s="6"/>
    </row>
    <row r="503" spans="17:22" x14ac:dyDescent="0.3">
      <c r="Q503" s="13">
        <v>507</v>
      </c>
      <c r="R503" s="6"/>
      <c r="S503" s="6"/>
      <c r="T503" s="6"/>
      <c r="U503" s="6"/>
      <c r="V503" s="6"/>
    </row>
    <row r="504" spans="17:22" x14ac:dyDescent="0.3">
      <c r="Q504" s="13">
        <v>508</v>
      </c>
      <c r="R504" s="6"/>
      <c r="S504" s="6"/>
      <c r="T504" s="6"/>
      <c r="U504" s="6"/>
      <c r="V504" s="6"/>
    </row>
    <row r="505" spans="17:22" x14ac:dyDescent="0.3">
      <c r="Q505" s="13">
        <v>509</v>
      </c>
      <c r="R505" s="6"/>
      <c r="S505" s="6"/>
      <c r="T505" s="6"/>
      <c r="U505" s="6"/>
      <c r="V505" s="6"/>
    </row>
    <row r="506" spans="17:22" x14ac:dyDescent="0.3">
      <c r="Q506" s="13">
        <v>510</v>
      </c>
      <c r="R506" s="6"/>
      <c r="S506" s="6"/>
      <c r="T506" s="6"/>
      <c r="U506" s="6"/>
      <c r="V506" s="6"/>
    </row>
    <row r="507" spans="17:22" x14ac:dyDescent="0.3">
      <c r="Q507" s="13">
        <v>511</v>
      </c>
      <c r="R507" s="6"/>
      <c r="S507" s="6"/>
      <c r="T507" s="6"/>
      <c r="U507" s="6"/>
      <c r="V507" s="6"/>
    </row>
    <row r="508" spans="17:22" x14ac:dyDescent="0.3">
      <c r="Q508" s="13">
        <v>512</v>
      </c>
      <c r="R508" s="6"/>
      <c r="S508" s="6"/>
      <c r="T508" s="6"/>
      <c r="U508" s="6"/>
      <c r="V508" s="6"/>
    </row>
    <row r="509" spans="17:22" x14ac:dyDescent="0.3">
      <c r="Q509" s="13">
        <v>513</v>
      </c>
      <c r="R509" s="6"/>
      <c r="S509" s="6"/>
      <c r="T509" s="6"/>
      <c r="U509" s="6"/>
      <c r="V509" s="6"/>
    </row>
    <row r="510" spans="17:22" x14ac:dyDescent="0.3">
      <c r="Q510" s="13">
        <v>514</v>
      </c>
      <c r="R510" s="6"/>
      <c r="S510" s="6"/>
      <c r="T510" s="6"/>
      <c r="U510" s="6"/>
      <c r="V510" s="6"/>
    </row>
    <row r="511" spans="17:22" x14ac:dyDescent="0.3">
      <c r="Q511" s="13">
        <v>515</v>
      </c>
      <c r="R511" s="6"/>
      <c r="S511" s="6"/>
      <c r="T511" s="6"/>
      <c r="U511" s="6"/>
      <c r="V511" s="6"/>
    </row>
    <row r="512" spans="17:22" x14ac:dyDescent="0.3">
      <c r="Q512" s="13">
        <v>516</v>
      </c>
      <c r="R512" s="6"/>
      <c r="S512" s="6"/>
      <c r="T512" s="6"/>
      <c r="U512" s="6"/>
      <c r="V512" s="6"/>
    </row>
    <row r="513" spans="17:22" x14ac:dyDescent="0.3">
      <c r="Q513" s="13">
        <v>517</v>
      </c>
      <c r="R513" s="6"/>
      <c r="S513" s="6"/>
      <c r="T513" s="6"/>
      <c r="U513" s="6"/>
      <c r="V513" s="6"/>
    </row>
    <row r="514" spans="17:22" x14ac:dyDescent="0.3">
      <c r="Q514" s="13">
        <v>518</v>
      </c>
      <c r="R514" s="6"/>
      <c r="S514" s="6"/>
      <c r="T514" s="6"/>
      <c r="U514" s="6"/>
      <c r="V514" s="6"/>
    </row>
    <row r="515" spans="17:22" x14ac:dyDescent="0.3">
      <c r="Q515" s="13">
        <v>519</v>
      </c>
      <c r="R515" s="6"/>
      <c r="S515" s="6"/>
      <c r="T515" s="6"/>
      <c r="U515" s="6"/>
      <c r="V515" s="6"/>
    </row>
    <row r="516" spans="17:22" x14ac:dyDescent="0.3">
      <c r="Q516" s="13">
        <v>520</v>
      </c>
      <c r="R516" s="6"/>
      <c r="S516" s="6"/>
      <c r="T516" s="6"/>
      <c r="U516" s="6"/>
      <c r="V516" s="6"/>
    </row>
    <row r="517" spans="17:22" x14ac:dyDescent="0.3">
      <c r="Q517" s="13">
        <v>521</v>
      </c>
      <c r="R517" s="6"/>
      <c r="S517" s="6"/>
      <c r="T517" s="6"/>
      <c r="U517" s="6"/>
      <c r="V517" s="6"/>
    </row>
    <row r="518" spans="17:22" x14ac:dyDescent="0.3">
      <c r="Q518" s="13">
        <v>522</v>
      </c>
      <c r="R518" s="6"/>
      <c r="S518" s="6"/>
      <c r="T518" s="6"/>
      <c r="U518" s="6"/>
      <c r="V518" s="6"/>
    </row>
    <row r="519" spans="17:22" x14ac:dyDescent="0.3">
      <c r="Q519" s="13">
        <v>523</v>
      </c>
      <c r="R519" s="6"/>
      <c r="S519" s="6"/>
      <c r="T519" s="6"/>
      <c r="U519" s="6"/>
      <c r="V519" s="6"/>
    </row>
    <row r="520" spans="17:22" x14ac:dyDescent="0.3">
      <c r="Q520" s="13">
        <v>524</v>
      </c>
      <c r="R520" s="6"/>
      <c r="S520" s="6"/>
      <c r="T520" s="6"/>
      <c r="U520" s="6"/>
      <c r="V520" s="6"/>
    </row>
    <row r="521" spans="17:22" x14ac:dyDescent="0.3">
      <c r="Q521" s="13">
        <v>525</v>
      </c>
      <c r="R521" s="6"/>
      <c r="S521" s="6"/>
      <c r="T521" s="6"/>
      <c r="U521" s="6"/>
      <c r="V521" s="6"/>
    </row>
    <row r="522" spans="17:22" x14ac:dyDescent="0.3">
      <c r="Q522" s="13">
        <v>526</v>
      </c>
      <c r="R522" s="6"/>
      <c r="S522" s="6"/>
      <c r="T522" s="6"/>
      <c r="U522" s="6"/>
      <c r="V522" s="6"/>
    </row>
    <row r="523" spans="17:22" x14ac:dyDescent="0.3">
      <c r="Q523" s="13">
        <v>527</v>
      </c>
      <c r="R523" s="6"/>
      <c r="S523" s="6"/>
      <c r="T523" s="6"/>
      <c r="U523" s="6"/>
      <c r="V523" s="6"/>
    </row>
    <row r="524" spans="17:22" x14ac:dyDescent="0.3">
      <c r="Q524" s="13">
        <v>528</v>
      </c>
      <c r="R524" s="6"/>
      <c r="S524" s="6"/>
      <c r="T524" s="6"/>
      <c r="U524" s="6"/>
      <c r="V524" s="6"/>
    </row>
    <row r="525" spans="17:22" x14ac:dyDescent="0.3">
      <c r="Q525" s="13">
        <v>529</v>
      </c>
      <c r="R525" s="6"/>
      <c r="S525" s="6"/>
      <c r="T525" s="6"/>
      <c r="U525" s="6"/>
      <c r="V525" s="6"/>
    </row>
    <row r="526" spans="17:22" x14ac:dyDescent="0.3">
      <c r="Q526" s="13">
        <v>530</v>
      </c>
      <c r="R526" s="6"/>
      <c r="S526" s="6"/>
      <c r="T526" s="6"/>
      <c r="U526" s="6"/>
      <c r="V526" s="6"/>
    </row>
    <row r="527" spans="17:22" x14ac:dyDescent="0.3">
      <c r="Q527" s="13">
        <v>531</v>
      </c>
      <c r="R527" s="6"/>
      <c r="S527" s="6"/>
      <c r="T527" s="6"/>
      <c r="U527" s="6"/>
      <c r="V527" s="6"/>
    </row>
    <row r="528" spans="17:22" x14ac:dyDescent="0.3">
      <c r="Q528" s="13">
        <v>532</v>
      </c>
      <c r="R528" s="6"/>
      <c r="S528" s="6"/>
      <c r="T528" s="6"/>
      <c r="U528" s="6"/>
      <c r="V528" s="6"/>
    </row>
    <row r="529" spans="17:22" x14ac:dyDescent="0.3">
      <c r="Q529" s="13">
        <v>533</v>
      </c>
      <c r="R529" s="6"/>
      <c r="S529" s="6"/>
      <c r="T529" s="6"/>
      <c r="U529" s="6"/>
      <c r="V529" s="6"/>
    </row>
    <row r="530" spans="17:22" x14ac:dyDescent="0.3">
      <c r="Q530" s="13">
        <v>534</v>
      </c>
      <c r="R530" s="6"/>
      <c r="S530" s="6"/>
      <c r="T530" s="6"/>
      <c r="U530" s="6"/>
      <c r="V530" s="6"/>
    </row>
    <row r="531" spans="17:22" x14ac:dyDescent="0.3">
      <c r="Q531" s="13">
        <v>535</v>
      </c>
      <c r="R531" s="6"/>
      <c r="S531" s="6"/>
      <c r="T531" s="6"/>
      <c r="U531" s="6"/>
      <c r="V531" s="6"/>
    </row>
    <row r="532" spans="17:22" x14ac:dyDescent="0.3">
      <c r="Q532" s="13">
        <v>536</v>
      </c>
      <c r="R532" s="6"/>
      <c r="S532" s="6"/>
      <c r="T532" s="6"/>
      <c r="U532" s="6"/>
      <c r="V532" s="6"/>
    </row>
    <row r="533" spans="17:22" x14ac:dyDescent="0.3">
      <c r="Q533" s="13">
        <v>537</v>
      </c>
      <c r="R533" s="6"/>
      <c r="S533" s="6"/>
      <c r="T533" s="6"/>
      <c r="U533" s="6"/>
      <c r="V533" s="6"/>
    </row>
    <row r="534" spans="17:22" x14ac:dyDescent="0.3">
      <c r="Q534" s="13">
        <v>538</v>
      </c>
      <c r="R534" s="6"/>
      <c r="S534" s="6"/>
      <c r="T534" s="6"/>
      <c r="U534" s="6"/>
      <c r="V534" s="6"/>
    </row>
    <row r="535" spans="17:22" x14ac:dyDescent="0.3">
      <c r="Q535" s="13">
        <v>539</v>
      </c>
      <c r="R535" s="6"/>
      <c r="S535" s="6"/>
      <c r="T535" s="6"/>
      <c r="U535" s="6"/>
      <c r="V535" s="6"/>
    </row>
    <row r="536" spans="17:22" x14ac:dyDescent="0.3">
      <c r="Q536" s="13">
        <v>540</v>
      </c>
      <c r="R536" s="6"/>
      <c r="S536" s="6"/>
      <c r="T536" s="6"/>
      <c r="U536" s="6"/>
      <c r="V536" s="6"/>
    </row>
    <row r="537" spans="17:22" x14ac:dyDescent="0.3">
      <c r="Q537" s="13">
        <v>541</v>
      </c>
      <c r="R537" s="6"/>
      <c r="S537" s="6"/>
      <c r="T537" s="6"/>
      <c r="U537" s="6"/>
      <c r="V537" s="6"/>
    </row>
    <row r="538" spans="17:22" x14ac:dyDescent="0.3">
      <c r="Q538" s="13">
        <v>542</v>
      </c>
      <c r="R538" s="6"/>
      <c r="S538" s="6"/>
      <c r="T538" s="6"/>
      <c r="U538" s="6"/>
      <c r="V538" s="6"/>
    </row>
    <row r="539" spans="17:22" x14ac:dyDescent="0.3">
      <c r="Q539" s="13">
        <v>543</v>
      </c>
      <c r="R539" s="6"/>
      <c r="S539" s="6"/>
      <c r="T539" s="6"/>
      <c r="U539" s="6"/>
      <c r="V539" s="6"/>
    </row>
    <row r="540" spans="17:22" x14ac:dyDescent="0.3">
      <c r="Q540" s="13">
        <v>544</v>
      </c>
      <c r="R540" s="6"/>
      <c r="S540" s="6"/>
      <c r="T540" s="6"/>
      <c r="U540" s="6"/>
      <c r="V540" s="6"/>
    </row>
    <row r="541" spans="17:22" x14ac:dyDescent="0.3">
      <c r="Q541" s="13">
        <v>545</v>
      </c>
      <c r="R541" s="6"/>
      <c r="S541" s="6"/>
      <c r="T541" s="6"/>
      <c r="U541" s="6"/>
      <c r="V541" s="6"/>
    </row>
    <row r="542" spans="17:22" x14ac:dyDescent="0.3">
      <c r="Q542" s="13">
        <v>546</v>
      </c>
      <c r="R542" s="6"/>
      <c r="S542" s="6"/>
      <c r="T542" s="6"/>
      <c r="U542" s="6"/>
      <c r="V542" s="6"/>
    </row>
    <row r="543" spans="17:22" x14ac:dyDescent="0.3">
      <c r="Q543" s="13">
        <v>547</v>
      </c>
      <c r="R543" s="6"/>
      <c r="S543" s="6"/>
      <c r="T543" s="6"/>
      <c r="U543" s="6"/>
      <c r="V543" s="6"/>
    </row>
    <row r="544" spans="17:22" x14ac:dyDescent="0.3">
      <c r="Q544" s="13">
        <v>548</v>
      </c>
      <c r="R544" s="6"/>
      <c r="S544" s="6"/>
      <c r="T544" s="6"/>
      <c r="U544" s="6"/>
      <c r="V544" s="6"/>
    </row>
    <row r="545" spans="17:22" x14ac:dyDescent="0.3">
      <c r="Q545" s="13">
        <v>549</v>
      </c>
      <c r="R545" s="6"/>
      <c r="S545" s="6"/>
      <c r="T545" s="6"/>
      <c r="U545" s="6"/>
      <c r="V545" s="6"/>
    </row>
    <row r="546" spans="17:22" x14ac:dyDescent="0.3">
      <c r="Q546" s="13">
        <v>550</v>
      </c>
      <c r="R546" s="6"/>
      <c r="S546" s="6"/>
      <c r="T546" s="6"/>
      <c r="U546" s="6"/>
      <c r="V546" s="6"/>
    </row>
    <row r="547" spans="17:22" x14ac:dyDescent="0.3">
      <c r="Q547" s="13">
        <v>551</v>
      </c>
      <c r="R547" s="6"/>
      <c r="S547" s="6"/>
      <c r="T547" s="6"/>
      <c r="U547" s="6"/>
      <c r="V547" s="6"/>
    </row>
    <row r="548" spans="17:22" x14ac:dyDescent="0.3">
      <c r="Q548" s="13">
        <v>552</v>
      </c>
      <c r="R548" s="6"/>
      <c r="S548" s="6"/>
      <c r="T548" s="6"/>
      <c r="U548" s="6"/>
      <c r="V548" s="6"/>
    </row>
    <row r="549" spans="17:22" x14ac:dyDescent="0.3">
      <c r="Q549" s="13">
        <v>553</v>
      </c>
      <c r="R549" s="6"/>
      <c r="S549" s="6"/>
      <c r="T549" s="6"/>
      <c r="U549" s="6"/>
      <c r="V549" s="6"/>
    </row>
    <row r="550" spans="17:22" x14ac:dyDescent="0.3">
      <c r="Q550" s="13">
        <v>554</v>
      </c>
      <c r="R550" s="6"/>
      <c r="S550" s="6"/>
      <c r="T550" s="6"/>
      <c r="U550" s="6"/>
      <c r="V550" s="6"/>
    </row>
    <row r="551" spans="17:22" x14ac:dyDescent="0.3">
      <c r="Q551" s="13">
        <v>555</v>
      </c>
      <c r="R551" s="6"/>
      <c r="S551" s="6"/>
      <c r="T551" s="6"/>
      <c r="U551" s="6"/>
      <c r="V551" s="6"/>
    </row>
    <row r="552" spans="17:22" x14ac:dyDescent="0.3">
      <c r="Q552" s="13">
        <v>556</v>
      </c>
      <c r="R552" s="6"/>
      <c r="S552" s="6"/>
      <c r="T552" s="6"/>
      <c r="U552" s="6"/>
      <c r="V552" s="6"/>
    </row>
    <row r="553" spans="17:22" x14ac:dyDescent="0.3">
      <c r="Q553" s="13">
        <v>557</v>
      </c>
      <c r="R553" s="6"/>
      <c r="S553" s="6"/>
      <c r="T553" s="6"/>
      <c r="U553" s="6"/>
      <c r="V553" s="6"/>
    </row>
    <row r="554" spans="17:22" x14ac:dyDescent="0.3">
      <c r="Q554" s="13">
        <v>558</v>
      </c>
      <c r="R554" s="6"/>
      <c r="S554" s="6"/>
      <c r="T554" s="6"/>
      <c r="U554" s="6"/>
      <c r="V554" s="6"/>
    </row>
    <row r="555" spans="17:22" x14ac:dyDescent="0.3">
      <c r="Q555" s="13">
        <v>559</v>
      </c>
      <c r="R555" s="6"/>
      <c r="S555" s="6"/>
      <c r="T555" s="6"/>
      <c r="U555" s="6"/>
      <c r="V555" s="6"/>
    </row>
    <row r="556" spans="17:22" x14ac:dyDescent="0.3">
      <c r="Q556" s="13">
        <v>560</v>
      </c>
      <c r="R556" s="6"/>
      <c r="S556" s="6"/>
      <c r="T556" s="6"/>
      <c r="U556" s="6"/>
      <c r="V556" s="6"/>
    </row>
    <row r="557" spans="17:22" x14ac:dyDescent="0.3">
      <c r="Q557" s="13">
        <v>561</v>
      </c>
      <c r="R557" s="6"/>
      <c r="S557" s="6"/>
      <c r="T557" s="6"/>
      <c r="U557" s="6"/>
      <c r="V557" s="6"/>
    </row>
    <row r="558" spans="17:22" x14ac:dyDescent="0.3">
      <c r="Q558" s="13">
        <v>562</v>
      </c>
      <c r="R558" s="6"/>
      <c r="S558" s="6"/>
      <c r="T558" s="6"/>
      <c r="U558" s="6"/>
      <c r="V558" s="6"/>
    </row>
    <row r="559" spans="17:22" x14ac:dyDescent="0.3">
      <c r="Q559" s="13">
        <v>563</v>
      </c>
      <c r="R559" s="6"/>
      <c r="S559" s="6"/>
      <c r="T559" s="6"/>
      <c r="U559" s="6"/>
      <c r="V559" s="6"/>
    </row>
    <row r="560" spans="17:22" x14ac:dyDescent="0.3">
      <c r="Q560" s="13">
        <v>564</v>
      </c>
      <c r="R560" s="6"/>
      <c r="S560" s="6"/>
      <c r="T560" s="6"/>
      <c r="U560" s="6"/>
      <c r="V560" s="6"/>
    </row>
    <row r="561" spans="17:22" x14ac:dyDescent="0.3">
      <c r="Q561" s="13">
        <v>565</v>
      </c>
      <c r="R561" s="6"/>
      <c r="S561" s="6"/>
      <c r="T561" s="6"/>
      <c r="U561" s="6"/>
      <c r="V561" s="6"/>
    </row>
    <row r="562" spans="17:22" x14ac:dyDescent="0.3">
      <c r="Q562" s="13">
        <v>566</v>
      </c>
      <c r="R562" s="6"/>
      <c r="S562" s="6"/>
      <c r="T562" s="6"/>
      <c r="U562" s="6"/>
      <c r="V562" s="6"/>
    </row>
    <row r="563" spans="17:22" x14ac:dyDescent="0.3">
      <c r="Q563" s="13">
        <v>567</v>
      </c>
      <c r="R563" s="6"/>
      <c r="S563" s="6"/>
      <c r="T563" s="6"/>
      <c r="U563" s="6"/>
      <c r="V563" s="6"/>
    </row>
    <row r="564" spans="17:22" x14ac:dyDescent="0.3">
      <c r="Q564" s="13">
        <v>568</v>
      </c>
      <c r="R564" s="6"/>
      <c r="S564" s="6"/>
      <c r="T564" s="6"/>
      <c r="U564" s="6"/>
      <c r="V564" s="6"/>
    </row>
    <row r="565" spans="17:22" x14ac:dyDescent="0.3">
      <c r="Q565" s="13">
        <v>569</v>
      </c>
      <c r="R565" s="6"/>
      <c r="S565" s="6"/>
      <c r="T565" s="6"/>
      <c r="U565" s="6"/>
      <c r="V565" s="6"/>
    </row>
    <row r="566" spans="17:22" x14ac:dyDescent="0.3">
      <c r="Q566" s="13">
        <v>570</v>
      </c>
      <c r="R566" s="6"/>
      <c r="S566" s="6"/>
      <c r="T566" s="6"/>
      <c r="U566" s="6"/>
      <c r="V566" s="6"/>
    </row>
    <row r="567" spans="17:22" x14ac:dyDescent="0.3">
      <c r="Q567" s="13">
        <v>571</v>
      </c>
      <c r="R567" s="6"/>
      <c r="S567" s="6"/>
      <c r="T567" s="6"/>
      <c r="U567" s="6"/>
      <c r="V567" s="6"/>
    </row>
    <row r="568" spans="17:22" x14ac:dyDescent="0.3">
      <c r="Q568" s="13">
        <v>572</v>
      </c>
      <c r="R568" s="6"/>
      <c r="S568" s="6"/>
      <c r="T568" s="6"/>
      <c r="U568" s="6"/>
      <c r="V568" s="6"/>
    </row>
    <row r="569" spans="17:22" x14ac:dyDescent="0.3">
      <c r="Q569" s="13">
        <v>573</v>
      </c>
      <c r="R569" s="6"/>
      <c r="S569" s="6"/>
      <c r="T569" s="6"/>
      <c r="U569" s="6"/>
      <c r="V569" s="6"/>
    </row>
    <row r="570" spans="17:22" x14ac:dyDescent="0.3">
      <c r="Q570" s="13">
        <v>574</v>
      </c>
      <c r="R570" s="6"/>
      <c r="S570" s="6"/>
      <c r="T570" s="6"/>
      <c r="U570" s="6"/>
      <c r="V570" s="6"/>
    </row>
    <row r="571" spans="17:22" x14ac:dyDescent="0.3">
      <c r="Q571" s="13">
        <v>575</v>
      </c>
      <c r="R571" s="6"/>
      <c r="S571" s="6"/>
      <c r="T571" s="6"/>
      <c r="U571" s="6"/>
      <c r="V571" s="6"/>
    </row>
    <row r="572" spans="17:22" x14ac:dyDescent="0.3">
      <c r="Q572" s="13">
        <v>576</v>
      </c>
      <c r="R572" s="6"/>
      <c r="S572" s="6"/>
      <c r="T572" s="6"/>
      <c r="U572" s="6"/>
      <c r="V572" s="6"/>
    </row>
    <row r="573" spans="17:22" x14ac:dyDescent="0.3">
      <c r="Q573" s="13">
        <v>577</v>
      </c>
      <c r="R573" s="6"/>
      <c r="S573" s="6"/>
      <c r="T573" s="6"/>
      <c r="U573" s="6"/>
      <c r="V573" s="6"/>
    </row>
    <row r="574" spans="17:22" x14ac:dyDescent="0.3">
      <c r="Q574" s="13">
        <v>578</v>
      </c>
      <c r="R574" s="6"/>
      <c r="S574" s="6"/>
      <c r="T574" s="6"/>
      <c r="U574" s="6"/>
      <c r="V574" s="6"/>
    </row>
    <row r="575" spans="17:22" x14ac:dyDescent="0.3">
      <c r="Q575" s="13">
        <v>579</v>
      </c>
      <c r="R575" s="6"/>
      <c r="S575" s="6"/>
      <c r="T575" s="6"/>
      <c r="U575" s="6"/>
      <c r="V575" s="6"/>
    </row>
    <row r="576" spans="17:22" x14ac:dyDescent="0.3">
      <c r="Q576" s="13">
        <v>580</v>
      </c>
      <c r="R576" s="6"/>
      <c r="S576" s="6"/>
      <c r="T576" s="6"/>
      <c r="U576" s="6"/>
      <c r="V576" s="6"/>
    </row>
    <row r="577" spans="17:22" x14ac:dyDescent="0.3">
      <c r="Q577" s="13">
        <v>581</v>
      </c>
      <c r="R577" s="6"/>
      <c r="S577" s="6"/>
      <c r="T577" s="6"/>
      <c r="U577" s="6"/>
      <c r="V577" s="6"/>
    </row>
    <row r="578" spans="17:22" x14ac:dyDescent="0.3">
      <c r="Q578" s="13">
        <v>582</v>
      </c>
      <c r="R578" s="6"/>
      <c r="S578" s="6"/>
      <c r="T578" s="6"/>
      <c r="U578" s="6"/>
      <c r="V578" s="6"/>
    </row>
    <row r="579" spans="17:22" x14ac:dyDescent="0.3">
      <c r="Q579" s="13">
        <v>583</v>
      </c>
      <c r="R579" s="6"/>
      <c r="S579" s="6"/>
      <c r="T579" s="6"/>
      <c r="U579" s="6"/>
      <c r="V579" s="6"/>
    </row>
    <row r="580" spans="17:22" x14ac:dyDescent="0.3">
      <c r="Q580" s="13">
        <v>584</v>
      </c>
      <c r="R580" s="6"/>
      <c r="S580" s="6"/>
      <c r="T580" s="6"/>
      <c r="U580" s="6"/>
      <c r="V580" s="6"/>
    </row>
    <row r="581" spans="17:22" x14ac:dyDescent="0.3">
      <c r="Q581" s="13">
        <v>585</v>
      </c>
      <c r="R581" s="6"/>
      <c r="S581" s="6"/>
      <c r="T581" s="6"/>
      <c r="U581" s="6"/>
      <c r="V581" s="6"/>
    </row>
    <row r="582" spans="17:22" x14ac:dyDescent="0.3">
      <c r="Q582" s="13">
        <v>586</v>
      </c>
      <c r="R582" s="6"/>
      <c r="S582" s="6"/>
      <c r="T582" s="6"/>
      <c r="U582" s="6"/>
      <c r="V582" s="6"/>
    </row>
    <row r="583" spans="17:22" x14ac:dyDescent="0.3">
      <c r="Q583" s="13">
        <v>587</v>
      </c>
      <c r="R583" s="6"/>
      <c r="S583" s="6"/>
      <c r="T583" s="6"/>
      <c r="U583" s="6"/>
      <c r="V583" s="6"/>
    </row>
    <row r="584" spans="17:22" x14ac:dyDescent="0.3">
      <c r="Q584" s="13">
        <v>588</v>
      </c>
      <c r="R584" s="6"/>
      <c r="S584" s="6"/>
      <c r="T584" s="6"/>
      <c r="U584" s="6"/>
      <c r="V584" s="6"/>
    </row>
    <row r="585" spans="17:22" x14ac:dyDescent="0.3">
      <c r="Q585" s="13">
        <v>589</v>
      </c>
      <c r="R585" s="6"/>
      <c r="S585" s="6"/>
      <c r="T585" s="6"/>
      <c r="U585" s="6"/>
      <c r="V585" s="6"/>
    </row>
    <row r="586" spans="17:22" x14ac:dyDescent="0.3">
      <c r="Q586" s="13">
        <v>590</v>
      </c>
      <c r="R586" s="6"/>
      <c r="S586" s="6"/>
      <c r="T586" s="6"/>
      <c r="U586" s="6"/>
      <c r="V586" s="6"/>
    </row>
    <row r="587" spans="17:22" x14ac:dyDescent="0.3">
      <c r="Q587" s="13">
        <v>591</v>
      </c>
      <c r="R587" s="6"/>
      <c r="S587" s="6"/>
      <c r="T587" s="6"/>
      <c r="U587" s="6"/>
      <c r="V587" s="6"/>
    </row>
    <row r="588" spans="17:22" x14ac:dyDescent="0.3">
      <c r="Q588" s="13">
        <v>592</v>
      </c>
      <c r="R588" s="6"/>
      <c r="S588" s="6"/>
      <c r="T588" s="6"/>
      <c r="U588" s="6"/>
      <c r="V588" s="6"/>
    </row>
    <row r="589" spans="17:22" x14ac:dyDescent="0.3">
      <c r="Q589" s="13">
        <v>593</v>
      </c>
      <c r="R589" s="6"/>
      <c r="S589" s="6"/>
      <c r="T589" s="6"/>
      <c r="U589" s="6"/>
      <c r="V589" s="6"/>
    </row>
    <row r="590" spans="17:22" x14ac:dyDescent="0.3">
      <c r="Q590" s="13">
        <v>594</v>
      </c>
      <c r="R590" s="6"/>
      <c r="S590" s="6"/>
      <c r="T590" s="6"/>
      <c r="U590" s="6"/>
      <c r="V590" s="6"/>
    </row>
    <row r="591" spans="17:22" x14ac:dyDescent="0.3">
      <c r="Q591" s="13">
        <v>595</v>
      </c>
      <c r="R591" s="6"/>
      <c r="S591" s="6"/>
      <c r="T591" s="6"/>
      <c r="U591" s="6"/>
      <c r="V591" s="6"/>
    </row>
    <row r="592" spans="17:22" x14ac:dyDescent="0.3">
      <c r="Q592" s="13">
        <v>596</v>
      </c>
      <c r="R592" s="6"/>
      <c r="S592" s="6"/>
      <c r="T592" s="6"/>
      <c r="U592" s="6"/>
      <c r="V592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4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714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714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715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717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717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724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6"/>
    </row>
    <row r="28" spans="1:9" x14ac:dyDescent="0.3">
      <c r="B28" s="6"/>
      <c r="C28" s="6"/>
      <c r="D28" s="6" t="s">
        <v>731</v>
      </c>
      <c r="E28" s="6" t="s">
        <v>735</v>
      </c>
      <c r="F28" s="1127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95" t="s">
        <v>270</v>
      </c>
      <c r="B3" s="1296"/>
      <c r="C3" s="1296"/>
      <c r="D3" s="1296"/>
      <c r="E3" s="1296"/>
      <c r="F3" s="1296"/>
      <c r="G3" s="1297"/>
      <c r="I3" s="1">
        <f>I2/2</f>
        <v>720</v>
      </c>
    </row>
    <row r="4" spans="1:14" ht="15" thickBot="1" x14ac:dyDescent="0.35">
      <c r="A4" s="1298" t="s">
        <v>0</v>
      </c>
      <c r="B4" s="129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499">
        <v>46268</v>
      </c>
      <c r="B5" s="1294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499">
        <v>46269</v>
      </c>
      <c r="B6" s="1294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499">
        <v>46270</v>
      </c>
      <c r="B7" s="1294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499">
        <v>46271</v>
      </c>
      <c r="B8" s="1294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499">
        <v>46272</v>
      </c>
      <c r="B9" s="1294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499">
        <v>46273</v>
      </c>
      <c r="B10" s="1294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499">
        <v>46274</v>
      </c>
      <c r="B11" s="1294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499">
        <v>46275</v>
      </c>
      <c r="B12" s="1294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499">
        <v>46276</v>
      </c>
      <c r="B13" s="1294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499">
        <v>46277</v>
      </c>
      <c r="B14" s="1294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499">
        <v>46278</v>
      </c>
      <c r="B15" s="1294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499">
        <v>46279</v>
      </c>
      <c r="B16" s="1294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499">
        <v>46280</v>
      </c>
      <c r="B17" s="1294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499">
        <v>46281</v>
      </c>
      <c r="B18" s="1294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499">
        <v>46282</v>
      </c>
      <c r="B19" s="1294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499">
        <v>46283</v>
      </c>
      <c r="B20" s="1294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499">
        <v>46284</v>
      </c>
      <c r="B21" s="1294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499">
        <v>46285</v>
      </c>
      <c r="B22" s="1294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499">
        <v>46286</v>
      </c>
      <c r="B23" s="1294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499">
        <v>46287</v>
      </c>
      <c r="B24" s="1294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499">
        <v>46288</v>
      </c>
      <c r="B25" s="1294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499">
        <v>46289</v>
      </c>
      <c r="B26" s="1294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499">
        <v>46290</v>
      </c>
      <c r="B27" s="1294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499">
        <v>46291</v>
      </c>
      <c r="B28" s="1294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499">
        <v>46292</v>
      </c>
      <c r="B29" s="1294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499">
        <v>46293</v>
      </c>
      <c r="B30" s="1294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499">
        <v>46294</v>
      </c>
      <c r="B31" s="1294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499">
        <v>46295</v>
      </c>
      <c r="B32" s="1294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499">
        <v>46296</v>
      </c>
      <c r="B33" s="1294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499">
        <v>46297</v>
      </c>
      <c r="B34" s="1294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499">
        <v>46298</v>
      </c>
      <c r="B35" s="1294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499">
        <v>46299</v>
      </c>
      <c r="B36" s="1294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499">
        <v>46300</v>
      </c>
      <c r="B37" s="1294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499">
        <v>46301</v>
      </c>
      <c r="B38" s="1294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499">
        <v>46302</v>
      </c>
      <c r="B39" s="1294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499">
        <v>46303</v>
      </c>
      <c r="B40" s="1294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499">
        <v>46304</v>
      </c>
      <c r="B41" s="1294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499">
        <v>46305</v>
      </c>
      <c r="B42" s="1294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499">
        <v>46306</v>
      </c>
      <c r="B43" s="1294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499">
        <v>46307</v>
      </c>
      <c r="B44" s="1294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499">
        <v>46308</v>
      </c>
      <c r="B45" s="1294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499">
        <v>46309</v>
      </c>
      <c r="B46" s="1294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499">
        <v>46310</v>
      </c>
      <c r="B47" s="1294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499">
        <v>46311</v>
      </c>
      <c r="B48" s="1294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499">
        <v>46312</v>
      </c>
      <c r="B49" s="1294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499">
        <v>46313</v>
      </c>
      <c r="B50" s="1294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499">
        <v>46314</v>
      </c>
      <c r="B51" s="1294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499">
        <v>46315</v>
      </c>
      <c r="B52" s="1294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499">
        <v>46316</v>
      </c>
      <c r="B53" s="1294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499">
        <v>46317</v>
      </c>
      <c r="B54" s="1294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499">
        <v>46318</v>
      </c>
      <c r="B55" s="1294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499">
        <v>46319</v>
      </c>
      <c r="B56" s="1294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499">
        <v>46320</v>
      </c>
      <c r="B57" s="1294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499">
        <v>46321</v>
      </c>
      <c r="B58" s="1294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499">
        <v>46322</v>
      </c>
      <c r="B59" s="1294"/>
      <c r="C59" s="64"/>
      <c r="D59" s="67"/>
      <c r="E59" s="67"/>
      <c r="F59" s="61">
        <f t="shared" si="5"/>
        <v>0</v>
      </c>
      <c r="G59" s="65"/>
    </row>
    <row r="60" spans="1:18" x14ac:dyDescent="0.3">
      <c r="A60" s="1499">
        <v>46323</v>
      </c>
      <c r="B60" s="1294"/>
      <c r="C60" s="64"/>
      <c r="D60" s="67"/>
      <c r="E60" s="67"/>
      <c r="F60" s="61">
        <f t="shared" si="5"/>
        <v>0</v>
      </c>
      <c r="G60" s="65"/>
    </row>
    <row r="61" spans="1:18" x14ac:dyDescent="0.3">
      <c r="A61" s="1499">
        <v>46324</v>
      </c>
      <c r="B61" s="1294"/>
      <c r="C61" s="64"/>
      <c r="D61" s="67"/>
      <c r="E61" s="67"/>
      <c r="F61" s="61">
        <f t="shared" si="5"/>
        <v>0</v>
      </c>
      <c r="G61" s="65"/>
    </row>
    <row r="62" spans="1:18" x14ac:dyDescent="0.3">
      <c r="A62" s="1499">
        <v>46325</v>
      </c>
      <c r="B62" s="1294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zoomScale="81" zoomScaleNormal="100" workbookViewId="0">
      <pane ySplit="9" topLeftCell="A15" activePane="bottomLeft" state="frozen"/>
      <selection pane="bottomLeft" activeCell="M33" sqref="M33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03" t="s">
        <v>243</v>
      </c>
      <c r="F2" s="1504"/>
      <c r="G2" s="1504"/>
      <c r="H2" s="1504"/>
      <c r="I2" s="1504"/>
      <c r="J2" s="1504"/>
      <c r="K2" s="1504"/>
      <c r="L2" s="1504"/>
      <c r="M2" s="1504"/>
      <c r="N2" s="1504"/>
      <c r="O2" s="1504"/>
      <c r="P2" s="1504"/>
      <c r="Q2" s="1504"/>
      <c r="R2" s="1504"/>
      <c r="S2" s="1504"/>
      <c r="T2" s="1504"/>
      <c r="U2" s="1504"/>
      <c r="V2" s="1504"/>
      <c r="W2" s="1504"/>
      <c r="X2" s="1504"/>
      <c r="Y2" s="1504"/>
      <c r="Z2" s="1504"/>
      <c r="AA2" s="1504"/>
      <c r="AB2" s="1504"/>
      <c r="AC2" s="1504"/>
      <c r="AD2" s="1504"/>
      <c r="AE2" s="1504"/>
      <c r="AF2" s="1505"/>
    </row>
    <row r="3" spans="1:68" ht="24" thickBot="1" x14ac:dyDescent="0.5">
      <c r="E3" s="1503" t="s">
        <v>197</v>
      </c>
      <c r="F3" s="1504"/>
      <c r="G3" s="1504"/>
      <c r="H3" s="1504"/>
      <c r="I3" s="1504"/>
      <c r="J3" s="1504"/>
      <c r="K3" s="1504"/>
      <c r="L3" s="1504"/>
      <c r="M3" s="1504"/>
      <c r="N3" s="1504"/>
      <c r="O3" s="1504"/>
      <c r="P3" s="1504"/>
      <c r="Q3" s="1504"/>
      <c r="R3" s="1504"/>
      <c r="S3" s="1504"/>
      <c r="T3" s="1504"/>
      <c r="U3" s="1504"/>
      <c r="V3" s="1504"/>
      <c r="W3" s="1504"/>
      <c r="X3" s="1504"/>
      <c r="Y3" s="1504"/>
      <c r="Z3" s="1504"/>
      <c r="AA3" s="1504"/>
      <c r="AB3" s="1504"/>
      <c r="AC3" s="1504"/>
      <c r="AD3" s="1504"/>
      <c r="AE3" s="1504"/>
      <c r="AF3" s="1505"/>
      <c r="AJ3" s="136"/>
    </row>
    <row r="4" spans="1:68" ht="24" thickBot="1" x14ac:dyDescent="0.5">
      <c r="E4" s="1507" t="s">
        <v>537</v>
      </c>
      <c r="F4" s="1508"/>
      <c r="G4" s="1508"/>
      <c r="H4" s="1508"/>
      <c r="I4" s="1508"/>
      <c r="J4" s="1508"/>
      <c r="K4" s="1508"/>
      <c r="L4" s="1508"/>
      <c r="M4" s="1508"/>
      <c r="N4" s="1508"/>
      <c r="O4" s="1508"/>
      <c r="P4" s="1508"/>
      <c r="Q4" s="1508"/>
      <c r="R4" s="1508"/>
      <c r="S4" s="1508"/>
      <c r="T4" s="1508"/>
      <c r="U4" s="1508"/>
      <c r="V4" s="1508"/>
      <c r="W4" s="1508"/>
      <c r="X4" s="1508"/>
      <c r="Y4" s="1508"/>
      <c r="Z4" s="1508"/>
      <c r="AA4" s="1508"/>
      <c r="AB4" s="1508"/>
      <c r="AC4" s="1508"/>
      <c r="AD4" s="1508"/>
      <c r="AE4" s="1508"/>
      <c r="AF4" s="1509"/>
      <c r="AH4" s="422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403" t="s">
        <v>259</v>
      </c>
      <c r="C7" s="205" t="s">
        <v>325</v>
      </c>
      <c r="D7" s="205" t="s">
        <v>706</v>
      </c>
      <c r="E7" s="1403" t="s">
        <v>244</v>
      </c>
      <c r="F7" s="1403" t="s">
        <v>245</v>
      </c>
      <c r="G7" s="1403" t="s">
        <v>246</v>
      </c>
      <c r="H7" s="1403" t="s">
        <v>247</v>
      </c>
      <c r="I7" s="1403" t="s">
        <v>248</v>
      </c>
      <c r="J7" s="1506" t="s">
        <v>144</v>
      </c>
      <c r="K7" s="1510" t="s">
        <v>680</v>
      </c>
      <c r="L7" s="1510" t="s">
        <v>767</v>
      </c>
      <c r="M7" s="1403" t="s">
        <v>250</v>
      </c>
      <c r="N7" s="1393" t="s">
        <v>249</v>
      </c>
      <c r="O7" s="224" t="s">
        <v>249</v>
      </c>
      <c r="P7" s="1393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403" t="s">
        <v>251</v>
      </c>
      <c r="W7" s="205" t="s">
        <v>303</v>
      </c>
      <c r="X7" s="1403" t="s">
        <v>260</v>
      </c>
      <c r="Y7" s="1403"/>
      <c r="Z7" s="1403"/>
      <c r="AA7" s="1502" t="s">
        <v>262</v>
      </c>
      <c r="AB7" s="1502"/>
      <c r="AC7" s="1502"/>
      <c r="AD7" s="1403" t="s">
        <v>269</v>
      </c>
      <c r="AE7" s="1403" t="s">
        <v>290</v>
      </c>
      <c r="AF7" s="1502" t="s">
        <v>256</v>
      </c>
      <c r="AG7" s="1502"/>
      <c r="AH7" s="1502"/>
      <c r="AI7" s="1502"/>
      <c r="AJ7" s="1502"/>
      <c r="AK7" s="1502"/>
      <c r="AL7" s="1502" t="s">
        <v>266</v>
      </c>
      <c r="AM7" s="1502"/>
      <c r="AN7" s="1502"/>
      <c r="AO7" s="1502" t="s">
        <v>267</v>
      </c>
      <c r="AP7" s="1502"/>
      <c r="AQ7" s="1502"/>
      <c r="AR7" s="131"/>
      <c r="AS7" s="247" t="s">
        <v>331</v>
      </c>
      <c r="AT7" s="1513" t="s">
        <v>273</v>
      </c>
      <c r="AU7" s="1514"/>
      <c r="AV7" s="1515"/>
      <c r="AW7" s="1519" t="s">
        <v>300</v>
      </c>
      <c r="AX7" s="1149"/>
      <c r="AY7" s="1393" t="s">
        <v>301</v>
      </c>
      <c r="AZ7" s="1502" t="s">
        <v>661</v>
      </c>
      <c r="BA7" s="1502"/>
      <c r="BB7" s="1502"/>
      <c r="BC7" s="131" t="s">
        <v>293</v>
      </c>
      <c r="BD7" s="1502" t="s">
        <v>277</v>
      </c>
      <c r="BE7" s="1502"/>
      <c r="BF7" s="1502"/>
      <c r="BG7" s="1502" t="s">
        <v>761</v>
      </c>
      <c r="BH7" s="1502"/>
      <c r="BI7" s="1502"/>
      <c r="BJ7" s="1502" t="s">
        <v>763</v>
      </c>
      <c r="BK7" s="1502"/>
      <c r="BL7" s="1502"/>
    </row>
    <row r="8" spans="1:68" x14ac:dyDescent="0.3">
      <c r="B8" s="1403"/>
      <c r="C8" s="205" t="s">
        <v>296</v>
      </c>
      <c r="D8" s="205" t="s">
        <v>36</v>
      </c>
      <c r="E8" s="1403"/>
      <c r="F8" s="1403"/>
      <c r="G8" s="1403"/>
      <c r="H8" s="1403"/>
      <c r="I8" s="1403"/>
      <c r="J8" s="1506"/>
      <c r="K8" s="1511"/>
      <c r="L8" s="1511"/>
      <c r="M8" s="1403"/>
      <c r="N8" s="1394"/>
      <c r="O8" s="225" t="s">
        <v>316</v>
      </c>
      <c r="P8" s="1394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403"/>
      <c r="W8" s="205" t="s">
        <v>184</v>
      </c>
      <c r="X8" s="1403" t="s">
        <v>261</v>
      </c>
      <c r="Y8" s="1403"/>
      <c r="Z8" s="1403"/>
      <c r="AA8" s="1502" t="s">
        <v>466</v>
      </c>
      <c r="AB8" s="1502"/>
      <c r="AC8" s="1502"/>
      <c r="AD8" s="1403"/>
      <c r="AE8" s="1403"/>
      <c r="AF8" s="1502" t="s">
        <v>263</v>
      </c>
      <c r="AG8" s="1502"/>
      <c r="AH8" s="1502"/>
      <c r="AI8" s="1502" t="s">
        <v>264</v>
      </c>
      <c r="AJ8" s="1502"/>
      <c r="AK8" s="1502"/>
      <c r="AL8" s="1502" t="s">
        <v>265</v>
      </c>
      <c r="AM8" s="1502"/>
      <c r="AN8" s="1502"/>
      <c r="AO8" s="1502" t="s">
        <v>257</v>
      </c>
      <c r="AP8" s="1502"/>
      <c r="AQ8" s="1502"/>
      <c r="AR8" s="131" t="s">
        <v>258</v>
      </c>
      <c r="AS8" s="248" t="s">
        <v>294</v>
      </c>
      <c r="AT8" s="1516"/>
      <c r="AU8" s="1517"/>
      <c r="AV8" s="1518"/>
      <c r="AW8" s="1520"/>
      <c r="AX8" s="1150"/>
      <c r="AY8" s="1395"/>
      <c r="AZ8" s="1502" t="s">
        <v>261</v>
      </c>
      <c r="BA8" s="1502"/>
      <c r="BB8" s="1502"/>
      <c r="BC8" s="131" t="s">
        <v>294</v>
      </c>
      <c r="BD8" s="1502" t="s">
        <v>40</v>
      </c>
      <c r="BE8" s="1502"/>
      <c r="BF8" s="1502"/>
      <c r="BG8" s="1502" t="s">
        <v>762</v>
      </c>
      <c r="BH8" s="1502"/>
      <c r="BI8" s="1502"/>
      <c r="BJ8" s="1502" t="s">
        <v>40</v>
      </c>
      <c r="BK8" s="1502"/>
      <c r="BL8" s="1502"/>
    </row>
    <row r="9" spans="1:68" x14ac:dyDescent="0.3">
      <c r="B9" s="1403"/>
      <c r="C9" s="205" t="s">
        <v>297</v>
      </c>
      <c r="D9" s="205" t="s">
        <v>743</v>
      </c>
      <c r="E9" s="1403"/>
      <c r="F9" s="1403"/>
      <c r="G9" s="1403"/>
      <c r="H9" s="1403"/>
      <c r="I9" s="1403"/>
      <c r="J9" s="1506"/>
      <c r="K9" s="1512"/>
      <c r="L9" s="1512"/>
      <c r="M9" s="1403"/>
      <c r="N9" s="1395"/>
      <c r="O9" s="204" t="s">
        <v>315</v>
      </c>
      <c r="P9" s="1395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403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03"/>
      <c r="AE9" s="1403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521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895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953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2" si="70">$O21*X21</f>
        <v>227.26259358000001</v>
      </c>
      <c r="AM21" s="39">
        <f t="shared" ref="AM21:AM22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9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8">
        <v>0.25</v>
      </c>
      <c r="H22" s="453">
        <v>46302</v>
      </c>
      <c r="I22" s="1198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0.53883912430910264</v>
      </c>
      <c r="AB22" s="1145">
        <f>SUM('Milling and Leach Feed'!X75:X78)/'Au Cal Leaching Tank'!$N$22</f>
        <v>0.71575520936804959</v>
      </c>
      <c r="AC22" s="1145">
        <f>SUM('Milling and Leach Feed'!Y75:Y78)/'Au Cal Leaching Tank'!$N$22</f>
        <v>19.368519132865778</v>
      </c>
      <c r="AD22" s="1145">
        <f>AA22-X22</f>
        <v>1.5089124309102586E-2</v>
      </c>
      <c r="AE22" s="1024">
        <f>((AA22-X22)/(AA22+X22)/2)</f>
        <v>7.1001688065053196E-3</v>
      </c>
      <c r="AF22" s="1140">
        <f>'LT Floculation'!G18</f>
        <v>8.3666666666666667E-2</v>
      </c>
      <c r="AG22" s="1140">
        <f>'LT Floculation'!H18</f>
        <v>0.29833333333333334</v>
      </c>
      <c r="AH22" s="1140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6714.0390518505228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4">
        <f t="shared" si="26"/>
        <v>0.75115354017502001</v>
      </c>
      <c r="AU22" s="1024">
        <f t="shared" si="27"/>
        <v>0.62375197057277976</v>
      </c>
      <c r="AV22" s="1024">
        <f t="shared" si="28"/>
        <v>0.3517831738258268</v>
      </c>
      <c r="AW22" s="1025">
        <v>2</v>
      </c>
      <c r="AX22" s="1025"/>
      <c r="AY22" s="451">
        <v>1</v>
      </c>
      <c r="AZ22" s="1213">
        <f>BD22/$AY$22</f>
        <v>136.37670725000001</v>
      </c>
      <c r="BA22" s="1213">
        <f t="shared" ref="BA22:BB22" si="80">BE22/$AY$22</f>
        <v>171.44582874999998</v>
      </c>
      <c r="BB22" s="1213">
        <f t="shared" si="80"/>
        <v>2361.885966850522</v>
      </c>
      <c r="BC22" s="1124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2361.885966850522</v>
      </c>
      <c r="BG22" s="452"/>
      <c r="BH22" s="452"/>
      <c r="BI22" s="1172"/>
      <c r="BJ22" s="452"/>
      <c r="BK22" s="452"/>
      <c r="BL22" s="452"/>
    </row>
    <row r="23" spans="1:66" x14ac:dyDescent="0.3">
      <c r="B23" s="13">
        <v>14</v>
      </c>
      <c r="C23" s="39">
        <f>SUM('Milling and Leach Feed'!P79:P101)-5</f>
        <v>46.666666666666664</v>
      </c>
      <c r="D23" s="39">
        <f>N22/C23</f>
        <v>7.4281500000000005</v>
      </c>
      <c r="E23" s="13">
        <v>3</v>
      </c>
      <c r="F23" s="73">
        <v>46303</v>
      </c>
      <c r="G23" s="102">
        <v>0.58680555555555558</v>
      </c>
      <c r="H23" s="62">
        <v>46304</v>
      </c>
      <c r="I23" s="102">
        <v>0.75</v>
      </c>
      <c r="J23" s="13">
        <v>971</v>
      </c>
      <c r="K23" s="13"/>
      <c r="L23" s="13"/>
      <c r="M23" s="40">
        <v>0.35</v>
      </c>
      <c r="N23" s="39">
        <f t="shared" si="0"/>
        <v>418.01549999999997</v>
      </c>
      <c r="O23" s="6"/>
      <c r="P23" s="13">
        <v>1.23</v>
      </c>
      <c r="Q23" s="13">
        <v>3</v>
      </c>
      <c r="R23" s="13"/>
      <c r="S23" s="13"/>
      <c r="T23" s="13">
        <v>108</v>
      </c>
      <c r="U23" s="6"/>
      <c r="V23" s="39">
        <f t="shared" si="45"/>
        <v>776.31450000000007</v>
      </c>
      <c r="W23" s="6"/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/>
      <c r="AG23" s="13"/>
      <c r="AH23" s="13"/>
      <c r="AI23" s="13">
        <v>2.4E-2</v>
      </c>
      <c r="AJ23" s="6"/>
      <c r="AK23" s="6"/>
      <c r="AL23" s="6"/>
      <c r="AM23" s="6"/>
      <c r="AN23" s="6"/>
      <c r="AO23" s="39">
        <f t="shared" si="76"/>
        <v>0</v>
      </c>
      <c r="AP23" s="39">
        <f t="shared" si="77"/>
        <v>0</v>
      </c>
      <c r="AQ23" s="39">
        <f t="shared" si="78"/>
        <v>0</v>
      </c>
      <c r="AR23" s="39">
        <f t="shared" si="79"/>
        <v>18.631548000000002</v>
      </c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0">
        <v>3</v>
      </c>
      <c r="AX23" s="980"/>
      <c r="AY23" s="13">
        <v>1</v>
      </c>
      <c r="AZ23" s="6">
        <f>BD23/$AY$23</f>
        <v>-18.631548000000002</v>
      </c>
      <c r="BA23" s="6">
        <f t="shared" ref="BA23:BB23" si="82">BE23/$AY$23</f>
        <v>0</v>
      </c>
      <c r="BB23" s="6">
        <f t="shared" si="82"/>
        <v>0</v>
      </c>
      <c r="BC23" s="936">
        <v>14</v>
      </c>
      <c r="BD23" s="39">
        <f t="shared" si="81"/>
        <v>-18.631548000000002</v>
      </c>
      <c r="BE23" s="39">
        <f t="shared" si="69"/>
        <v>0</v>
      </c>
      <c r="BF23" s="39">
        <f t="shared" ref="BF23:BF59" si="83">(AN23-AQ23)</f>
        <v>0</v>
      </c>
      <c r="BG23" s="6"/>
      <c r="BH23" s="6"/>
      <c r="BI23" s="6"/>
      <c r="BJ23" s="6"/>
      <c r="BK23" s="6"/>
      <c r="BL23" s="6"/>
    </row>
    <row r="24" spans="1:66" s="952" customFormat="1" x14ac:dyDescent="0.3">
      <c r="B24" s="451">
        <v>15</v>
      </c>
      <c r="C24" s="452"/>
      <c r="D24" s="452"/>
      <c r="E24" s="451">
        <v>2</v>
      </c>
      <c r="F24" s="451"/>
      <c r="G24" s="452"/>
      <c r="H24" s="452"/>
      <c r="I24" s="452"/>
      <c r="J24" s="451"/>
      <c r="K24" s="451"/>
      <c r="L24" s="451"/>
      <c r="M24" s="451"/>
      <c r="N24" s="673">
        <f t="shared" si="0"/>
        <v>0</v>
      </c>
      <c r="O24" s="452"/>
      <c r="P24" s="451"/>
      <c r="Q24" s="451">
        <v>2</v>
      </c>
      <c r="R24" s="451"/>
      <c r="S24" s="451"/>
      <c r="T24" s="451">
        <v>108</v>
      </c>
      <c r="U24" s="452"/>
      <c r="V24" s="673" t="str">
        <f t="shared" si="45"/>
        <v/>
      </c>
      <c r="W24" s="452"/>
      <c r="X24" s="452"/>
      <c r="Y24" s="452"/>
      <c r="Z24" s="452"/>
      <c r="AA24" s="452"/>
      <c r="AB24" s="452"/>
      <c r="AC24" s="452"/>
      <c r="AD24" s="452"/>
      <c r="AE24" s="452"/>
      <c r="AF24" s="452"/>
      <c r="AG24" s="452"/>
      <c r="AH24" s="452"/>
      <c r="AI24" s="452"/>
      <c r="AJ24" s="452"/>
      <c r="AK24" s="452"/>
      <c r="AM24" s="452"/>
      <c r="AN24" s="452"/>
      <c r="AO24" s="673">
        <f t="shared" si="76"/>
        <v>0</v>
      </c>
      <c r="AP24" s="673">
        <f t="shared" si="77"/>
        <v>0</v>
      </c>
      <c r="AQ24" s="673">
        <f t="shared" si="78"/>
        <v>0</v>
      </c>
      <c r="AR24" s="673" t="str">
        <f t="shared" si="79"/>
        <v/>
      </c>
      <c r="AS24" s="673">
        <v>15</v>
      </c>
      <c r="AT24" s="1024" t="str">
        <f t="shared" si="26"/>
        <v/>
      </c>
      <c r="AU24" s="1024" t="str">
        <f t="shared" si="27"/>
        <v/>
      </c>
      <c r="AV24" s="1024" t="str">
        <f t="shared" si="28"/>
        <v/>
      </c>
      <c r="AW24" s="1027"/>
      <c r="AX24" s="1027"/>
      <c r="AY24" s="451"/>
      <c r="AZ24" s="452"/>
      <c r="BA24" s="452"/>
      <c r="BB24" s="1026"/>
      <c r="BC24" s="1124">
        <v>15</v>
      </c>
      <c r="BD24" s="673" t="str">
        <f t="shared" si="81"/>
        <v/>
      </c>
      <c r="BE24" s="673">
        <f t="shared" si="69"/>
        <v>0</v>
      </c>
      <c r="BF24" s="673">
        <f t="shared" si="83"/>
        <v>0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39">
        <f t="shared" si="0"/>
        <v>0</v>
      </c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39">
        <f t="shared" si="76"/>
        <v>0</v>
      </c>
      <c r="AP25" s="39">
        <f t="shared" si="77"/>
        <v>0</v>
      </c>
      <c r="AQ25" s="39">
        <f t="shared" si="78"/>
        <v>0</v>
      </c>
      <c r="AR25" s="39" t="str">
        <f t="shared" si="79"/>
        <v/>
      </c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936">
        <v>16</v>
      </c>
      <c r="BD25" s="39" t="str">
        <f t="shared" si="81"/>
        <v/>
      </c>
      <c r="BE25" s="39">
        <f t="shared" si="69"/>
        <v>0</v>
      </c>
      <c r="BF25" s="39">
        <f t="shared" si="83"/>
        <v>0</v>
      </c>
      <c r="BG25" s="6"/>
      <c r="BH25" s="6"/>
      <c r="BI25" s="6"/>
      <c r="BJ25" s="6"/>
      <c r="BK25" s="6"/>
      <c r="BL25" s="6"/>
    </row>
    <row r="26" spans="1:66" s="952" customFormat="1" x14ac:dyDescent="0.3">
      <c r="B26" s="451">
        <v>17</v>
      </c>
      <c r="C26" s="452"/>
      <c r="D26" s="452"/>
      <c r="E26" s="451">
        <v>2</v>
      </c>
      <c r="F26" s="451"/>
      <c r="G26" s="452"/>
      <c r="H26" s="452"/>
      <c r="I26" s="452"/>
      <c r="J26" s="451"/>
      <c r="K26" s="451"/>
      <c r="L26" s="451"/>
      <c r="M26" s="451"/>
      <c r="N26" s="673">
        <f t="shared" si="0"/>
        <v>0</v>
      </c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2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 t="str">
        <f t="shared" si="79"/>
        <v/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124">
        <v>17</v>
      </c>
      <c r="BD26" s="673" t="str">
        <f t="shared" si="81"/>
        <v/>
      </c>
      <c r="BE26" s="673">
        <f t="shared" si="69"/>
        <v>0</v>
      </c>
      <c r="BF26" s="673">
        <f t="shared" si="83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39">
        <f t="shared" si="0"/>
        <v>0</v>
      </c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 t="str">
        <f t="shared" si="79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936">
        <v>18</v>
      </c>
      <c r="BD27" s="39" t="str">
        <f t="shared" si="81"/>
        <v/>
      </c>
      <c r="BE27" s="39">
        <f t="shared" si="69"/>
        <v>0</v>
      </c>
      <c r="BF27" s="39">
        <f t="shared" si="83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2"/>
      <c r="H28" s="452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2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124">
        <v>19</v>
      </c>
      <c r="BD28" s="673" t="str">
        <f t="shared" si="81"/>
        <v/>
      </c>
      <c r="BE28" s="673">
        <f t="shared" si="69"/>
        <v>0</v>
      </c>
      <c r="BF28" s="673">
        <f t="shared" si="83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3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2"/>
      <c r="H30" s="452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2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124">
        <v>21</v>
      </c>
      <c r="BD30" s="673" t="str">
        <f t="shared" si="81"/>
        <v/>
      </c>
      <c r="BE30" s="673">
        <f t="shared" si="69"/>
        <v>0</v>
      </c>
      <c r="BF30" s="673">
        <f t="shared" si="83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3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6"/>
      <c r="H32" s="6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3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3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6"/>
      <c r="H34" s="6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3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3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6"/>
      <c r="H36" s="6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3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3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6"/>
      <c r="H38" s="6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3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3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6"/>
      <c r="H40" s="6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3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3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6"/>
      <c r="H42" s="6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3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3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6"/>
      <c r="H44" s="6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3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3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6"/>
      <c r="H46" s="6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3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3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6"/>
      <c r="H48" s="6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3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3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6"/>
      <c r="H50" s="6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3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3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6"/>
      <c r="H52" s="6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3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3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6"/>
      <c r="H54" s="6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3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3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6"/>
      <c r="H56" s="6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3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3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6"/>
      <c r="H58" s="6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3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3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38.385714285714286</v>
      </c>
      <c r="D60" s="135">
        <f>AVERAGE(D10:D59)</f>
        <v>8.6350339522273423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105.10935810000002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0.66119875283446705</v>
      </c>
      <c r="Y60" s="207">
        <f>AVERAGE(Y10:Y59)</f>
        <v>0.89441609977324266</v>
      </c>
      <c r="Z60" s="207">
        <f>AVERAGE(Z10:Z59)</f>
        <v>12.16628373015873</v>
      </c>
      <c r="AA60" s="207">
        <f>AVERAGE(AA10:AA59)</f>
        <v>0.64734500979826248</v>
      </c>
      <c r="AB60" s="207">
        <f t="shared" ref="AB60:AC60" si="84">AVERAGE(AB10:AB59)</f>
        <v>0.93712798813583031</v>
      </c>
      <c r="AC60" s="207">
        <f t="shared" si="84"/>
        <v>11.8734827226205</v>
      </c>
      <c r="AD60" s="134"/>
      <c r="AE60" s="134"/>
      <c r="AF60" s="207">
        <f>AVERAGE(AF10:AF59)</f>
        <v>9.4266666666666665E-2</v>
      </c>
      <c r="AG60" s="207">
        <f t="shared" ref="AG60:AI60" si="85">AVERAGE(AG10:AG59)</f>
        <v>0.37055555555555553</v>
      </c>
      <c r="AH60" s="207">
        <f t="shared" si="85"/>
        <v>10.642995726495725</v>
      </c>
      <c r="AI60" s="207">
        <f t="shared" si="85"/>
        <v>2.5499999999999998E-2</v>
      </c>
      <c r="AJ60" s="134"/>
      <c r="AK60" s="134"/>
      <c r="AL60" s="135">
        <f>SUM(AL10:AL59)</f>
        <v>2949.899691377042</v>
      </c>
      <c r="AM60" s="135">
        <f t="shared" ref="AM60:AN60" si="86">SUM(AM10:AM59)</f>
        <v>3636.9316855936599</v>
      </c>
      <c r="AN60" s="135">
        <f t="shared" si="86"/>
        <v>55018.800521629601</v>
      </c>
      <c r="AO60" s="135">
        <f>SUM(AO10:AO59)</f>
        <v>416.72611597290273</v>
      </c>
      <c r="AP60" s="135">
        <f t="shared" ref="AP60:AR60" si="87">SUM(AP10:AP59)</f>
        <v>1696.1793364705559</v>
      </c>
      <c r="AQ60" s="135">
        <f t="shared" si="87"/>
        <v>48496.739566922508</v>
      </c>
      <c r="AR60" s="135">
        <f t="shared" si="87"/>
        <v>227.94845004000001</v>
      </c>
      <c r="AS60" s="134"/>
      <c r="AT60" s="232">
        <f>AVERAGE(AT10:AT59)</f>
        <v>0.78333597295010315</v>
      </c>
      <c r="AU60" s="232">
        <f t="shared" ref="AU60:AV60" si="88">AVERAGE(AU10:AU59)</f>
        <v>0.55166317418914801</v>
      </c>
      <c r="AV60" s="232">
        <f t="shared" si="88"/>
        <v>0.12260624096328208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537.4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4340.9505052499999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2305.2251253641393</v>
      </c>
      <c r="BE61" s="982">
        <f>SUM(BE10:BE59)</f>
        <v>1940.7523491231048</v>
      </c>
      <c r="BF61" s="982">
        <f>SUM(BF10:BF59)</f>
        <v>6522.0609547071026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0.59785833333333338</v>
      </c>
      <c r="Y62" s="244">
        <f t="shared" ref="Y62:Z62" si="89">MEDIAN(Y10:Y59)</f>
        <v>0.76270833333333332</v>
      </c>
      <c r="Z62" s="244">
        <f t="shared" si="89"/>
        <v>10.095972222222223</v>
      </c>
      <c r="AA62" s="244">
        <f>MEDIAN(AA10:AA59)</f>
        <v>0.61406563843616113</v>
      </c>
      <c r="AB62" s="244">
        <f t="shared" ref="AB62:AC62" si="90">MEDIAN(AB10:AB59)</f>
        <v>0.73729090005906905</v>
      </c>
      <c r="AC62" s="244">
        <f t="shared" si="90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2305.2251253641393</v>
      </c>
      <c r="BD63" s="10">
        <f>BD61*0.8</f>
        <v>1844.1801002913116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22" t="s">
        <v>310</v>
      </c>
      <c r="AP65" s="1222"/>
      <c r="AQ65" s="1222"/>
      <c r="AR65" s="1222"/>
      <c r="AS65" s="249"/>
      <c r="AT65" s="131" t="s">
        <v>331</v>
      </c>
      <c r="AU65" s="1502" t="s">
        <v>260</v>
      </c>
      <c r="AV65" s="1502"/>
      <c r="AW65" s="1502"/>
      <c r="AX65" s="429"/>
      <c r="AY65" s="1249" t="s">
        <v>256</v>
      </c>
      <c r="AZ65" s="1250"/>
      <c r="BA65" s="1250"/>
      <c r="BB65" s="1250"/>
      <c r="BC65" s="1250"/>
      <c r="BD65" s="1251"/>
      <c r="BE65" s="1525" t="s">
        <v>277</v>
      </c>
      <c r="BF65" s="1526"/>
      <c r="BG65" s="1527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02" t="s">
        <v>261</v>
      </c>
      <c r="AV66" s="1502"/>
      <c r="AW66" s="1502"/>
      <c r="AX66" s="429"/>
      <c r="AY66" s="1249" t="s">
        <v>263</v>
      </c>
      <c r="AZ66" s="1250"/>
      <c r="BA66" s="1251"/>
      <c r="BB66" s="1249" t="s">
        <v>264</v>
      </c>
      <c r="BC66" s="1250"/>
      <c r="BD66" s="1251"/>
      <c r="BE66" s="1249" t="s">
        <v>40</v>
      </c>
      <c r="BF66" s="1250"/>
      <c r="BG66" s="1251"/>
    </row>
    <row r="67" spans="5:59" x14ac:dyDescent="0.3">
      <c r="F67" s="43"/>
      <c r="J67" s="39">
        <f>SUM(C10:C59)</f>
        <v>537.4</v>
      </c>
      <c r="K67" s="39"/>
      <c r="L67" s="39"/>
      <c r="M67" s="39">
        <f>'Milling Down Time Hours'!P60</f>
        <v>317.63333333333333</v>
      </c>
      <c r="N67" s="39">
        <f>N61/J67</f>
        <v>8.0776898125232606</v>
      </c>
      <c r="O67" s="39"/>
      <c r="P67" s="39">
        <f>(N61/J68)</f>
        <v>193.86455550055825</v>
      </c>
      <c r="Q67" s="39"/>
      <c r="R67" s="39"/>
      <c r="S67" s="39"/>
      <c r="T67" s="39"/>
      <c r="U67" s="39">
        <f>(J67+M67)/24</f>
        <v>35.62638888888889</v>
      </c>
      <c r="AO67" s="13" t="s">
        <v>330</v>
      </c>
      <c r="AP67" s="133">
        <f>AVERAGE(X10:X15)</f>
        <v>0.7364814814814814</v>
      </c>
      <c r="AQ67" s="133">
        <f t="shared" ref="AQ67:AR67" si="91">AVERAGE(Y10:Y15)</f>
        <v>0.64749537037037042</v>
      </c>
      <c r="AR67" s="133">
        <f t="shared" si="91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22.391666666666666</v>
      </c>
      <c r="K68" s="43"/>
      <c r="L68" s="43"/>
      <c r="M68" s="43">
        <f>M67/24</f>
        <v>13.234722222222222</v>
      </c>
      <c r="AD68" s="1502" t="s">
        <v>260</v>
      </c>
      <c r="AE68" s="1502"/>
      <c r="AF68" s="1502"/>
      <c r="AG68" s="1502"/>
      <c r="AH68" s="1502"/>
      <c r="AO68" s="13" t="s">
        <v>201</v>
      </c>
      <c r="AP68" s="133">
        <f>MEDIAN(X10:X15)</f>
        <v>0.69599999999999995</v>
      </c>
      <c r="AQ68" s="133">
        <f t="shared" ref="AQ68:AR68" si="92">MEDIAN(Y10:Y15)</f>
        <v>0.66361111111111115</v>
      </c>
      <c r="AR68" s="133">
        <f t="shared" si="9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03" t="s">
        <v>259</v>
      </c>
      <c r="AE69" s="1403" t="s">
        <v>487</v>
      </c>
      <c r="AF69" s="1502" t="s">
        <v>261</v>
      </c>
      <c r="AG69" s="1502"/>
      <c r="AH69" s="1502"/>
      <c r="AO69" s="13" t="s">
        <v>203</v>
      </c>
      <c r="AP69" s="133">
        <f>MIN(X10:X15)</f>
        <v>0.57608333333333328</v>
      </c>
      <c r="AQ69" s="133">
        <f t="shared" ref="AQ69:AR69" si="93">MIN(Y10:Y15)</f>
        <v>0.49666666666666665</v>
      </c>
      <c r="AR69" s="133">
        <f t="shared" si="9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537.4</v>
      </c>
      <c r="O70" s="10"/>
      <c r="AD70" s="1403"/>
      <c r="AE70" s="1403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94">MAX(Y10:Y15)</f>
        <v>0.79333333333333333</v>
      </c>
      <c r="AR70" s="133">
        <f t="shared" si="9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855.0333333333333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0.62851350824529262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8.0776898125232606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193.86455550055825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35.62638888888889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0.37148649175470744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5">AVERAGE(AV68:AV78)</f>
        <v>0.75587049062049061</v>
      </c>
      <c r="AW79" s="133">
        <f t="shared" si="95"/>
        <v>11.159588383838383</v>
      </c>
      <c r="AX79" s="207"/>
      <c r="AY79" s="133">
        <f>AVERAGE(AY68:AY78)</f>
        <v>9.6350505050505048E-2</v>
      </c>
      <c r="AZ79" s="133">
        <f t="shared" ref="AZ79:BB79" si="96">AVERAGE(AZ68:AZ78)</f>
        <v>0.38267676767676767</v>
      </c>
      <c r="BA79" s="133">
        <f t="shared" si="96"/>
        <v>10.193287878787878</v>
      </c>
      <c r="BB79" s="133">
        <f t="shared" si="96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522"/>
      <c r="AV80" s="1523"/>
      <c r="AW80" s="1523"/>
      <c r="AX80" s="1523"/>
      <c r="AY80" s="1523"/>
      <c r="AZ80" s="1523"/>
      <c r="BA80" s="1523"/>
      <c r="BB80" s="1523"/>
      <c r="BC80" s="1523"/>
      <c r="BD80" s="1524"/>
      <c r="BE80" s="1153">
        <f>SUM(BE68:BE79)</f>
        <v>2023.4684999216388</v>
      </c>
      <c r="BF80" s="1153">
        <f t="shared" ref="BF80:BG80" si="97">SUM(BF68:BF79)</f>
        <v>1374.7770814606047</v>
      </c>
      <c r="BG80" s="1153">
        <f t="shared" si="97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500" t="s">
        <v>318</v>
      </c>
      <c r="O92" s="1502" t="s">
        <v>633</v>
      </c>
      <c r="P92" s="1502"/>
      <c r="Q92" s="1502"/>
      <c r="R92" s="429"/>
      <c r="S92" s="429"/>
      <c r="T92" s="429"/>
      <c r="U92" s="1249" t="s">
        <v>324</v>
      </c>
      <c r="V92" s="1250"/>
      <c r="W92" s="1251"/>
    </row>
    <row r="93" spans="10:45" x14ac:dyDescent="0.3">
      <c r="J93" s="131" t="s">
        <v>321</v>
      </c>
      <c r="K93" s="131"/>
      <c r="L93" s="131"/>
      <c r="M93" s="131" t="s">
        <v>634</v>
      </c>
      <c r="N93" s="1501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8">Y10</f>
        <v>0.53525</v>
      </c>
      <c r="Q94" s="133">
        <f t="shared" si="98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9">AG10</f>
        <v>0.17</v>
      </c>
      <c r="W94" s="133">
        <f t="shared" si="99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0">X11</f>
        <v>0.68400000000000005</v>
      </c>
      <c r="P95" s="133">
        <f t="shared" si="98"/>
        <v>0.79333333333333333</v>
      </c>
      <c r="Q95" s="133">
        <f t="shared" si="98"/>
        <v>9.051111111111112</v>
      </c>
      <c r="R95" s="133"/>
      <c r="S95" s="133"/>
      <c r="T95" s="133"/>
      <c r="U95" s="133">
        <f t="shared" ref="U95:U98" si="101">AF11</f>
        <v>5.5749999999999994E-2</v>
      </c>
      <c r="V95" s="133">
        <f t="shared" si="99"/>
        <v>0.25</v>
      </c>
      <c r="W95" s="133">
        <f t="shared" si="99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0"/>
        <v>0.93455555555555547</v>
      </c>
      <c r="P96" s="133">
        <f t="shared" si="98"/>
        <v>0.65888888888888886</v>
      </c>
      <c r="Q96" s="133">
        <f t="shared" si="98"/>
        <v>9.0688888888888908</v>
      </c>
      <c r="R96" s="133"/>
      <c r="S96" s="133"/>
      <c r="T96" s="133"/>
      <c r="U96" s="133">
        <f t="shared" si="101"/>
        <v>9.816666666666668E-2</v>
      </c>
      <c r="V96" s="133">
        <f t="shared" si="99"/>
        <v>0.23333333333333331</v>
      </c>
      <c r="W96" s="133">
        <f t="shared" si="99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2">O13</f>
        <v>316.93530000000004</v>
      </c>
      <c r="O97" s="133">
        <f t="shared" si="100"/>
        <v>0.92891666666666661</v>
      </c>
      <c r="P97" s="133">
        <f t="shared" si="98"/>
        <v>0.73249999999999993</v>
      </c>
      <c r="Q97" s="133">
        <f t="shared" si="98"/>
        <v>9.1508333333333347</v>
      </c>
      <c r="R97" s="133"/>
      <c r="S97" s="133"/>
      <c r="T97" s="133"/>
      <c r="U97" s="133">
        <f t="shared" si="101"/>
        <v>0.10916666666666668</v>
      </c>
      <c r="V97" s="133">
        <f t="shared" si="99"/>
        <v>0.24</v>
      </c>
      <c r="W97" s="133">
        <f t="shared" si="99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2"/>
        <v>266.98580000000004</v>
      </c>
      <c r="O98" s="133">
        <f t="shared" si="100"/>
        <v>0.58733333333333337</v>
      </c>
      <c r="P98" s="133">
        <f t="shared" si="98"/>
        <v>0.49666666666666665</v>
      </c>
      <c r="Q98" s="133">
        <f t="shared" si="98"/>
        <v>9.0411111111111087</v>
      </c>
      <c r="R98" s="133"/>
      <c r="S98" s="133"/>
      <c r="T98" s="133"/>
      <c r="U98" s="133">
        <f t="shared" si="101"/>
        <v>0.12466666666666666</v>
      </c>
      <c r="V98" s="133">
        <f t="shared" si="99"/>
        <v>0.37833333333333335</v>
      </c>
      <c r="W98" s="133">
        <f t="shared" si="99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8"/>
        <v>0.66833333333333333</v>
      </c>
      <c r="Q99" s="133">
        <f t="shared" si="98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8"/>
        <v>0.53555555555555556</v>
      </c>
      <c r="Q100" s="133">
        <f t="shared" si="98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03">AVERAGE(P94:P100)</f>
        <v>0.63150396825396826</v>
      </c>
      <c r="Q101" s="242">
        <f t="shared" si="103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04">AVERAGE(V94:V98)</f>
        <v>0.25433333333333336</v>
      </c>
      <c r="W101" s="242">
        <f t="shared" si="104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28" t="s">
        <v>473</v>
      </c>
      <c r="R4" s="1529"/>
      <c r="S4" s="1529"/>
      <c r="T4" s="1530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531"/>
      <c r="R5" s="1532"/>
      <c r="S5" s="1532"/>
      <c r="T5" s="1533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4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58" t="s">
        <v>0</v>
      </c>
      <c r="B4" s="1561" t="s">
        <v>50</v>
      </c>
      <c r="C4" s="1561"/>
      <c r="D4" s="1561"/>
      <c r="E4" s="1561"/>
      <c r="F4" s="99"/>
      <c r="G4" s="54"/>
      <c r="H4" s="54"/>
      <c r="I4" s="104"/>
      <c r="J4" s="104"/>
      <c r="K4" s="104"/>
      <c r="L4" s="1572" t="s">
        <v>239</v>
      </c>
      <c r="M4" s="1573"/>
      <c r="N4" s="1574"/>
      <c r="O4" s="1572" t="s">
        <v>235</v>
      </c>
      <c r="P4" s="1573"/>
      <c r="Q4" s="1574"/>
      <c r="R4" s="1572" t="s">
        <v>236</v>
      </c>
      <c r="S4" s="1573"/>
      <c r="T4" s="1574"/>
      <c r="U4" s="1572" t="s">
        <v>237</v>
      </c>
      <c r="V4" s="1573"/>
      <c r="W4" s="1574"/>
      <c r="X4" s="1572" t="s">
        <v>238</v>
      </c>
      <c r="Y4" s="1573"/>
      <c r="Z4" s="1574"/>
      <c r="AA4" s="1572" t="s">
        <v>51</v>
      </c>
      <c r="AB4" s="1573"/>
      <c r="AC4" s="1574"/>
      <c r="AD4" s="1572" t="s">
        <v>52</v>
      </c>
      <c r="AE4" s="1573"/>
      <c r="AF4" s="1574"/>
      <c r="AG4" s="1575">
        <v>0.83333333333333337</v>
      </c>
      <c r="AH4" s="1573"/>
      <c r="AI4" s="1574"/>
      <c r="AJ4" s="1575">
        <v>0.91666666666666663</v>
      </c>
      <c r="AK4" s="1576"/>
      <c r="AL4" s="1577"/>
      <c r="AM4" s="1578">
        <v>0</v>
      </c>
      <c r="AN4" s="1579"/>
      <c r="AO4" s="1580"/>
      <c r="AP4" s="1575">
        <v>8.3333333333333329E-2</v>
      </c>
      <c r="AQ4" s="1576"/>
      <c r="AR4" s="1577"/>
      <c r="AS4" s="1575">
        <v>0.16666666666666666</v>
      </c>
      <c r="AT4" s="1576"/>
      <c r="AU4" s="1577"/>
      <c r="AV4" s="59" t="s">
        <v>53</v>
      </c>
      <c r="AW4" s="44"/>
    </row>
    <row r="5" spans="1:49" x14ac:dyDescent="0.3">
      <c r="A5" s="1558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56">
        <v>46147</v>
      </c>
      <c r="B6" s="1559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34" t="s">
        <v>231</v>
      </c>
      <c r="AW6" s="1535"/>
    </row>
    <row r="7" spans="1:49" x14ac:dyDescent="0.3">
      <c r="A7" s="1556"/>
      <c r="B7" s="1560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34"/>
      <c r="AW7" s="1536"/>
    </row>
    <row r="8" spans="1:49" x14ac:dyDescent="0.3">
      <c r="A8" s="1556"/>
      <c r="B8" s="1560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34"/>
      <c r="AW8" s="1536"/>
    </row>
    <row r="9" spans="1:49" ht="15" thickBot="1" x14ac:dyDescent="0.35">
      <c r="A9" s="1559"/>
      <c r="B9" s="1560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35"/>
      <c r="AW9" s="1537"/>
    </row>
    <row r="10" spans="1:49" x14ac:dyDescent="0.3">
      <c r="A10" s="1562">
        <v>46148</v>
      </c>
      <c r="B10" s="1581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44" t="s">
        <v>240</v>
      </c>
      <c r="AW10" s="1547" t="s">
        <v>230</v>
      </c>
    </row>
    <row r="11" spans="1:49" x14ac:dyDescent="0.3">
      <c r="A11" s="1563"/>
      <c r="B11" s="1560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45"/>
      <c r="AW11" s="1548"/>
    </row>
    <row r="12" spans="1:49" x14ac:dyDescent="0.3">
      <c r="A12" s="1563"/>
      <c r="B12" s="1560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45"/>
      <c r="AW12" s="1548"/>
    </row>
    <row r="13" spans="1:49" ht="15" thickBot="1" x14ac:dyDescent="0.35">
      <c r="A13" s="1564"/>
      <c r="B13" s="1560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46"/>
      <c r="AW13" s="1549"/>
    </row>
    <row r="14" spans="1:49" ht="15" thickBot="1" x14ac:dyDescent="0.35">
      <c r="A14" s="1562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44" t="s">
        <v>241</v>
      </c>
      <c r="AW14" s="1550"/>
    </row>
    <row r="15" spans="1:49" x14ac:dyDescent="0.3">
      <c r="A15" s="1563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45"/>
      <c r="AW15" s="1551"/>
    </row>
    <row r="16" spans="1:49" x14ac:dyDescent="0.3">
      <c r="A16" s="1563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45"/>
      <c r="AW16" s="1551"/>
    </row>
    <row r="17" spans="1:49" ht="15" thickBot="1" x14ac:dyDescent="0.35">
      <c r="A17" s="1564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45"/>
      <c r="AW17" s="1552"/>
    </row>
    <row r="18" spans="1:49" x14ac:dyDescent="0.3">
      <c r="A18" s="1565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53"/>
    </row>
    <row r="19" spans="1:49" x14ac:dyDescent="0.3">
      <c r="A19" s="1556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54"/>
    </row>
    <row r="20" spans="1:49" x14ac:dyDescent="0.3">
      <c r="A20" s="1556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54"/>
    </row>
    <row r="21" spans="1:49" x14ac:dyDescent="0.3">
      <c r="A21" s="1556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54"/>
    </row>
    <row r="22" spans="1:49" x14ac:dyDescent="0.3">
      <c r="A22" s="1556">
        <v>46151</v>
      </c>
      <c r="B22" s="51"/>
      <c r="C22" s="49"/>
      <c r="D22" s="1541"/>
      <c r="E22" s="1538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54"/>
    </row>
    <row r="23" spans="1:49" x14ac:dyDescent="0.3">
      <c r="A23" s="1556"/>
      <c r="B23" s="52"/>
      <c r="C23" s="49"/>
      <c r="D23" s="1542"/>
      <c r="E23" s="1539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54"/>
    </row>
    <row r="24" spans="1:49" x14ac:dyDescent="0.3">
      <c r="A24" s="1556"/>
      <c r="B24" s="52"/>
      <c r="C24" s="49"/>
      <c r="D24" s="1542"/>
      <c r="E24" s="1539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54"/>
    </row>
    <row r="25" spans="1:49" ht="15" thickBot="1" x14ac:dyDescent="0.35">
      <c r="A25" s="1556"/>
      <c r="B25" s="53"/>
      <c r="C25" s="49"/>
      <c r="D25" s="1543"/>
      <c r="E25" s="1540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55"/>
    </row>
    <row r="26" spans="1:49" x14ac:dyDescent="0.3">
      <c r="A26" s="1556">
        <v>46152</v>
      </c>
      <c r="B26" s="51"/>
      <c r="C26" s="49"/>
      <c r="D26" s="1541"/>
      <c r="E26" s="1538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53"/>
      <c r="AW26" s="1553"/>
    </row>
    <row r="27" spans="1:49" x14ac:dyDescent="0.3">
      <c r="A27" s="1556"/>
      <c r="B27" s="52"/>
      <c r="C27" s="49"/>
      <c r="D27" s="1542"/>
      <c r="E27" s="1539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54"/>
      <c r="AW27" s="1554"/>
    </row>
    <row r="28" spans="1:49" x14ac:dyDescent="0.3">
      <c r="A28" s="1556"/>
      <c r="B28" s="52"/>
      <c r="C28" s="49"/>
      <c r="D28" s="1542"/>
      <c r="E28" s="1539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54"/>
      <c r="AW28" s="1554"/>
    </row>
    <row r="29" spans="1:49" x14ac:dyDescent="0.3">
      <c r="A29" s="1556"/>
      <c r="B29" s="53"/>
      <c r="C29" s="49"/>
      <c r="D29" s="1543"/>
      <c r="E29" s="1540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54"/>
      <c r="AW29" s="1554"/>
    </row>
    <row r="30" spans="1:49" x14ac:dyDescent="0.3">
      <c r="A30" s="1556">
        <v>46153</v>
      </c>
      <c r="B30" s="51"/>
      <c r="C30" s="49"/>
      <c r="D30" s="1541"/>
      <c r="E30" s="1538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54"/>
      <c r="AW30" s="1554"/>
    </row>
    <row r="31" spans="1:49" x14ac:dyDescent="0.3">
      <c r="A31" s="1556"/>
      <c r="B31" s="52"/>
      <c r="C31" s="49"/>
      <c r="D31" s="1542"/>
      <c r="E31" s="1539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54"/>
      <c r="AW31" s="1554"/>
    </row>
    <row r="32" spans="1:49" x14ac:dyDescent="0.3">
      <c r="A32" s="1556"/>
      <c r="B32" s="52"/>
      <c r="C32" s="49"/>
      <c r="D32" s="1542"/>
      <c r="E32" s="1539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54"/>
      <c r="AW32" s="1554"/>
    </row>
    <row r="33" spans="1:49" x14ac:dyDescent="0.3">
      <c r="A33" s="1556"/>
      <c r="B33" s="53"/>
      <c r="C33" s="49"/>
      <c r="D33" s="1543"/>
      <c r="E33" s="1540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55"/>
      <c r="AW33" s="1555"/>
    </row>
    <row r="34" spans="1:49" x14ac:dyDescent="0.3">
      <c r="A34" s="1556">
        <v>46154</v>
      </c>
      <c r="B34" s="51"/>
      <c r="C34" s="49"/>
      <c r="D34" s="1541"/>
      <c r="E34" s="1538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53"/>
      <c r="AW34" s="1553"/>
    </row>
    <row r="35" spans="1:49" x14ac:dyDescent="0.3">
      <c r="A35" s="1556"/>
      <c r="B35" s="52"/>
      <c r="C35" s="49"/>
      <c r="D35" s="1542"/>
      <c r="E35" s="1539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54"/>
      <c r="AW35" s="1554"/>
    </row>
    <row r="36" spans="1:49" x14ac:dyDescent="0.3">
      <c r="A36" s="1556"/>
      <c r="B36" s="52"/>
      <c r="C36" s="49"/>
      <c r="D36" s="1542"/>
      <c r="E36" s="1539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54"/>
      <c r="AW36" s="1554"/>
    </row>
    <row r="37" spans="1:49" x14ac:dyDescent="0.3">
      <c r="A37" s="1556"/>
      <c r="B37" s="53"/>
      <c r="C37" s="49"/>
      <c r="D37" s="1543"/>
      <c r="E37" s="1540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54"/>
      <c r="AW37" s="1554"/>
    </row>
    <row r="38" spans="1:49" x14ac:dyDescent="0.3">
      <c r="A38" s="1556">
        <v>46155</v>
      </c>
      <c r="B38" s="51"/>
      <c r="C38" s="49"/>
      <c r="D38" s="1541"/>
      <c r="E38" s="1538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54"/>
      <c r="AW38" s="1554"/>
    </row>
    <row r="39" spans="1:49" x14ac:dyDescent="0.3">
      <c r="A39" s="1556"/>
      <c r="B39" s="52"/>
      <c r="C39" s="49"/>
      <c r="D39" s="1542"/>
      <c r="E39" s="1539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54"/>
      <c r="AW39" s="1554"/>
    </row>
    <row r="40" spans="1:49" x14ac:dyDescent="0.3">
      <c r="A40" s="1556"/>
      <c r="B40" s="52"/>
      <c r="C40" s="49"/>
      <c r="D40" s="1542"/>
      <c r="E40" s="1539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54"/>
      <c r="AW40" s="1554"/>
    </row>
    <row r="41" spans="1:49" x14ac:dyDescent="0.3">
      <c r="A41" s="1556"/>
      <c r="B41" s="53"/>
      <c r="C41" s="49"/>
      <c r="D41" s="1543"/>
      <c r="E41" s="1540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55"/>
      <c r="AW41" s="1555"/>
    </row>
    <row r="42" spans="1:49" x14ac:dyDescent="0.3">
      <c r="A42" s="1556">
        <v>46156</v>
      </c>
      <c r="B42" s="51"/>
      <c r="C42" s="49"/>
      <c r="D42" s="1541"/>
      <c r="E42" s="1538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53"/>
      <c r="AW42" s="1553"/>
    </row>
    <row r="43" spans="1:49" x14ac:dyDescent="0.3">
      <c r="A43" s="1556"/>
      <c r="B43" s="52"/>
      <c r="C43" s="49"/>
      <c r="D43" s="1542"/>
      <c r="E43" s="1539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54"/>
      <c r="AW43" s="1554"/>
    </row>
    <row r="44" spans="1:49" x14ac:dyDescent="0.3">
      <c r="A44" s="1556"/>
      <c r="B44" s="52"/>
      <c r="C44" s="49"/>
      <c r="D44" s="1542"/>
      <c r="E44" s="1539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54"/>
      <c r="AW44" s="1554"/>
    </row>
    <row r="45" spans="1:49" x14ac:dyDescent="0.3">
      <c r="A45" s="1556"/>
      <c r="B45" s="53"/>
      <c r="C45" s="49"/>
      <c r="D45" s="1543"/>
      <c r="E45" s="1540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54"/>
      <c r="AW45" s="1554"/>
    </row>
    <row r="46" spans="1:49" x14ac:dyDescent="0.3">
      <c r="A46" s="1556">
        <v>46157</v>
      </c>
      <c r="B46" s="51"/>
      <c r="C46" s="49"/>
      <c r="D46" s="1569" t="s">
        <v>157</v>
      </c>
      <c r="E46" s="1538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54"/>
      <c r="AW46" s="1554"/>
    </row>
    <row r="47" spans="1:49" x14ac:dyDescent="0.3">
      <c r="A47" s="1556"/>
      <c r="B47" s="52"/>
      <c r="C47" s="49"/>
      <c r="D47" s="1570"/>
      <c r="E47" s="1539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54"/>
      <c r="AW47" s="1554"/>
    </row>
    <row r="48" spans="1:49" x14ac:dyDescent="0.3">
      <c r="A48" s="1556"/>
      <c r="B48" s="52"/>
      <c r="C48" s="49"/>
      <c r="D48" s="1570"/>
      <c r="E48" s="1539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54"/>
      <c r="AW48" s="1554"/>
    </row>
    <row r="49" spans="1:49" x14ac:dyDescent="0.3">
      <c r="A49" s="1556"/>
      <c r="B49" s="53"/>
      <c r="C49" s="49"/>
      <c r="D49" s="1571"/>
      <c r="E49" s="1540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55"/>
      <c r="AW49" s="1555"/>
    </row>
    <row r="50" spans="1:49" x14ac:dyDescent="0.3">
      <c r="A50" s="1556">
        <v>46158</v>
      </c>
      <c r="B50" s="51"/>
      <c r="C50" s="49"/>
      <c r="D50" s="1541"/>
      <c r="E50" s="1538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53"/>
      <c r="AW50" s="1553"/>
    </row>
    <row r="51" spans="1:49" x14ac:dyDescent="0.3">
      <c r="A51" s="1556"/>
      <c r="B51" s="52"/>
      <c r="C51" s="49"/>
      <c r="D51" s="1542"/>
      <c r="E51" s="1539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54"/>
      <c r="AW51" s="1554"/>
    </row>
    <row r="52" spans="1:49" x14ac:dyDescent="0.3">
      <c r="A52" s="1556"/>
      <c r="B52" s="52"/>
      <c r="C52" s="49"/>
      <c r="D52" s="1542"/>
      <c r="E52" s="1539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54"/>
      <c r="AW52" s="1554"/>
    </row>
    <row r="53" spans="1:49" x14ac:dyDescent="0.3">
      <c r="A53" s="1556"/>
      <c r="B53" s="53"/>
      <c r="C53" s="49"/>
      <c r="D53" s="1543"/>
      <c r="E53" s="1540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54"/>
      <c r="AW53" s="1554"/>
    </row>
    <row r="54" spans="1:49" x14ac:dyDescent="0.3">
      <c r="A54" s="1556">
        <v>46159</v>
      </c>
      <c r="B54" s="51"/>
      <c r="C54" s="49"/>
      <c r="D54" s="97"/>
      <c r="E54" s="1566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54"/>
      <c r="AW54" s="1554"/>
    </row>
    <row r="55" spans="1:49" x14ac:dyDescent="0.3">
      <c r="A55" s="1556"/>
      <c r="B55" s="52"/>
      <c r="C55" s="49"/>
      <c r="D55" s="97"/>
      <c r="E55" s="1567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54"/>
      <c r="AW55" s="1554"/>
    </row>
    <row r="56" spans="1:49" x14ac:dyDescent="0.3">
      <c r="A56" s="1556"/>
      <c r="B56" s="52"/>
      <c r="C56" s="49"/>
      <c r="D56" s="97"/>
      <c r="E56" s="1567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54"/>
      <c r="AW56" s="1554"/>
    </row>
    <row r="57" spans="1:49" x14ac:dyDescent="0.3">
      <c r="A57" s="1556"/>
      <c r="B57" s="53"/>
      <c r="C57" s="49"/>
      <c r="D57" s="97"/>
      <c r="E57" s="1568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55"/>
      <c r="AW57" s="1555"/>
    </row>
    <row r="58" spans="1:49" x14ac:dyDescent="0.3">
      <c r="A58" s="1556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53"/>
      <c r="AW58" s="1553"/>
    </row>
    <row r="59" spans="1:49" x14ac:dyDescent="0.3">
      <c r="A59" s="1556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54"/>
      <c r="AW59" s="1554"/>
    </row>
    <row r="60" spans="1:49" x14ac:dyDescent="0.3">
      <c r="A60" s="1556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54"/>
      <c r="AW60" s="1554"/>
    </row>
    <row r="61" spans="1:49" x14ac:dyDescent="0.3">
      <c r="A61" s="1556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54"/>
      <c r="AW61" s="1554"/>
    </row>
    <row r="62" spans="1:49" x14ac:dyDescent="0.3">
      <c r="A62" s="1556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54"/>
      <c r="AW62" s="1554"/>
    </row>
    <row r="63" spans="1:49" x14ac:dyDescent="0.3">
      <c r="A63" s="1556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54"/>
      <c r="AW63" s="1554"/>
    </row>
    <row r="64" spans="1:49" x14ac:dyDescent="0.3">
      <c r="A64" s="1556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54"/>
      <c r="AW64" s="1554"/>
    </row>
    <row r="65" spans="1:49" x14ac:dyDescent="0.3">
      <c r="A65" s="1556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55"/>
      <c r="AW65" s="1555"/>
    </row>
    <row r="66" spans="1:49" x14ac:dyDescent="0.3">
      <c r="A66" s="1556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53"/>
      <c r="AW66" s="1553"/>
    </row>
    <row r="67" spans="1:49" x14ac:dyDescent="0.3">
      <c r="A67" s="1556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54"/>
      <c r="AW67" s="1554"/>
    </row>
    <row r="68" spans="1:49" x14ac:dyDescent="0.3">
      <c r="A68" s="1556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54"/>
      <c r="AW68" s="1554"/>
    </row>
    <row r="69" spans="1:49" x14ac:dyDescent="0.3">
      <c r="A69" s="1556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54"/>
      <c r="AW69" s="1554"/>
    </row>
    <row r="70" spans="1:49" x14ac:dyDescent="0.3">
      <c r="A70" s="1556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54"/>
      <c r="AW70" s="1554"/>
    </row>
    <row r="71" spans="1:49" x14ac:dyDescent="0.3">
      <c r="A71" s="1556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54"/>
      <c r="AW71" s="1554"/>
    </row>
    <row r="72" spans="1:49" x14ac:dyDescent="0.3">
      <c r="A72" s="1556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54"/>
      <c r="AW72" s="1554"/>
    </row>
    <row r="73" spans="1:49" x14ac:dyDescent="0.3">
      <c r="A73" s="1556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55"/>
      <c r="AW73" s="1555"/>
    </row>
    <row r="74" spans="1:49" x14ac:dyDescent="0.3">
      <c r="A74" s="1556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53"/>
      <c r="AW74" s="1553"/>
    </row>
    <row r="75" spans="1:49" x14ac:dyDescent="0.3">
      <c r="A75" s="1556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54"/>
      <c r="AW75" s="1554"/>
    </row>
    <row r="76" spans="1:49" x14ac:dyDescent="0.3">
      <c r="A76" s="1556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54"/>
      <c r="AW76" s="1554"/>
    </row>
    <row r="77" spans="1:49" x14ac:dyDescent="0.3">
      <c r="A77" s="1556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54"/>
      <c r="AW77" s="1554"/>
    </row>
    <row r="78" spans="1:49" x14ac:dyDescent="0.3">
      <c r="A78" s="1556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54"/>
      <c r="AW78" s="1554"/>
    </row>
    <row r="79" spans="1:49" x14ac:dyDescent="0.3">
      <c r="A79" s="1556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54"/>
      <c r="AW79" s="1554"/>
    </row>
    <row r="80" spans="1:49" x14ac:dyDescent="0.3">
      <c r="A80" s="1556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54"/>
      <c r="AW80" s="1554"/>
    </row>
    <row r="81" spans="1:49" x14ac:dyDescent="0.3">
      <c r="A81" s="1556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55"/>
      <c r="AW81" s="1555"/>
    </row>
    <row r="82" spans="1:49" x14ac:dyDescent="0.3">
      <c r="A82" s="1556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53"/>
      <c r="AW82" s="1553"/>
    </row>
    <row r="83" spans="1:49" x14ac:dyDescent="0.3">
      <c r="A83" s="1556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54"/>
      <c r="AW83" s="1554"/>
    </row>
    <row r="84" spans="1:49" x14ac:dyDescent="0.3">
      <c r="A84" s="1556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54"/>
      <c r="AW84" s="1554"/>
    </row>
    <row r="85" spans="1:49" x14ac:dyDescent="0.3">
      <c r="A85" s="1556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54"/>
      <c r="AW85" s="1554"/>
    </row>
    <row r="86" spans="1:49" x14ac:dyDescent="0.3">
      <c r="A86" s="1556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54"/>
      <c r="AW86" s="1554"/>
    </row>
    <row r="87" spans="1:49" x14ac:dyDescent="0.3">
      <c r="A87" s="1556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54"/>
      <c r="AW87" s="1554"/>
    </row>
    <row r="88" spans="1:49" x14ac:dyDescent="0.3">
      <c r="A88" s="1556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54"/>
      <c r="AW88" s="1554"/>
    </row>
    <row r="89" spans="1:49" x14ac:dyDescent="0.3">
      <c r="A89" s="1556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55"/>
      <c r="AW89" s="1555"/>
    </row>
    <row r="90" spans="1:49" x14ac:dyDescent="0.3">
      <c r="A90" s="1556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53"/>
      <c r="AW90" s="1553"/>
    </row>
    <row r="91" spans="1:49" x14ac:dyDescent="0.3">
      <c r="A91" s="1556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54"/>
      <c r="AW91" s="1554"/>
    </row>
    <row r="92" spans="1:49" x14ac:dyDescent="0.3">
      <c r="A92" s="1556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54"/>
      <c r="AW92" s="1554"/>
    </row>
    <row r="93" spans="1:49" x14ac:dyDescent="0.3">
      <c r="A93" s="1556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54"/>
      <c r="AW93" s="1554"/>
    </row>
    <row r="94" spans="1:49" x14ac:dyDescent="0.3">
      <c r="A94" s="1556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54"/>
      <c r="AW94" s="1554"/>
    </row>
    <row r="95" spans="1:49" x14ac:dyDescent="0.3">
      <c r="A95" s="1556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54"/>
      <c r="AW95" s="1554"/>
    </row>
    <row r="96" spans="1:49" x14ac:dyDescent="0.3">
      <c r="A96" s="1556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54"/>
      <c r="AW96" s="1554"/>
    </row>
    <row r="97" spans="1:49" x14ac:dyDescent="0.3">
      <c r="A97" s="1556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55"/>
      <c r="AW97" s="1555"/>
    </row>
    <row r="98" spans="1:49" x14ac:dyDescent="0.3">
      <c r="A98" s="1556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53"/>
      <c r="AW98" s="1553"/>
    </row>
    <row r="99" spans="1:49" x14ac:dyDescent="0.3">
      <c r="A99" s="1556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54"/>
      <c r="AW99" s="1554"/>
    </row>
    <row r="100" spans="1:49" x14ac:dyDescent="0.3">
      <c r="A100" s="1556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54"/>
      <c r="AW100" s="1554"/>
    </row>
    <row r="101" spans="1:49" x14ac:dyDescent="0.3">
      <c r="A101" s="1556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54"/>
      <c r="AW101" s="1554"/>
    </row>
    <row r="102" spans="1:49" x14ac:dyDescent="0.3">
      <c r="A102" s="1556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54"/>
      <c r="AW102" s="1554"/>
    </row>
    <row r="103" spans="1:49" x14ac:dyDescent="0.3">
      <c r="A103" s="1556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54"/>
      <c r="AW103" s="1554"/>
    </row>
    <row r="104" spans="1:49" x14ac:dyDescent="0.3">
      <c r="A104" s="1556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54"/>
      <c r="AW104" s="1554"/>
    </row>
    <row r="105" spans="1:49" x14ac:dyDescent="0.3">
      <c r="A105" s="1556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55"/>
      <c r="AW105" s="1555"/>
    </row>
    <row r="106" spans="1:49" x14ac:dyDescent="0.3">
      <c r="A106" s="1556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53"/>
      <c r="AW106" s="1553"/>
    </row>
    <row r="107" spans="1:49" x14ac:dyDescent="0.3">
      <c r="A107" s="1556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54"/>
      <c r="AW107" s="1554"/>
    </row>
    <row r="108" spans="1:49" x14ac:dyDescent="0.3">
      <c r="A108" s="1556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54"/>
      <c r="AW108" s="1554"/>
    </row>
    <row r="109" spans="1:49" x14ac:dyDescent="0.3">
      <c r="A109" s="1556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54"/>
      <c r="AW109" s="1554"/>
    </row>
    <row r="110" spans="1:49" x14ac:dyDescent="0.3">
      <c r="A110" s="1556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54"/>
      <c r="AW110" s="1554"/>
    </row>
    <row r="111" spans="1:49" x14ac:dyDescent="0.3">
      <c r="A111" s="1556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54"/>
      <c r="AW111" s="1554"/>
    </row>
    <row r="112" spans="1:49" x14ac:dyDescent="0.3">
      <c r="A112" s="1556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54"/>
      <c r="AW112" s="1554"/>
    </row>
    <row r="113" spans="1:49" x14ac:dyDescent="0.3">
      <c r="A113" s="1556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55"/>
      <c r="AW113" s="1555"/>
    </row>
    <row r="114" spans="1:49" x14ac:dyDescent="0.3">
      <c r="A114" s="1556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53"/>
      <c r="AW114" s="1553"/>
    </row>
    <row r="115" spans="1:49" x14ac:dyDescent="0.3">
      <c r="A115" s="1556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54"/>
      <c r="AW115" s="1554"/>
    </row>
    <row r="116" spans="1:49" x14ac:dyDescent="0.3">
      <c r="A116" s="1556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54"/>
      <c r="AW116" s="1554"/>
    </row>
    <row r="117" spans="1:49" x14ac:dyDescent="0.3">
      <c r="A117" s="1556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54"/>
      <c r="AW117" s="1554"/>
    </row>
    <row r="118" spans="1:49" x14ac:dyDescent="0.3">
      <c r="A118" s="1556">
        <v>46175</v>
      </c>
      <c r="B118" s="51"/>
      <c r="C118" s="49"/>
      <c r="D118" s="1541"/>
      <c r="E118" s="1538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54"/>
      <c r="AW118" s="1554"/>
    </row>
    <row r="119" spans="1:49" x14ac:dyDescent="0.3">
      <c r="A119" s="1556"/>
      <c r="B119" s="52"/>
      <c r="C119" s="49"/>
      <c r="D119" s="1542"/>
      <c r="E119" s="1539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54"/>
      <c r="AW119" s="1554"/>
    </row>
    <row r="120" spans="1:49" x14ac:dyDescent="0.3">
      <c r="A120" s="1556"/>
      <c r="B120" s="52"/>
      <c r="C120" s="49"/>
      <c r="D120" s="1542"/>
      <c r="E120" s="1539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54"/>
      <c r="AW120" s="1554"/>
    </row>
    <row r="121" spans="1:49" x14ac:dyDescent="0.3">
      <c r="A121" s="1556"/>
      <c r="B121" s="53"/>
      <c r="C121" s="49"/>
      <c r="D121" s="1543"/>
      <c r="E121" s="1540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55"/>
      <c r="AW121" s="1555"/>
    </row>
    <row r="122" spans="1:49" x14ac:dyDescent="0.3">
      <c r="A122" s="1556">
        <v>46176</v>
      </c>
      <c r="B122" s="51"/>
      <c r="C122" s="49"/>
      <c r="D122" s="1541"/>
      <c r="E122" s="1538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53"/>
      <c r="AW122" s="1553"/>
    </row>
    <row r="123" spans="1:49" x14ac:dyDescent="0.3">
      <c r="A123" s="1556"/>
      <c r="B123" s="52"/>
      <c r="C123" s="49"/>
      <c r="D123" s="1542"/>
      <c r="E123" s="1539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54"/>
      <c r="AW123" s="1554"/>
    </row>
    <row r="124" spans="1:49" x14ac:dyDescent="0.3">
      <c r="A124" s="1556"/>
      <c r="B124" s="52"/>
      <c r="C124" s="49"/>
      <c r="D124" s="1542"/>
      <c r="E124" s="1539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54"/>
      <c r="AW124" s="1554"/>
    </row>
    <row r="125" spans="1:49" x14ac:dyDescent="0.3">
      <c r="A125" s="1556"/>
      <c r="B125" s="53"/>
      <c r="C125" s="49"/>
      <c r="D125" s="1543"/>
      <c r="E125" s="1540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54"/>
      <c r="AW125" s="1554"/>
    </row>
    <row r="126" spans="1:49" x14ac:dyDescent="0.3">
      <c r="A126" s="1556">
        <v>46177</v>
      </c>
      <c r="B126" s="51"/>
      <c r="C126" s="49"/>
      <c r="D126" s="1541"/>
      <c r="E126" s="1538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54"/>
      <c r="AW126" s="1554"/>
    </row>
    <row r="127" spans="1:49" x14ac:dyDescent="0.3">
      <c r="A127" s="1556"/>
      <c r="B127" s="52"/>
      <c r="C127" s="49"/>
      <c r="D127" s="1542"/>
      <c r="E127" s="1539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54"/>
      <c r="AW127" s="1554"/>
    </row>
    <row r="128" spans="1:49" x14ac:dyDescent="0.3">
      <c r="A128" s="1556"/>
      <c r="B128" s="52"/>
      <c r="C128" s="49"/>
      <c r="D128" s="1542"/>
      <c r="E128" s="1539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54"/>
      <c r="AW128" s="1554"/>
    </row>
    <row r="129" spans="1:49" x14ac:dyDescent="0.3">
      <c r="A129" s="1556"/>
      <c r="B129" s="53"/>
      <c r="C129" s="49"/>
      <c r="D129" s="1543"/>
      <c r="E129" s="1540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55"/>
      <c r="AW129" s="1555"/>
    </row>
    <row r="130" spans="1:49" x14ac:dyDescent="0.3">
      <c r="A130" s="18"/>
      <c r="B130" s="18"/>
      <c r="C130" s="18"/>
      <c r="D130" s="1556"/>
      <c r="E130" s="1557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53"/>
      <c r="AW130" s="1553"/>
    </row>
    <row r="131" spans="1:49" x14ac:dyDescent="0.3">
      <c r="A131" s="18"/>
      <c r="B131" s="18"/>
      <c r="C131" s="18"/>
      <c r="D131" s="1555"/>
      <c r="E131" s="1554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54"/>
      <c r="AW131" s="1554"/>
    </row>
    <row r="132" spans="1:49" x14ac:dyDescent="0.3">
      <c r="A132" s="18"/>
      <c r="B132" s="18"/>
      <c r="C132" s="18"/>
      <c r="D132" s="1555"/>
      <c r="E132" s="1554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54"/>
      <c r="AW132" s="1554"/>
    </row>
    <row r="133" spans="1:49" x14ac:dyDescent="0.3">
      <c r="A133" s="18"/>
      <c r="B133" s="18"/>
      <c r="C133" s="18"/>
      <c r="D133" s="1555"/>
      <c r="E133" s="1554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54"/>
      <c r="AW133" s="1554"/>
    </row>
    <row r="134" spans="1:49" x14ac:dyDescent="0.3">
      <c r="A134" s="18"/>
      <c r="B134" s="18"/>
      <c r="C134" s="18"/>
      <c r="D134" s="1555"/>
      <c r="E134" s="1554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54"/>
      <c r="AW134" s="1554"/>
    </row>
    <row r="135" spans="1:49" x14ac:dyDescent="0.3">
      <c r="A135" s="18"/>
      <c r="B135" s="18"/>
      <c r="C135" s="18"/>
      <c r="D135" s="1555"/>
      <c r="E135" s="1554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54"/>
      <c r="AW135" s="1554"/>
    </row>
    <row r="136" spans="1:49" x14ac:dyDescent="0.3">
      <c r="A136" s="18"/>
      <c r="B136" s="18"/>
      <c r="C136" s="18"/>
      <c r="D136" s="1555"/>
      <c r="E136" s="1554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54"/>
      <c r="AW136" s="1554"/>
    </row>
    <row r="137" spans="1:49" x14ac:dyDescent="0.3">
      <c r="A137" s="18"/>
      <c r="B137" s="18"/>
      <c r="C137" s="18"/>
      <c r="D137" s="1555"/>
      <c r="E137" s="1555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55"/>
      <c r="AW137" s="1555"/>
    </row>
    <row r="138" spans="1:49" x14ac:dyDescent="0.3">
      <c r="A138" s="18"/>
      <c r="B138" s="18"/>
      <c r="C138" s="18"/>
      <c r="D138" s="1556"/>
      <c r="E138" s="1557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53"/>
      <c r="AW138" s="1553"/>
    </row>
    <row r="139" spans="1:49" x14ac:dyDescent="0.3">
      <c r="A139" s="18"/>
      <c r="B139" s="18"/>
      <c r="C139" s="18"/>
      <c r="D139" s="1555"/>
      <c r="E139" s="1554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54"/>
      <c r="AW139" s="1554"/>
    </row>
    <row r="140" spans="1:49" x14ac:dyDescent="0.3">
      <c r="A140" s="18"/>
      <c r="B140" s="18"/>
      <c r="C140" s="18"/>
      <c r="D140" s="1555"/>
      <c r="E140" s="1554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54"/>
      <c r="AW140" s="1554"/>
    </row>
    <row r="141" spans="1:49" x14ac:dyDescent="0.3">
      <c r="A141" s="18"/>
      <c r="B141" s="18"/>
      <c r="C141" s="18"/>
      <c r="D141" s="1555"/>
      <c r="E141" s="1554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54"/>
      <c r="AW141" s="1554"/>
    </row>
    <row r="142" spans="1:49" x14ac:dyDescent="0.3">
      <c r="A142" s="18"/>
      <c r="B142" s="18"/>
      <c r="C142" s="18"/>
      <c r="D142" s="1555"/>
      <c r="E142" s="1554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54"/>
      <c r="AW142" s="1554"/>
    </row>
    <row r="143" spans="1:49" x14ac:dyDescent="0.3">
      <c r="A143" s="18"/>
      <c r="B143" s="18"/>
      <c r="C143" s="18"/>
      <c r="D143" s="1555"/>
      <c r="E143" s="1554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54"/>
      <c r="AW143" s="1554"/>
    </row>
    <row r="144" spans="1:49" x14ac:dyDescent="0.3">
      <c r="A144" s="18"/>
      <c r="B144" s="18"/>
      <c r="C144" s="18"/>
      <c r="D144" s="1555"/>
      <c r="E144" s="1554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54"/>
      <c r="AW144" s="1554"/>
    </row>
    <row r="145" spans="1:49" x14ac:dyDescent="0.3">
      <c r="A145" s="18"/>
      <c r="B145" s="18"/>
      <c r="C145" s="18"/>
      <c r="D145" s="1555"/>
      <c r="E145" s="1555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55"/>
      <c r="AW145" s="1555"/>
    </row>
    <row r="146" spans="1:49" x14ac:dyDescent="0.3">
      <c r="A146" s="18"/>
      <c r="B146" s="18"/>
      <c r="C146" s="18"/>
      <c r="D146" s="1556"/>
      <c r="E146" s="1557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53"/>
      <c r="AW146" s="1553"/>
    </row>
    <row r="147" spans="1:49" x14ac:dyDescent="0.3">
      <c r="A147" s="18"/>
      <c r="B147" s="18"/>
      <c r="C147" s="18"/>
      <c r="D147" s="1555"/>
      <c r="E147" s="1554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54"/>
      <c r="AW147" s="1554"/>
    </row>
    <row r="148" spans="1:49" x14ac:dyDescent="0.3">
      <c r="A148" s="18"/>
      <c r="B148" s="18"/>
      <c r="C148" s="18"/>
      <c r="D148" s="1555"/>
      <c r="E148" s="1554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54"/>
      <c r="AW148" s="1554"/>
    </row>
    <row r="149" spans="1:49" x14ac:dyDescent="0.3">
      <c r="A149" s="18"/>
      <c r="B149" s="18"/>
      <c r="C149" s="18"/>
      <c r="D149" s="1555"/>
      <c r="E149" s="1554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54"/>
      <c r="AW149" s="1554"/>
    </row>
    <row r="150" spans="1:49" x14ac:dyDescent="0.3">
      <c r="A150" s="18"/>
      <c r="B150" s="18"/>
      <c r="C150" s="18"/>
      <c r="D150" s="1555"/>
      <c r="E150" s="1554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54"/>
      <c r="AW150" s="1554"/>
    </row>
    <row r="151" spans="1:49" x14ac:dyDescent="0.3">
      <c r="A151" s="18"/>
      <c r="B151" s="18"/>
      <c r="C151" s="18"/>
      <c r="D151" s="1555"/>
      <c r="E151" s="1554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54"/>
      <c r="AW151" s="1554"/>
    </row>
    <row r="152" spans="1:49" x14ac:dyDescent="0.3">
      <c r="A152" s="18"/>
      <c r="B152" s="18"/>
      <c r="C152" s="18"/>
      <c r="D152" s="1555"/>
      <c r="E152" s="1554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54"/>
      <c r="AW152" s="1554"/>
    </row>
    <row r="153" spans="1:49" x14ac:dyDescent="0.3">
      <c r="A153" s="18"/>
      <c r="B153" s="18"/>
      <c r="C153" s="18"/>
      <c r="D153" s="1555"/>
      <c r="E153" s="1555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55"/>
      <c r="AW153" s="1555"/>
    </row>
    <row r="154" spans="1:49" x14ac:dyDescent="0.3">
      <c r="A154" s="18"/>
      <c r="B154" s="18"/>
      <c r="C154" s="18"/>
      <c r="D154" s="1556"/>
      <c r="E154" s="1557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53"/>
      <c r="AW154" s="1553"/>
    </row>
    <row r="155" spans="1:49" x14ac:dyDescent="0.3">
      <c r="A155" s="18"/>
      <c r="B155" s="18"/>
      <c r="C155" s="18"/>
      <c r="D155" s="1555"/>
      <c r="E155" s="1554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54"/>
      <c r="AW155" s="1554"/>
    </row>
    <row r="156" spans="1:49" x14ac:dyDescent="0.3">
      <c r="A156" s="18"/>
      <c r="B156" s="18"/>
      <c r="C156" s="18"/>
      <c r="D156" s="1555"/>
      <c r="E156" s="1554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54"/>
      <c r="AW156" s="1554"/>
    </row>
    <row r="157" spans="1:49" x14ac:dyDescent="0.3">
      <c r="A157" s="18"/>
      <c r="B157" s="18"/>
      <c r="C157" s="18"/>
      <c r="D157" s="1555"/>
      <c r="E157" s="1554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54"/>
      <c r="AW157" s="1554"/>
    </row>
    <row r="158" spans="1:49" x14ac:dyDescent="0.3">
      <c r="A158" s="18"/>
      <c r="B158" s="18"/>
      <c r="C158" s="18"/>
      <c r="D158" s="1555"/>
      <c r="E158" s="1554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54"/>
      <c r="AW158" s="1554"/>
    </row>
    <row r="159" spans="1:49" x14ac:dyDescent="0.3">
      <c r="A159" s="18"/>
      <c r="B159" s="18"/>
      <c r="C159" s="18"/>
      <c r="D159" s="1555"/>
      <c r="E159" s="1554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54"/>
      <c r="AW159" s="1554"/>
    </row>
    <row r="160" spans="1:49" x14ac:dyDescent="0.3">
      <c r="A160" s="18"/>
      <c r="B160" s="18"/>
      <c r="C160" s="18"/>
      <c r="D160" s="1555"/>
      <c r="E160" s="1554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54"/>
      <c r="AW160" s="1554"/>
    </row>
    <row r="161" spans="1:49" x14ac:dyDescent="0.3">
      <c r="A161" s="18"/>
      <c r="B161" s="18"/>
      <c r="C161" s="18"/>
      <c r="D161" s="1555"/>
      <c r="E161" s="1555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55"/>
      <c r="AW161" s="1555"/>
    </row>
    <row r="162" spans="1:49" x14ac:dyDescent="0.3">
      <c r="A162" s="18"/>
      <c r="B162" s="18"/>
      <c r="C162" s="18"/>
      <c r="D162" s="1556"/>
      <c r="E162" s="1557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53"/>
      <c r="AW162" s="1553"/>
    </row>
    <row r="163" spans="1:49" x14ac:dyDescent="0.3">
      <c r="A163" s="18"/>
      <c r="B163" s="18"/>
      <c r="C163" s="18"/>
      <c r="D163" s="1555"/>
      <c r="E163" s="1554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54"/>
      <c r="AW163" s="1554"/>
    </row>
    <row r="164" spans="1:49" x14ac:dyDescent="0.3">
      <c r="A164" s="18"/>
      <c r="B164" s="18"/>
      <c r="C164" s="18"/>
      <c r="D164" s="1555"/>
      <c r="E164" s="1554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54"/>
      <c r="AW164" s="1554"/>
    </row>
    <row r="165" spans="1:49" x14ac:dyDescent="0.3">
      <c r="A165" s="18"/>
      <c r="B165" s="18"/>
      <c r="C165" s="18"/>
      <c r="D165" s="1555"/>
      <c r="E165" s="1554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54"/>
      <c r="AW165" s="1554"/>
    </row>
    <row r="166" spans="1:49" x14ac:dyDescent="0.3">
      <c r="A166" s="18"/>
      <c r="B166" s="18"/>
      <c r="C166" s="18"/>
      <c r="D166" s="1555"/>
      <c r="E166" s="1554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54"/>
      <c r="AW166" s="1554"/>
    </row>
    <row r="167" spans="1:49" x14ac:dyDescent="0.3">
      <c r="A167" s="18"/>
      <c r="B167" s="18"/>
      <c r="C167" s="18"/>
      <c r="D167" s="1555"/>
      <c r="E167" s="1554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54"/>
      <c r="AW167" s="1554"/>
    </row>
    <row r="168" spans="1:49" x14ac:dyDescent="0.3">
      <c r="A168" s="18"/>
      <c r="B168" s="18"/>
      <c r="C168" s="18"/>
      <c r="D168" s="1555"/>
      <c r="E168" s="1554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54"/>
      <c r="AW168" s="1554"/>
    </row>
    <row r="169" spans="1:49" x14ac:dyDescent="0.3">
      <c r="A169" s="18"/>
      <c r="B169" s="18"/>
      <c r="C169" s="18"/>
      <c r="D169" s="1555"/>
      <c r="E169" s="1555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55"/>
      <c r="AW169" s="1555"/>
    </row>
    <row r="170" spans="1:49" x14ac:dyDescent="0.3">
      <c r="A170" s="18"/>
      <c r="B170" s="18"/>
      <c r="C170" s="18"/>
      <c r="D170" s="1556"/>
      <c r="E170" s="1557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53"/>
      <c r="AW170" s="1553"/>
    </row>
    <row r="171" spans="1:49" x14ac:dyDescent="0.3">
      <c r="A171" s="18"/>
      <c r="B171" s="18"/>
      <c r="C171" s="18"/>
      <c r="D171" s="1555"/>
      <c r="E171" s="1554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54"/>
      <c r="AW171" s="1554"/>
    </row>
    <row r="172" spans="1:49" x14ac:dyDescent="0.3">
      <c r="A172" s="18"/>
      <c r="B172" s="18"/>
      <c r="C172" s="18"/>
      <c r="D172" s="1555"/>
      <c r="E172" s="1554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54"/>
      <c r="AW172" s="1554"/>
    </row>
    <row r="173" spans="1:49" x14ac:dyDescent="0.3">
      <c r="A173" s="18"/>
      <c r="B173" s="18"/>
      <c r="C173" s="18"/>
      <c r="D173" s="1555"/>
      <c r="E173" s="1554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54"/>
      <c r="AW173" s="1554"/>
    </row>
    <row r="174" spans="1:49" x14ac:dyDescent="0.3">
      <c r="A174" s="18"/>
      <c r="B174" s="18"/>
      <c r="C174" s="18"/>
      <c r="D174" s="1555"/>
      <c r="E174" s="1554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54"/>
      <c r="AW174" s="1554"/>
    </row>
    <row r="175" spans="1:49" x14ac:dyDescent="0.3">
      <c r="A175" s="18"/>
      <c r="B175" s="18"/>
      <c r="C175" s="18"/>
      <c r="D175" s="1555"/>
      <c r="E175" s="1554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54"/>
      <c r="AW175" s="1554"/>
    </row>
    <row r="176" spans="1:49" x14ac:dyDescent="0.3">
      <c r="A176" s="18"/>
      <c r="B176" s="18"/>
      <c r="C176" s="18"/>
      <c r="D176" s="1555"/>
      <c r="E176" s="1554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54"/>
      <c r="AW176" s="1554"/>
    </row>
    <row r="177" spans="1:49" x14ac:dyDescent="0.3">
      <c r="A177" s="18"/>
      <c r="B177" s="18"/>
      <c r="C177" s="18"/>
      <c r="D177" s="1555"/>
      <c r="E177" s="1555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55"/>
      <c r="AW177" s="1555"/>
    </row>
    <row r="178" spans="1:49" x14ac:dyDescent="0.3">
      <c r="A178" s="18"/>
      <c r="B178" s="18"/>
      <c r="C178" s="18"/>
      <c r="D178" s="1556"/>
      <c r="E178" s="1557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53"/>
      <c r="AW178" s="1553"/>
    </row>
    <row r="179" spans="1:49" x14ac:dyDescent="0.3">
      <c r="A179" s="18"/>
      <c r="B179" s="18"/>
      <c r="C179" s="18"/>
      <c r="D179" s="1555"/>
      <c r="E179" s="1554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54"/>
      <c r="AW179" s="1554"/>
    </row>
    <row r="180" spans="1:49" x14ac:dyDescent="0.3">
      <c r="A180" s="18"/>
      <c r="B180" s="18"/>
      <c r="C180" s="18"/>
      <c r="D180" s="1555"/>
      <c r="E180" s="1554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54"/>
      <c r="AW180" s="1554"/>
    </row>
    <row r="181" spans="1:49" x14ac:dyDescent="0.3">
      <c r="A181" s="18"/>
      <c r="B181" s="18"/>
      <c r="C181" s="18"/>
      <c r="D181" s="1555"/>
      <c r="E181" s="1554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54"/>
      <c r="AW181" s="1554"/>
    </row>
    <row r="182" spans="1:49" x14ac:dyDescent="0.3">
      <c r="A182" s="18"/>
      <c r="B182" s="18"/>
      <c r="C182" s="18"/>
      <c r="D182" s="1555"/>
      <c r="E182" s="1554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54"/>
      <c r="AW182" s="1554"/>
    </row>
    <row r="183" spans="1:49" x14ac:dyDescent="0.3">
      <c r="A183" s="18"/>
      <c r="B183" s="18"/>
      <c r="C183" s="18"/>
      <c r="D183" s="1555"/>
      <c r="E183" s="1554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54"/>
      <c r="AW183" s="1554"/>
    </row>
    <row r="184" spans="1:49" x14ac:dyDescent="0.3">
      <c r="A184" s="18"/>
      <c r="B184" s="18"/>
      <c r="C184" s="18"/>
      <c r="D184" s="1555"/>
      <c r="E184" s="1554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54"/>
      <c r="AW184" s="1554"/>
    </row>
    <row r="185" spans="1:49" x14ac:dyDescent="0.3">
      <c r="A185" s="18"/>
      <c r="B185" s="18"/>
      <c r="C185" s="18"/>
      <c r="D185" s="1555"/>
      <c r="E185" s="1555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55"/>
      <c r="AW185" s="1555"/>
    </row>
    <row r="186" spans="1:49" x14ac:dyDescent="0.3">
      <c r="A186" s="18"/>
      <c r="B186" s="18"/>
      <c r="C186" s="18"/>
      <c r="D186" s="1556"/>
      <c r="E186" s="1557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53"/>
      <c r="AW186" s="1553"/>
    </row>
    <row r="187" spans="1:49" x14ac:dyDescent="0.3">
      <c r="A187" s="18"/>
      <c r="B187" s="18"/>
      <c r="C187" s="18"/>
      <c r="D187" s="1555"/>
      <c r="E187" s="1554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54"/>
      <c r="AW187" s="1554"/>
    </row>
    <row r="188" spans="1:49" x14ac:dyDescent="0.3">
      <c r="A188" s="18"/>
      <c r="B188" s="18"/>
      <c r="C188" s="18"/>
      <c r="D188" s="1555"/>
      <c r="E188" s="1554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54"/>
      <c r="AW188" s="1554"/>
    </row>
    <row r="189" spans="1:49" x14ac:dyDescent="0.3">
      <c r="A189" s="18"/>
      <c r="B189" s="18"/>
      <c r="C189" s="18"/>
      <c r="D189" s="1555"/>
      <c r="E189" s="1554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54"/>
      <c r="AW189" s="1554"/>
    </row>
    <row r="190" spans="1:49" x14ac:dyDescent="0.3">
      <c r="A190" s="18"/>
      <c r="B190" s="18"/>
      <c r="C190" s="18"/>
      <c r="D190" s="1555"/>
      <c r="E190" s="1554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54"/>
      <c r="AW190" s="1554"/>
    </row>
    <row r="191" spans="1:49" x14ac:dyDescent="0.3">
      <c r="A191" s="18"/>
      <c r="B191" s="18"/>
      <c r="C191" s="18"/>
      <c r="D191" s="1555"/>
      <c r="E191" s="1554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54"/>
      <c r="AW191" s="1554"/>
    </row>
    <row r="192" spans="1:49" x14ac:dyDescent="0.3">
      <c r="A192" s="18"/>
      <c r="B192" s="18"/>
      <c r="C192" s="18"/>
      <c r="D192" s="1555"/>
      <c r="E192" s="1554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54"/>
      <c r="AW192" s="1554"/>
    </row>
    <row r="193" spans="1:49" x14ac:dyDescent="0.3">
      <c r="A193" s="18"/>
      <c r="B193" s="18"/>
      <c r="C193" s="18"/>
      <c r="D193" s="1555"/>
      <c r="E193" s="1555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55"/>
      <c r="AW193" s="1555"/>
    </row>
    <row r="194" spans="1:49" x14ac:dyDescent="0.3">
      <c r="A194" s="18"/>
      <c r="B194" s="18"/>
      <c r="C194" s="18"/>
      <c r="D194" s="1556"/>
      <c r="E194" s="1557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53"/>
      <c r="AW194" s="1553"/>
    </row>
    <row r="195" spans="1:49" x14ac:dyDescent="0.3">
      <c r="A195" s="18"/>
      <c r="B195" s="18"/>
      <c r="C195" s="18"/>
      <c r="D195" s="1555"/>
      <c r="E195" s="1554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54"/>
      <c r="AW195" s="1554"/>
    </row>
    <row r="196" spans="1:49" x14ac:dyDescent="0.3">
      <c r="A196" s="18"/>
      <c r="B196" s="18"/>
      <c r="C196" s="18"/>
      <c r="D196" s="1555"/>
      <c r="E196" s="1554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54"/>
      <c r="AW196" s="1554"/>
    </row>
    <row r="197" spans="1:49" x14ac:dyDescent="0.3">
      <c r="A197" s="18"/>
      <c r="B197" s="18"/>
      <c r="C197" s="18"/>
      <c r="D197" s="1555"/>
      <c r="E197" s="1554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54"/>
      <c r="AW197" s="1554"/>
    </row>
    <row r="198" spans="1:49" x14ac:dyDescent="0.3">
      <c r="A198" s="18"/>
      <c r="B198" s="18"/>
      <c r="C198" s="18"/>
      <c r="D198" s="1555"/>
      <c r="E198" s="1554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54"/>
      <c r="AW198" s="1554"/>
    </row>
    <row r="199" spans="1:49" x14ac:dyDescent="0.3">
      <c r="A199" s="18"/>
      <c r="B199" s="18"/>
      <c r="C199" s="18"/>
      <c r="D199" s="1555"/>
      <c r="E199" s="1554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54"/>
      <c r="AW199" s="1554"/>
    </row>
    <row r="200" spans="1:49" x14ac:dyDescent="0.3">
      <c r="A200" s="18"/>
      <c r="B200" s="18"/>
      <c r="C200" s="18"/>
      <c r="D200" s="1555"/>
      <c r="E200" s="1554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54"/>
      <c r="AW200" s="1554"/>
    </row>
    <row r="201" spans="1:49" x14ac:dyDescent="0.3">
      <c r="A201" s="18"/>
      <c r="B201" s="18"/>
      <c r="C201" s="18"/>
      <c r="D201" s="1555"/>
      <c r="E201" s="1555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55"/>
      <c r="AW201" s="1555"/>
    </row>
    <row r="202" spans="1:49" x14ac:dyDescent="0.3">
      <c r="A202" s="18"/>
      <c r="B202" s="18"/>
      <c r="C202" s="18"/>
      <c r="D202" s="1556"/>
      <c r="E202" s="1557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53"/>
      <c r="AW202" s="1553"/>
    </row>
    <row r="203" spans="1:49" x14ac:dyDescent="0.3">
      <c r="A203" s="18"/>
      <c r="B203" s="18"/>
      <c r="C203" s="18"/>
      <c r="D203" s="1555"/>
      <c r="E203" s="1554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54"/>
      <c r="AW203" s="1554"/>
    </row>
    <row r="204" spans="1:49" x14ac:dyDescent="0.3">
      <c r="A204" s="18"/>
      <c r="B204" s="18"/>
      <c r="C204" s="18"/>
      <c r="D204" s="1555"/>
      <c r="E204" s="1554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54"/>
      <c r="AW204" s="1554"/>
    </row>
    <row r="205" spans="1:49" x14ac:dyDescent="0.3">
      <c r="A205" s="18"/>
      <c r="B205" s="18"/>
      <c r="C205" s="18"/>
      <c r="D205" s="1555"/>
      <c r="E205" s="1554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54"/>
      <c r="AW205" s="1554"/>
    </row>
    <row r="206" spans="1:49" x14ac:dyDescent="0.3">
      <c r="A206" s="18"/>
      <c r="B206" s="18"/>
      <c r="C206" s="18"/>
      <c r="D206" s="1555"/>
      <c r="E206" s="1554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54"/>
      <c r="AW206" s="1554"/>
    </row>
    <row r="207" spans="1:49" x14ac:dyDescent="0.3">
      <c r="A207" s="18"/>
      <c r="B207" s="18"/>
      <c r="C207" s="18"/>
      <c r="D207" s="1555"/>
      <c r="E207" s="1554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54"/>
      <c r="AW207" s="1554"/>
    </row>
    <row r="208" spans="1:49" x14ac:dyDescent="0.3">
      <c r="A208" s="18"/>
      <c r="B208" s="18"/>
      <c r="C208" s="18"/>
      <c r="D208" s="1555"/>
      <c r="E208" s="1554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54"/>
      <c r="AW208" s="1554"/>
    </row>
    <row r="209" spans="1:49" x14ac:dyDescent="0.3">
      <c r="A209" s="18"/>
      <c r="B209" s="18"/>
      <c r="C209" s="18"/>
      <c r="D209" s="1555"/>
      <c r="E209" s="1555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55"/>
      <c r="AW209" s="1555"/>
    </row>
    <row r="210" spans="1:49" x14ac:dyDescent="0.3">
      <c r="A210" s="18"/>
      <c r="B210" s="18"/>
      <c r="C210" s="18"/>
      <c r="D210" s="1556"/>
      <c r="E210" s="1557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53"/>
      <c r="AW210" s="1553"/>
    </row>
    <row r="211" spans="1:49" x14ac:dyDescent="0.3">
      <c r="A211" s="18"/>
      <c r="B211" s="18"/>
      <c r="C211" s="18"/>
      <c r="D211" s="1555"/>
      <c r="E211" s="1554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54"/>
      <c r="AW211" s="1554"/>
    </row>
    <row r="212" spans="1:49" x14ac:dyDescent="0.3">
      <c r="A212" s="18"/>
      <c r="B212" s="18"/>
      <c r="C212" s="18"/>
      <c r="D212" s="1555"/>
      <c r="E212" s="1554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54"/>
      <c r="AW212" s="1554"/>
    </row>
    <row r="213" spans="1:49" x14ac:dyDescent="0.3">
      <c r="A213" s="18"/>
      <c r="B213" s="18"/>
      <c r="C213" s="18"/>
      <c r="D213" s="1555"/>
      <c r="E213" s="1554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54"/>
      <c r="AW213" s="1554"/>
    </row>
    <row r="214" spans="1:49" x14ac:dyDescent="0.3">
      <c r="A214" s="18"/>
      <c r="B214" s="18"/>
      <c r="C214" s="18"/>
      <c r="D214" s="1555"/>
      <c r="E214" s="1554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54"/>
      <c r="AW214" s="1554"/>
    </row>
    <row r="215" spans="1:49" x14ac:dyDescent="0.3">
      <c r="A215" s="18"/>
      <c r="B215" s="18"/>
      <c r="C215" s="18"/>
      <c r="D215" s="1555"/>
      <c r="E215" s="1554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54"/>
      <c r="AW215" s="1554"/>
    </row>
    <row r="216" spans="1:49" x14ac:dyDescent="0.3">
      <c r="A216" s="18"/>
      <c r="B216" s="18"/>
      <c r="C216" s="18"/>
      <c r="D216" s="1555"/>
      <c r="E216" s="1554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54"/>
      <c r="AW216" s="1554"/>
    </row>
    <row r="217" spans="1:49" x14ac:dyDescent="0.3">
      <c r="A217" s="18"/>
      <c r="B217" s="18"/>
      <c r="C217" s="18"/>
      <c r="D217" s="1555"/>
      <c r="E217" s="1555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55"/>
      <c r="AW217" s="1555"/>
    </row>
    <row r="218" spans="1:49" x14ac:dyDescent="0.3">
      <c r="A218" s="18"/>
      <c r="B218" s="18"/>
      <c r="C218" s="18"/>
      <c r="D218" s="1556"/>
      <c r="E218" s="1557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53"/>
      <c r="AW218" s="1553"/>
    </row>
    <row r="219" spans="1:49" x14ac:dyDescent="0.3">
      <c r="A219" s="18"/>
      <c r="B219" s="18"/>
      <c r="C219" s="18"/>
      <c r="D219" s="1555"/>
      <c r="E219" s="1554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54"/>
      <c r="AW219" s="1554"/>
    </row>
    <row r="220" spans="1:49" x14ac:dyDescent="0.3">
      <c r="A220" s="18"/>
      <c r="B220" s="18"/>
      <c r="C220" s="18"/>
      <c r="D220" s="1555"/>
      <c r="E220" s="1554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54"/>
      <c r="AW220" s="1554"/>
    </row>
    <row r="221" spans="1:49" x14ac:dyDescent="0.3">
      <c r="A221" s="18"/>
      <c r="B221" s="18"/>
      <c r="C221" s="18"/>
      <c r="D221" s="1555"/>
      <c r="E221" s="1554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54"/>
      <c r="AW221" s="1554"/>
    </row>
    <row r="222" spans="1:49" x14ac:dyDescent="0.3">
      <c r="A222" s="18"/>
      <c r="B222" s="18"/>
      <c r="C222" s="18"/>
      <c r="D222" s="1555"/>
      <c r="E222" s="1554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54"/>
      <c r="AW222" s="1554"/>
    </row>
    <row r="223" spans="1:49" x14ac:dyDescent="0.3">
      <c r="A223" s="18"/>
      <c r="B223" s="18"/>
      <c r="C223" s="18"/>
      <c r="D223" s="1555"/>
      <c r="E223" s="1554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54"/>
      <c r="AW223" s="1554"/>
    </row>
    <row r="224" spans="1:49" x14ac:dyDescent="0.3">
      <c r="A224" s="18"/>
      <c r="B224" s="18"/>
      <c r="C224" s="18"/>
      <c r="D224" s="1555"/>
      <c r="E224" s="1554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54"/>
      <c r="AW224" s="1554"/>
    </row>
    <row r="225" spans="1:49" x14ac:dyDescent="0.3">
      <c r="A225" s="18"/>
      <c r="B225" s="18"/>
      <c r="C225" s="18"/>
      <c r="D225" s="1555"/>
      <c r="E225" s="1555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55"/>
      <c r="AW225" s="1555"/>
    </row>
    <row r="226" spans="1:49" x14ac:dyDescent="0.3">
      <c r="A226" s="18"/>
      <c r="B226" s="18"/>
      <c r="C226" s="18"/>
      <c r="D226" s="1556"/>
      <c r="E226" s="1557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53"/>
      <c r="AW226" s="1553"/>
    </row>
    <row r="227" spans="1:49" x14ac:dyDescent="0.3">
      <c r="A227" s="18"/>
      <c r="B227" s="18"/>
      <c r="C227" s="18"/>
      <c r="D227" s="1555"/>
      <c r="E227" s="1554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54"/>
      <c r="AW227" s="1554"/>
    </row>
    <row r="228" spans="1:49" x14ac:dyDescent="0.3">
      <c r="A228" s="18"/>
      <c r="B228" s="18"/>
      <c r="C228" s="18"/>
      <c r="D228" s="1555"/>
      <c r="E228" s="1554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54"/>
      <c r="AW228" s="1554"/>
    </row>
    <row r="229" spans="1:49" x14ac:dyDescent="0.3">
      <c r="A229" s="18"/>
      <c r="B229" s="18"/>
      <c r="C229" s="18"/>
      <c r="D229" s="1555"/>
      <c r="E229" s="1554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54"/>
      <c r="AW229" s="1554"/>
    </row>
    <row r="230" spans="1:49" x14ac:dyDescent="0.3">
      <c r="A230" s="18"/>
      <c r="B230" s="18"/>
      <c r="C230" s="18"/>
      <c r="D230" s="1555"/>
      <c r="E230" s="1554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54"/>
      <c r="AW230" s="1554"/>
    </row>
    <row r="231" spans="1:49" x14ac:dyDescent="0.3">
      <c r="A231" s="18"/>
      <c r="B231" s="18"/>
      <c r="C231" s="18"/>
      <c r="D231" s="1555"/>
      <c r="E231" s="1554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54"/>
      <c r="AW231" s="1554"/>
    </row>
    <row r="232" spans="1:49" x14ac:dyDescent="0.3">
      <c r="A232" s="18"/>
      <c r="B232" s="18"/>
      <c r="C232" s="18"/>
      <c r="D232" s="1555"/>
      <c r="E232" s="1554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54"/>
      <c r="AW232" s="1554"/>
    </row>
    <row r="233" spans="1:49" x14ac:dyDescent="0.3">
      <c r="A233" s="18"/>
      <c r="B233" s="18"/>
      <c r="C233" s="18"/>
      <c r="D233" s="1555"/>
      <c r="E233" s="1555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55"/>
      <c r="AW233" s="1555"/>
    </row>
    <row r="234" spans="1:49" x14ac:dyDescent="0.3">
      <c r="A234" s="18"/>
      <c r="B234" s="18"/>
      <c r="C234" s="18"/>
      <c r="D234" s="1556"/>
      <c r="E234" s="1557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53"/>
      <c r="AW234" s="1553"/>
    </row>
    <row r="235" spans="1:49" x14ac:dyDescent="0.3">
      <c r="A235" s="18"/>
      <c r="B235" s="18"/>
      <c r="C235" s="18"/>
      <c r="D235" s="1555"/>
      <c r="E235" s="1554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54"/>
      <c r="AW235" s="1554"/>
    </row>
    <row r="236" spans="1:49" x14ac:dyDescent="0.3">
      <c r="A236" s="18"/>
      <c r="B236" s="18"/>
      <c r="C236" s="18"/>
      <c r="D236" s="1555"/>
      <c r="E236" s="1554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54"/>
      <c r="AW236" s="1554"/>
    </row>
    <row r="237" spans="1:49" x14ac:dyDescent="0.3">
      <c r="A237" s="18"/>
      <c r="B237" s="18"/>
      <c r="C237" s="18"/>
      <c r="D237" s="1555"/>
      <c r="E237" s="1554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54"/>
      <c r="AW237" s="1554"/>
    </row>
    <row r="238" spans="1:49" x14ac:dyDescent="0.3">
      <c r="A238" s="18"/>
      <c r="B238" s="18"/>
      <c r="C238" s="18"/>
      <c r="D238" s="1555"/>
      <c r="E238" s="1554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54"/>
      <c r="AW238" s="1554"/>
    </row>
    <row r="239" spans="1:49" x14ac:dyDescent="0.3">
      <c r="A239" s="18"/>
      <c r="B239" s="18"/>
      <c r="C239" s="18"/>
      <c r="D239" s="1555"/>
      <c r="E239" s="1554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54"/>
      <c r="AW239" s="1554"/>
    </row>
    <row r="240" spans="1:49" x14ac:dyDescent="0.3">
      <c r="A240" s="18"/>
      <c r="B240" s="18"/>
      <c r="C240" s="18"/>
      <c r="D240" s="1555"/>
      <c r="E240" s="1554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54"/>
      <c r="AW240" s="1554"/>
    </row>
    <row r="241" spans="1:49" x14ac:dyDescent="0.3">
      <c r="A241" s="18"/>
      <c r="B241" s="18"/>
      <c r="C241" s="18"/>
      <c r="D241" s="1555"/>
      <c r="E241" s="1555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55"/>
      <c r="AW241" s="1555"/>
    </row>
    <row r="242" spans="1:49" x14ac:dyDescent="0.3">
      <c r="A242" s="18"/>
      <c r="B242" s="18"/>
      <c r="C242" s="18"/>
      <c r="D242" s="1556"/>
      <c r="E242" s="1557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53"/>
      <c r="AW242" s="1553"/>
    </row>
    <row r="243" spans="1:49" x14ac:dyDescent="0.3">
      <c r="A243" s="18"/>
      <c r="B243" s="18"/>
      <c r="C243" s="18"/>
      <c r="D243" s="1555"/>
      <c r="E243" s="1554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54"/>
      <c r="AW243" s="1554"/>
    </row>
    <row r="244" spans="1:49" x14ac:dyDescent="0.3">
      <c r="A244" s="18"/>
      <c r="B244" s="18"/>
      <c r="C244" s="18"/>
      <c r="D244" s="1555"/>
      <c r="E244" s="1554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54"/>
      <c r="AW244" s="1554"/>
    </row>
    <row r="245" spans="1:49" x14ac:dyDescent="0.3">
      <c r="A245" s="18"/>
      <c r="B245" s="18"/>
      <c r="C245" s="18"/>
      <c r="D245" s="1555"/>
      <c r="E245" s="1554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54"/>
      <c r="AW245" s="1554"/>
    </row>
    <row r="246" spans="1:49" x14ac:dyDescent="0.3">
      <c r="A246" s="18"/>
      <c r="B246" s="18"/>
      <c r="C246" s="18"/>
      <c r="D246" s="1555"/>
      <c r="E246" s="1554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54"/>
      <c r="AW246" s="1554"/>
    </row>
    <row r="247" spans="1:49" x14ac:dyDescent="0.3">
      <c r="A247" s="18"/>
      <c r="B247" s="18"/>
      <c r="C247" s="18"/>
      <c r="D247" s="1555"/>
      <c r="E247" s="1554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54"/>
      <c r="AW247" s="1554"/>
    </row>
    <row r="248" spans="1:49" x14ac:dyDescent="0.3">
      <c r="A248" s="18"/>
      <c r="B248" s="18"/>
      <c r="C248" s="18"/>
      <c r="D248" s="1555"/>
      <c r="E248" s="1554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54"/>
      <c r="AW248" s="1554"/>
    </row>
    <row r="249" spans="1:49" x14ac:dyDescent="0.3">
      <c r="A249" s="18"/>
      <c r="B249" s="18"/>
      <c r="C249" s="18"/>
      <c r="D249" s="1555"/>
      <c r="E249" s="1555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55"/>
      <c r="AW249" s="1555"/>
    </row>
    <row r="250" spans="1:49" x14ac:dyDescent="0.3">
      <c r="A250" s="18"/>
      <c r="B250" s="18"/>
      <c r="C250" s="18"/>
      <c r="D250" s="1556"/>
      <c r="E250" s="1557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53"/>
      <c r="AW250" s="1553"/>
    </row>
    <row r="251" spans="1:49" x14ac:dyDescent="0.3">
      <c r="A251" s="18"/>
      <c r="B251" s="18"/>
      <c r="C251" s="18"/>
      <c r="D251" s="1555"/>
      <c r="E251" s="1554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54"/>
      <c r="AW251" s="1554"/>
    </row>
    <row r="252" spans="1:49" x14ac:dyDescent="0.3">
      <c r="A252" s="18"/>
      <c r="B252" s="18"/>
      <c r="C252" s="18"/>
      <c r="D252" s="1555"/>
      <c r="E252" s="1554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54"/>
      <c r="AW252" s="1554"/>
    </row>
    <row r="253" spans="1:49" x14ac:dyDescent="0.3">
      <c r="A253" s="18"/>
      <c r="B253" s="18"/>
      <c r="C253" s="18"/>
      <c r="D253" s="1555"/>
      <c r="E253" s="1554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54"/>
      <c r="AW253" s="1554"/>
    </row>
    <row r="254" spans="1:49" x14ac:dyDescent="0.3">
      <c r="A254" s="18"/>
      <c r="B254" s="18"/>
      <c r="C254" s="18"/>
      <c r="D254" s="1555"/>
      <c r="E254" s="1554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54"/>
      <c r="AW254" s="1554"/>
    </row>
    <row r="255" spans="1:49" x14ac:dyDescent="0.3">
      <c r="A255" s="18"/>
      <c r="B255" s="18"/>
      <c r="C255" s="18"/>
      <c r="D255" s="1555"/>
      <c r="E255" s="1554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54"/>
      <c r="AW255" s="1554"/>
    </row>
    <row r="256" spans="1:49" x14ac:dyDescent="0.3">
      <c r="A256" s="18"/>
      <c r="B256" s="18"/>
      <c r="C256" s="18"/>
      <c r="D256" s="1555"/>
      <c r="E256" s="1554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54"/>
      <c r="AW256" s="1554"/>
    </row>
    <row r="257" spans="1:49" x14ac:dyDescent="0.3">
      <c r="A257" s="18"/>
      <c r="B257" s="18"/>
      <c r="C257" s="18"/>
      <c r="D257" s="1555"/>
      <c r="E257" s="1555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55"/>
      <c r="AW257" s="1555"/>
    </row>
    <row r="258" spans="1:49" x14ac:dyDescent="0.3">
      <c r="A258" s="18"/>
      <c r="B258" s="18"/>
      <c r="C258" s="18"/>
      <c r="D258" s="1556"/>
      <c r="E258" s="1557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53"/>
      <c r="AW258" s="1553"/>
    </row>
    <row r="259" spans="1:49" x14ac:dyDescent="0.3">
      <c r="A259" s="18"/>
      <c r="B259" s="18"/>
      <c r="C259" s="18"/>
      <c r="D259" s="1555"/>
      <c r="E259" s="1554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54"/>
      <c r="AW259" s="1554"/>
    </row>
    <row r="260" spans="1:49" x14ac:dyDescent="0.3">
      <c r="A260" s="18"/>
      <c r="B260" s="18"/>
      <c r="C260" s="18"/>
      <c r="D260" s="1555"/>
      <c r="E260" s="1554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54"/>
      <c r="AW260" s="1554"/>
    </row>
    <row r="261" spans="1:49" x14ac:dyDescent="0.3">
      <c r="A261" s="18"/>
      <c r="B261" s="18"/>
      <c r="C261" s="18"/>
      <c r="D261" s="1555"/>
      <c r="E261" s="1554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54"/>
      <c r="AW261" s="1554"/>
    </row>
    <row r="262" spans="1:49" x14ac:dyDescent="0.3">
      <c r="A262" s="18"/>
      <c r="B262" s="18"/>
      <c r="C262" s="18"/>
      <c r="D262" s="1555"/>
      <c r="E262" s="1554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54"/>
      <c r="AW262" s="1554"/>
    </row>
    <row r="263" spans="1:49" x14ac:dyDescent="0.3">
      <c r="A263" s="18"/>
      <c r="B263" s="18"/>
      <c r="C263" s="18"/>
      <c r="D263" s="1555"/>
      <c r="E263" s="1554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54"/>
      <c r="AW263" s="1554"/>
    </row>
    <row r="264" spans="1:49" x14ac:dyDescent="0.3">
      <c r="A264" s="18"/>
      <c r="B264" s="18"/>
      <c r="C264" s="18"/>
      <c r="D264" s="1555"/>
      <c r="E264" s="1554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54"/>
      <c r="AW264" s="1554"/>
    </row>
    <row r="265" spans="1:49" x14ac:dyDescent="0.3">
      <c r="A265" s="18"/>
      <c r="B265" s="18"/>
      <c r="C265" s="18"/>
      <c r="D265" s="1555"/>
      <c r="E265" s="1555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55"/>
      <c r="AW265" s="1555"/>
    </row>
    <row r="266" spans="1:49" x14ac:dyDescent="0.3">
      <c r="A266" s="18"/>
      <c r="B266" s="18"/>
      <c r="C266" s="18"/>
      <c r="D266" s="1556"/>
      <c r="E266" s="1557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53"/>
      <c r="AW266" s="1553"/>
    </row>
    <row r="267" spans="1:49" x14ac:dyDescent="0.3">
      <c r="A267" s="18"/>
      <c r="B267" s="18"/>
      <c r="C267" s="18"/>
      <c r="D267" s="1555"/>
      <c r="E267" s="1554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54"/>
      <c r="AW267" s="1554"/>
    </row>
    <row r="268" spans="1:49" x14ac:dyDescent="0.3">
      <c r="A268" s="18"/>
      <c r="B268" s="18"/>
      <c r="C268" s="18"/>
      <c r="D268" s="1555"/>
      <c r="E268" s="1554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54"/>
      <c r="AW268" s="1554"/>
    </row>
    <row r="269" spans="1:49" x14ac:dyDescent="0.3">
      <c r="A269" s="18"/>
      <c r="B269" s="18"/>
      <c r="C269" s="18"/>
      <c r="D269" s="1555"/>
      <c r="E269" s="1554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54"/>
      <c r="AW269" s="1554"/>
    </row>
    <row r="270" spans="1:49" x14ac:dyDescent="0.3">
      <c r="A270" s="18"/>
      <c r="B270" s="18"/>
      <c r="C270" s="18"/>
      <c r="D270" s="1555"/>
      <c r="E270" s="1554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54"/>
      <c r="AW270" s="1554"/>
    </row>
    <row r="271" spans="1:49" x14ac:dyDescent="0.3">
      <c r="A271" s="18"/>
      <c r="B271" s="18"/>
      <c r="C271" s="18"/>
      <c r="D271" s="1555"/>
      <c r="E271" s="1554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54"/>
      <c r="AW271" s="1554"/>
    </row>
    <row r="272" spans="1:49" x14ac:dyDescent="0.3">
      <c r="A272" s="18"/>
      <c r="B272" s="18"/>
      <c r="C272" s="18"/>
      <c r="D272" s="1555"/>
      <c r="E272" s="1554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54"/>
      <c r="AW272" s="1554"/>
    </row>
    <row r="273" spans="1:49" x14ac:dyDescent="0.3">
      <c r="A273" s="18"/>
      <c r="B273" s="18"/>
      <c r="C273" s="18"/>
      <c r="D273" s="1555"/>
      <c r="E273" s="1555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55"/>
      <c r="AW273" s="1555"/>
    </row>
    <row r="274" spans="1:49" x14ac:dyDescent="0.3">
      <c r="A274" s="18"/>
      <c r="B274" s="18"/>
      <c r="C274" s="18"/>
      <c r="D274" s="1556"/>
      <c r="E274" s="1557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53"/>
      <c r="AW274" s="1553"/>
    </row>
    <row r="275" spans="1:49" x14ac:dyDescent="0.3">
      <c r="A275" s="18"/>
      <c r="B275" s="18"/>
      <c r="C275" s="18"/>
      <c r="D275" s="1555"/>
      <c r="E275" s="1554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54"/>
      <c r="AW275" s="1554"/>
    </row>
    <row r="276" spans="1:49" x14ac:dyDescent="0.3">
      <c r="A276" s="18"/>
      <c r="B276" s="18"/>
      <c r="C276" s="18"/>
      <c r="D276" s="1555"/>
      <c r="E276" s="1554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54"/>
      <c r="AW276" s="1554"/>
    </row>
    <row r="277" spans="1:49" x14ac:dyDescent="0.3">
      <c r="A277" s="18"/>
      <c r="B277" s="18"/>
      <c r="C277" s="18"/>
      <c r="D277" s="1555"/>
      <c r="E277" s="1554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54"/>
      <c r="AW277" s="1554"/>
    </row>
    <row r="278" spans="1:49" x14ac:dyDescent="0.3">
      <c r="A278" s="18"/>
      <c r="B278" s="18"/>
      <c r="C278" s="18"/>
      <c r="D278" s="1555"/>
      <c r="E278" s="1554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54"/>
      <c r="AW278" s="1554"/>
    </row>
    <row r="279" spans="1:49" x14ac:dyDescent="0.3">
      <c r="A279" s="18"/>
      <c r="B279" s="18"/>
      <c r="C279" s="18"/>
      <c r="D279" s="1555"/>
      <c r="E279" s="1554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54"/>
      <c r="AW279" s="1554"/>
    </row>
    <row r="280" spans="1:49" x14ac:dyDescent="0.3">
      <c r="A280" s="18"/>
      <c r="B280" s="18"/>
      <c r="C280" s="18"/>
      <c r="D280" s="1555"/>
      <c r="E280" s="1554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54"/>
      <c r="AW280" s="1554"/>
    </row>
    <row r="281" spans="1:49" x14ac:dyDescent="0.3">
      <c r="A281" s="18"/>
      <c r="B281" s="18"/>
      <c r="C281" s="18"/>
      <c r="D281" s="1555"/>
      <c r="E281" s="1555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55"/>
      <c r="AW281" s="1555"/>
    </row>
    <row r="282" spans="1:49" x14ac:dyDescent="0.3">
      <c r="A282" s="18"/>
      <c r="B282" s="18"/>
      <c r="C282" s="18"/>
      <c r="D282" s="1556"/>
      <c r="E282" s="1557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53"/>
      <c r="AW282" s="1553"/>
    </row>
    <row r="283" spans="1:49" x14ac:dyDescent="0.3">
      <c r="A283" s="18"/>
      <c r="B283" s="18"/>
      <c r="C283" s="18"/>
      <c r="D283" s="1555"/>
      <c r="E283" s="1554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54"/>
      <c r="AW283" s="1554"/>
    </row>
    <row r="284" spans="1:49" x14ac:dyDescent="0.3">
      <c r="A284" s="18"/>
      <c r="B284" s="18"/>
      <c r="C284" s="18"/>
      <c r="D284" s="1555"/>
      <c r="E284" s="1554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54"/>
      <c r="AW284" s="1554"/>
    </row>
    <row r="285" spans="1:49" x14ac:dyDescent="0.3">
      <c r="A285" s="18"/>
      <c r="B285" s="18"/>
      <c r="C285" s="18"/>
      <c r="D285" s="1555"/>
      <c r="E285" s="1554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54"/>
      <c r="AW285" s="1554"/>
    </row>
    <row r="286" spans="1:49" x14ac:dyDescent="0.3">
      <c r="A286" s="18"/>
      <c r="B286" s="18"/>
      <c r="C286" s="18"/>
      <c r="D286" s="1555"/>
      <c r="E286" s="1554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54"/>
      <c r="AW286" s="1554"/>
    </row>
    <row r="287" spans="1:49" x14ac:dyDescent="0.3">
      <c r="A287" s="18"/>
      <c r="B287" s="18"/>
      <c r="C287" s="18"/>
      <c r="D287" s="1555"/>
      <c r="E287" s="1554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54"/>
      <c r="AW287" s="1554"/>
    </row>
    <row r="288" spans="1:49" x14ac:dyDescent="0.3">
      <c r="A288" s="18"/>
      <c r="B288" s="18"/>
      <c r="C288" s="18"/>
      <c r="D288" s="1555"/>
      <c r="E288" s="1554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54"/>
      <c r="AW288" s="1554"/>
    </row>
    <row r="289" spans="1:49" x14ac:dyDescent="0.3">
      <c r="A289" s="18"/>
      <c r="B289" s="18"/>
      <c r="C289" s="18"/>
      <c r="D289" s="1555"/>
      <c r="E289" s="1555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55"/>
      <c r="AW289" s="1555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82" t="s">
        <v>71</v>
      </c>
      <c r="E1" s="1582"/>
      <c r="F1" s="1582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3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9.1754098444175067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219" t="s">
        <v>587</v>
      </c>
      <c r="I2" s="1219"/>
      <c r="J2" s="1219"/>
      <c r="K2" s="1219"/>
      <c r="O2" s="1">
        <f>720+180</f>
        <v>900</v>
      </c>
    </row>
    <row r="4" spans="1:33" ht="29.4" thickBot="1" x14ac:dyDescent="0.35">
      <c r="A4" s="585" t="s">
        <v>544</v>
      </c>
      <c r="B4" s="1295" t="s">
        <v>0</v>
      </c>
      <c r="C4" s="1297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446">
        <v>1</v>
      </c>
      <c r="B5" s="1472">
        <v>46265</v>
      </c>
      <c r="C5" s="1473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04">
        <f>SUM(M5:M6)</f>
        <v>74.069659139999999</v>
      </c>
      <c r="O5" s="461">
        <f t="shared" ref="O5:O11" si="1">M5/((720-R5)/60)</f>
        <v>2.8865657961661344</v>
      </c>
      <c r="P5" s="1467">
        <f>'Milling Down Time Hours'!Q5</f>
        <v>22.433333333333334</v>
      </c>
      <c r="Q5" s="483"/>
      <c r="R5" s="466">
        <f>'Milling Down Time Hours'!P5</f>
        <v>94</v>
      </c>
      <c r="S5" s="1604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446"/>
      <c r="B6" s="1474"/>
      <c r="C6" s="1475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05"/>
      <c r="O6" s="461">
        <f t="shared" si="1"/>
        <v>3.6627629999999995</v>
      </c>
      <c r="P6" s="1608"/>
      <c r="Q6" s="524"/>
      <c r="R6" s="466">
        <v>0</v>
      </c>
      <c r="S6" s="1601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446"/>
      <c r="B7" s="1472">
        <v>46266</v>
      </c>
      <c r="C7" s="1473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04">
        <f>SUM(M7:M8)</f>
        <v>218.24394086000001</v>
      </c>
      <c r="O7" s="461">
        <f t="shared" si="1"/>
        <v>8.6932442900719415</v>
      </c>
      <c r="P7" s="1606">
        <f>'Milling Down Time Hours'!Q6</f>
        <v>22.9</v>
      </c>
      <c r="Q7" s="504"/>
      <c r="R7" s="466">
        <v>25</v>
      </c>
      <c r="S7" s="1601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446"/>
      <c r="B8" s="1474"/>
      <c r="C8" s="1475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05"/>
      <c r="O8" s="461">
        <f t="shared" si="1"/>
        <v>10.387086406480119</v>
      </c>
      <c r="P8" s="1607"/>
      <c r="Q8" s="504"/>
      <c r="R8" s="466">
        <v>41</v>
      </c>
      <c r="S8" s="1605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445">
        <v>2</v>
      </c>
      <c r="B9" s="1468">
        <v>46267</v>
      </c>
      <c r="C9" s="1469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02">
        <f>SUM(M9:M10)</f>
        <v>209.804</v>
      </c>
      <c r="O9" s="477">
        <f t="shared" si="1"/>
        <v>10.565099999999999</v>
      </c>
      <c r="P9" s="1617">
        <f>'Milling Down Time Hours'!Q7</f>
        <v>22</v>
      </c>
      <c r="Q9" s="492"/>
      <c r="R9" s="471">
        <f>'Milling Down Time Hours'!P7</f>
        <v>120.00000000000001</v>
      </c>
      <c r="S9" s="1602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445"/>
      <c r="B10" s="1470"/>
      <c r="C10" s="1471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03"/>
      <c r="O10" s="477">
        <f t="shared" si="1"/>
        <v>8.6794166666666666</v>
      </c>
      <c r="P10" s="1618"/>
      <c r="Q10" s="492"/>
      <c r="R10" s="471">
        <v>0</v>
      </c>
      <c r="S10" s="1615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445"/>
      <c r="B11" s="1468">
        <v>46268</v>
      </c>
      <c r="C11" s="1469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02">
        <f>SUM(M11:M12)</f>
        <v>90.338150000000013</v>
      </c>
      <c r="O11" s="477">
        <f t="shared" si="1"/>
        <v>8.2125590909090924</v>
      </c>
      <c r="P11" s="1623">
        <f>'Milling Down Time Hours'!Q8</f>
        <v>23</v>
      </c>
      <c r="Q11" s="529"/>
      <c r="R11" s="492">
        <v>60</v>
      </c>
      <c r="S11" s="1615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445"/>
      <c r="B12" s="1470"/>
      <c r="C12" s="1471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03"/>
      <c r="O12" s="477"/>
      <c r="P12" s="1624"/>
      <c r="Q12" s="531"/>
      <c r="R12" s="490">
        <v>720</v>
      </c>
      <c r="S12" s="1480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445"/>
      <c r="B13" s="1468">
        <v>46269</v>
      </c>
      <c r="C13" s="1469"/>
      <c r="D13" s="1609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17">
        <f>'Milling Down Time Hours'!Q9</f>
        <v>0</v>
      </c>
      <c r="Q13" s="514"/>
      <c r="R13" s="1617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445"/>
      <c r="B14" s="1613"/>
      <c r="C14" s="1614"/>
      <c r="D14" s="1610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25"/>
      <c r="Q14" s="492"/>
      <c r="R14" s="1626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21">
        <v>46270</v>
      </c>
      <c r="C15" s="1622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584">
        <v>3</v>
      </c>
      <c r="B16" s="1346">
        <v>46270</v>
      </c>
      <c r="C16" s="1346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67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584"/>
      <c r="B17" s="1346">
        <v>46271</v>
      </c>
      <c r="C17" s="1346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11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05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584"/>
      <c r="B18" s="1346"/>
      <c r="C18" s="1346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11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05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584"/>
      <c r="B19" s="1474">
        <v>46272</v>
      </c>
      <c r="C19" s="1475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12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06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445">
        <v>4</v>
      </c>
      <c r="B20" s="1619">
        <v>46272</v>
      </c>
      <c r="C20" s="1620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06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49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445"/>
      <c r="B21" s="1468">
        <v>46273</v>
      </c>
      <c r="C21" s="1469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02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49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445"/>
      <c r="B22" s="1470"/>
      <c r="C22" s="1471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16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49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445"/>
      <c r="B23" s="1468">
        <v>46274</v>
      </c>
      <c r="C23" s="1469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49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425">
        <v>46274</v>
      </c>
      <c r="C24" s="1426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446">
        <v>5</v>
      </c>
      <c r="B25" s="1472">
        <v>46275</v>
      </c>
      <c r="C25" s="1473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43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43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446"/>
      <c r="B26" s="1474"/>
      <c r="C26" s="1475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55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43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446"/>
      <c r="B27" s="1472">
        <v>46276</v>
      </c>
      <c r="C27" s="1473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67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43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338">
        <v>46276</v>
      </c>
      <c r="C28" s="1338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01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61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445">
        <v>6</v>
      </c>
      <c r="B29" s="1613">
        <v>46276</v>
      </c>
      <c r="C29" s="1614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15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445"/>
      <c r="B30" s="1468">
        <v>46277</v>
      </c>
      <c r="C30" s="1469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02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15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445"/>
      <c r="B31" s="1470"/>
      <c r="C31" s="1471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03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80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23">
        <v>46278</v>
      </c>
      <c r="C32" s="1424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92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25"/>
      <c r="C33" s="1426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93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72">
        <v>46279</v>
      </c>
      <c r="C34" s="147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04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74"/>
      <c r="C35" s="147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05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72">
        <v>46280</v>
      </c>
      <c r="C36" s="147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74"/>
      <c r="C37" s="147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72">
        <v>46281</v>
      </c>
      <c r="C38" s="147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74"/>
      <c r="C39" s="147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592"/>
      <c r="U39" s="1592"/>
      <c r="V39" s="1597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23">
        <v>46282</v>
      </c>
      <c r="C40" s="1424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593"/>
      <c r="U40" s="1593"/>
      <c r="V40" s="1598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425"/>
      <c r="C41" s="142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23">
        <v>46283</v>
      </c>
      <c r="C42" s="1424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25"/>
      <c r="C43" s="142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23">
        <v>46284</v>
      </c>
      <c r="C44" s="1424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25"/>
      <c r="C45" s="142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23">
        <v>46285</v>
      </c>
      <c r="C46" s="1424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25"/>
      <c r="C47" s="142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585"/>
      <c r="U47" s="1585"/>
      <c r="V47" s="1594"/>
      <c r="W47" s="159"/>
      <c r="X47" s="154"/>
      <c r="Y47" s="154"/>
    </row>
    <row r="48" spans="1:32" ht="15" thickBot="1" x14ac:dyDescent="0.35">
      <c r="B48" s="1423">
        <v>46286</v>
      </c>
      <c r="C48" s="1424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587"/>
      <c r="U48" s="1587"/>
      <c r="V48" s="1595"/>
      <c r="W48" s="159"/>
      <c r="X48" s="154"/>
      <c r="Y48" s="154"/>
    </row>
    <row r="49" spans="2:28" ht="15" thickBot="1" x14ac:dyDescent="0.35">
      <c r="B49" s="1425"/>
      <c r="C49" s="142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585"/>
      <c r="U49" s="1585"/>
      <c r="V49" s="1594"/>
      <c r="W49" s="159"/>
      <c r="X49" s="154"/>
      <c r="Y49" s="154"/>
    </row>
    <row r="50" spans="2:28" ht="15" thickBot="1" x14ac:dyDescent="0.35">
      <c r="B50" s="1423">
        <v>46287</v>
      </c>
      <c r="C50" s="1424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587"/>
      <c r="U50" s="1587"/>
      <c r="V50" s="1595"/>
      <c r="W50" s="159"/>
      <c r="X50" s="154"/>
      <c r="Y50" s="154"/>
    </row>
    <row r="51" spans="2:28" ht="15" thickBot="1" x14ac:dyDescent="0.35">
      <c r="B51" s="1425"/>
      <c r="C51" s="142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585"/>
      <c r="U51" s="1585"/>
      <c r="V51" s="1594"/>
      <c r="W51" s="159"/>
      <c r="X51" s="154"/>
      <c r="Y51" s="154"/>
    </row>
    <row r="52" spans="2:28" ht="15" thickBot="1" x14ac:dyDescent="0.35">
      <c r="B52" s="1423">
        <v>46288</v>
      </c>
      <c r="C52" s="1424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587"/>
      <c r="U52" s="1587"/>
      <c r="V52" s="1595"/>
      <c r="W52" s="159"/>
      <c r="X52" s="154"/>
      <c r="Y52" s="154"/>
    </row>
    <row r="53" spans="2:28" ht="15" thickBot="1" x14ac:dyDescent="0.35">
      <c r="B53" s="1425"/>
      <c r="C53" s="142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585"/>
      <c r="U53" s="1585"/>
      <c r="V53" s="1594"/>
      <c r="W53" s="159"/>
      <c r="X53" s="154"/>
      <c r="Y53" s="154"/>
    </row>
    <row r="54" spans="2:28" ht="15" thickBot="1" x14ac:dyDescent="0.35">
      <c r="B54" s="1423">
        <v>46289</v>
      </c>
      <c r="C54" s="1424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587"/>
      <c r="U54" s="1587"/>
      <c r="V54" s="1595"/>
      <c r="W54" s="159"/>
      <c r="X54" s="154"/>
      <c r="Y54" s="154"/>
      <c r="AB54" s="1">
        <v>9570</v>
      </c>
    </row>
    <row r="55" spans="2:28" ht="15" thickBot="1" x14ac:dyDescent="0.35">
      <c r="B55" s="1425"/>
      <c r="C55" s="142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585"/>
      <c r="U55" s="1585"/>
      <c r="V55" s="1594"/>
      <c r="W55" s="159"/>
      <c r="X55" s="154"/>
      <c r="Y55" s="154"/>
      <c r="AB55" s="1">
        <v>8795</v>
      </c>
    </row>
    <row r="56" spans="2:28" ht="15" thickBot="1" x14ac:dyDescent="0.35">
      <c r="B56" s="1423">
        <v>46290</v>
      </c>
      <c r="C56" s="1424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587"/>
      <c r="U56" s="1587"/>
      <c r="V56" s="1595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25"/>
      <c r="C57" s="142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585"/>
      <c r="U57" s="1585"/>
      <c r="V57" s="1594"/>
      <c r="W57" s="159"/>
      <c r="X57" s="154"/>
      <c r="Y57" s="154"/>
    </row>
    <row r="58" spans="2:28" ht="15" thickBot="1" x14ac:dyDescent="0.35">
      <c r="B58" s="1423">
        <v>46291</v>
      </c>
      <c r="C58" s="1424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587"/>
      <c r="U58" s="1587"/>
      <c r="V58" s="1595"/>
      <c r="W58" s="159"/>
      <c r="X58" s="154"/>
      <c r="Y58" s="154"/>
    </row>
    <row r="59" spans="2:28" ht="15" thickBot="1" x14ac:dyDescent="0.35">
      <c r="B59" s="1425"/>
      <c r="C59" s="142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585"/>
      <c r="U59" s="1585"/>
      <c r="V59" s="1594"/>
      <c r="W59" s="159"/>
      <c r="X59" s="154"/>
      <c r="Y59" s="154"/>
    </row>
    <row r="60" spans="2:28" ht="15" thickBot="1" x14ac:dyDescent="0.35">
      <c r="B60" s="1423">
        <v>46292</v>
      </c>
      <c r="C60" s="1424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587"/>
      <c r="U60" s="1587"/>
      <c r="V60" s="1595"/>
      <c r="W60" s="159"/>
      <c r="X60" s="154"/>
      <c r="Y60" s="154"/>
    </row>
    <row r="61" spans="2:28" ht="15" thickBot="1" x14ac:dyDescent="0.35">
      <c r="B61" s="1425"/>
      <c r="C61" s="142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585"/>
      <c r="U61" s="1585"/>
      <c r="V61" s="1594"/>
      <c r="W61" s="159"/>
      <c r="X61" s="154"/>
      <c r="Y61" s="154"/>
    </row>
    <row r="62" spans="2:28" ht="15" thickBot="1" x14ac:dyDescent="0.35">
      <c r="B62" s="1423">
        <v>46293</v>
      </c>
      <c r="C62" s="1424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587"/>
      <c r="U62" s="1587"/>
      <c r="V62" s="1595"/>
      <c r="W62" s="159"/>
      <c r="X62" s="154"/>
      <c r="Y62" s="154"/>
    </row>
    <row r="63" spans="2:28" ht="15" thickBot="1" x14ac:dyDescent="0.35">
      <c r="B63" s="1425"/>
      <c r="C63" s="142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588"/>
      <c r="U63" s="1588"/>
      <c r="V63" s="1590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23">
        <v>46294</v>
      </c>
      <c r="C64" s="1424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589"/>
      <c r="U64" s="1589"/>
      <c r="V64" s="1591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25"/>
      <c r="C65" s="142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588"/>
      <c r="U65" s="1588"/>
      <c r="V65" s="1599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23">
        <v>46295</v>
      </c>
      <c r="C66" s="1424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589"/>
      <c r="U66" s="1589"/>
      <c r="V66" s="1600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25"/>
      <c r="C67" s="142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588"/>
      <c r="U67" s="1588"/>
      <c r="V67" s="1599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23">
        <v>46296</v>
      </c>
      <c r="C68" s="1424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589"/>
      <c r="U68" s="1589"/>
      <c r="V68" s="1600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25"/>
      <c r="C69" s="142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588"/>
      <c r="U69" s="1588"/>
      <c r="V69" s="1590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23">
        <v>46297</v>
      </c>
      <c r="C70" s="1424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589"/>
      <c r="U70" s="1589"/>
      <c r="V70" s="1591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25"/>
      <c r="C71" s="142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588"/>
      <c r="U71" s="1588"/>
      <c r="V71" s="1590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23">
        <v>46298</v>
      </c>
      <c r="C72" s="1424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589"/>
      <c r="U72" s="1589"/>
      <c r="V72" s="1591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25"/>
      <c r="C73" s="142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588"/>
      <c r="U73" s="1588"/>
      <c r="V73" s="1590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23">
        <v>46299</v>
      </c>
      <c r="C74" s="1424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589"/>
      <c r="U74" s="1589"/>
      <c r="V74" s="1591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25"/>
      <c r="C75" s="142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585"/>
      <c r="U75" s="1585"/>
      <c r="V75" s="1594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23">
        <v>46300</v>
      </c>
      <c r="C76" s="1424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587"/>
      <c r="U76" s="1587"/>
      <c r="V76" s="1595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25"/>
      <c r="C77" s="142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588"/>
      <c r="U77" s="1588"/>
      <c r="V77" s="1590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23">
        <v>46301</v>
      </c>
      <c r="C78" s="1424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589"/>
      <c r="U78" s="1589"/>
      <c r="V78" s="1591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50"/>
      <c r="C79" s="1451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583">
        <f>'Milling Down Time Hours'!Q43</f>
        <v>0</v>
      </c>
      <c r="Q79" s="39"/>
      <c r="R79" s="1583">
        <f>'Milling Down Time Hours'!L85</f>
        <v>0</v>
      </c>
      <c r="S79" s="13"/>
      <c r="T79" s="1588">
        <v>0.35699999999999998</v>
      </c>
      <c r="U79" s="1588">
        <v>1.056</v>
      </c>
      <c r="V79" s="1590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50"/>
      <c r="C80" s="1451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583"/>
      <c r="Q80" s="39"/>
      <c r="R80" s="1583"/>
      <c r="S80" s="13"/>
      <c r="T80" s="1589"/>
      <c r="U80" s="1589"/>
      <c r="V80" s="1591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50"/>
      <c r="C81" s="1451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583">
        <f>'Milling Down Time Hours'!M87</f>
        <v>0</v>
      </c>
      <c r="Q81" s="39"/>
      <c r="R81" s="1583">
        <f>'Milling Down Time Hours'!L87</f>
        <v>0</v>
      </c>
      <c r="S81" s="13"/>
      <c r="T81" s="1585" t="e">
        <f>SUM(#REF!)</f>
        <v>#REF!</v>
      </c>
      <c r="U81" s="1585" t="e">
        <f t="shared" ref="U81" si="26">SUM(T81:T83)</f>
        <v>#REF!</v>
      </c>
      <c r="V81" s="1594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50"/>
      <c r="C82" s="1451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583"/>
      <c r="Q82" s="39"/>
      <c r="R82" s="1583"/>
      <c r="S82" s="13"/>
      <c r="T82" s="1587"/>
      <c r="U82" s="1587"/>
      <c r="V82" s="1595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50"/>
      <c r="C83" s="1451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583">
        <f>'Milling Down Time Hours'!M89</f>
        <v>0</v>
      </c>
      <c r="Q83" s="39"/>
      <c r="R83" s="1583">
        <f>'Milling Down Time Hours'!L89</f>
        <v>0</v>
      </c>
      <c r="S83" s="13"/>
      <c r="T83" s="1585" t="e">
        <f>SUM(#REF!)</f>
        <v>#REF!</v>
      </c>
      <c r="U83" s="1585" t="e">
        <f t="shared" ref="U83" si="28">SUM(T83:T85)</f>
        <v>#REF!</v>
      </c>
      <c r="V83" s="1594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50"/>
      <c r="C84" s="1451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583"/>
      <c r="Q84" s="39"/>
      <c r="R84" s="1583"/>
      <c r="S84" s="13"/>
      <c r="T84" s="1587"/>
      <c r="U84" s="1587"/>
      <c r="V84" s="1595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50"/>
      <c r="C85" s="1451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583">
        <f>'Milling Down Time Hours'!M91</f>
        <v>0</v>
      </c>
      <c r="Q85" s="39"/>
      <c r="R85" s="1583">
        <f>'Milling Down Time Hours'!L91</f>
        <v>0</v>
      </c>
      <c r="S85" s="13"/>
      <c r="T85" s="1585" t="e">
        <f>SUM(#REF!)</f>
        <v>#REF!</v>
      </c>
      <c r="U85" s="1585" t="e">
        <f t="shared" ref="U85" si="30">SUM(T85:T87)</f>
        <v>#REF!</v>
      </c>
      <c r="V85" s="1594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50"/>
      <c r="C86" s="1451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583"/>
      <c r="Q86" s="39"/>
      <c r="R86" s="1583"/>
      <c r="S86" s="13"/>
      <c r="T86" s="1587"/>
      <c r="U86" s="1587"/>
      <c r="V86" s="1595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50"/>
      <c r="C87" s="1451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583">
        <f>'Milling Down Time Hours'!M93</f>
        <v>0</v>
      </c>
      <c r="Q87" s="39"/>
      <c r="R87" s="1583">
        <f>'Milling Down Time Hours'!L93</f>
        <v>0</v>
      </c>
      <c r="S87" s="13"/>
      <c r="T87" s="1585" t="e">
        <f>SUM(#REF!)</f>
        <v>#REF!</v>
      </c>
      <c r="U87" s="1585" t="e">
        <f t="shared" ref="U87" si="32">SUM(T87:T89)</f>
        <v>#REF!</v>
      </c>
      <c r="V87" s="1594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50"/>
      <c r="C88" s="1451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583"/>
      <c r="Q88" s="39"/>
      <c r="R88" s="1583"/>
      <c r="S88" s="13"/>
      <c r="T88" s="1587"/>
      <c r="U88" s="1587"/>
      <c r="V88" s="1595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50"/>
      <c r="C89" s="1451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583">
        <f>'Milling Down Time Hours'!M95</f>
        <v>0</v>
      </c>
      <c r="Q89" s="39"/>
      <c r="R89" s="1583">
        <f>'Milling Down Time Hours'!L95</f>
        <v>0</v>
      </c>
      <c r="S89" s="13"/>
      <c r="T89" s="1585" t="e">
        <f>SUM(#REF!)</f>
        <v>#REF!</v>
      </c>
      <c r="U89" s="1585" t="e">
        <f t="shared" ref="U89" si="34">SUM(T89:T91)</f>
        <v>#REF!</v>
      </c>
      <c r="V89" s="1594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50"/>
      <c r="C90" s="1451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583"/>
      <c r="Q90" s="39"/>
      <c r="R90" s="1583"/>
      <c r="S90" s="13"/>
      <c r="T90" s="1587"/>
      <c r="U90" s="1587"/>
      <c r="V90" s="1595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50"/>
      <c r="C91" s="1451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583">
        <f>'Milling Down Time Hours'!M97</f>
        <v>0</v>
      </c>
      <c r="Q91" s="39"/>
      <c r="R91" s="1583">
        <f>'Milling Down Time Hours'!L97</f>
        <v>0</v>
      </c>
      <c r="S91" s="13"/>
      <c r="T91" s="1585" t="e">
        <f>SUM(#REF!)</f>
        <v>#REF!</v>
      </c>
      <c r="U91" s="1585" t="e">
        <f t="shared" ref="U91" si="36">SUM(T91:T93)</f>
        <v>#REF!</v>
      </c>
      <c r="V91" s="1594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50"/>
      <c r="C92" s="1451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583"/>
      <c r="Q92" s="39"/>
      <c r="R92" s="1583"/>
      <c r="S92" s="13"/>
      <c r="T92" s="1587"/>
      <c r="U92" s="1587"/>
      <c r="V92" s="1595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50"/>
      <c r="C93" s="1451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583">
        <f>'Milling Down Time Hours'!M99</f>
        <v>0</v>
      </c>
      <c r="Q93" s="39"/>
      <c r="R93" s="1583">
        <f>'Milling Down Time Hours'!L99</f>
        <v>0</v>
      </c>
      <c r="S93" s="13"/>
      <c r="T93" s="1585" t="e">
        <f>SUM(#REF!)</f>
        <v>#REF!</v>
      </c>
      <c r="U93" s="1585" t="e">
        <f t="shared" ref="U93" si="38">SUM(T93:T95)</f>
        <v>#REF!</v>
      </c>
      <c r="V93" s="1594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50"/>
      <c r="C94" s="1451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583"/>
      <c r="Q94" s="39"/>
      <c r="R94" s="1583"/>
      <c r="S94" s="13"/>
      <c r="T94" s="1587"/>
      <c r="U94" s="1587"/>
      <c r="V94" s="1595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50"/>
      <c r="C95" s="1451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583">
        <f>'Milling Down Time Hours'!M101</f>
        <v>0</v>
      </c>
      <c r="Q95" s="39"/>
      <c r="R95" s="1583">
        <f>'Milling Down Time Hours'!L101</f>
        <v>0</v>
      </c>
      <c r="S95" s="13"/>
      <c r="T95" s="1585" t="e">
        <f>SUM(#REF!)</f>
        <v>#REF!</v>
      </c>
      <c r="U95" s="1585" t="e">
        <f>SUM(T95:T99)</f>
        <v>#REF!</v>
      </c>
      <c r="V95" s="1594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50"/>
      <c r="C96" s="1451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583"/>
      <c r="Q96" s="39"/>
      <c r="R96" s="1583"/>
      <c r="S96" s="95"/>
      <c r="T96" s="1586"/>
      <c r="U96" s="1586"/>
      <c r="V96" s="1596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25"/>
      <c r="C97" s="142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2026-10-10T03:33:03Z</dcterms:modified>
</cp:coreProperties>
</file>