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comments5.xml" ContentType="application/vnd.openxmlformats-officedocument.spreadsheetml.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5600b6a99088\"/>
    </mc:Choice>
  </mc:AlternateContent>
  <xr:revisionPtr revIDLastSave="0" documentId="13_ncr:1_{FC75A1BF-F8CA-4274-ACF3-F0153D1CBF8C}" xr6:coauthVersionLast="47" xr6:coauthVersionMax="47" xr10:uidLastSave="{00000000-0000-0000-0000-000000000000}"/>
  <bookViews>
    <workbookView xWindow="-108" yWindow="-108" windowWidth="23256" windowHeight="12456" firstSheet="11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EW&amp;ELUTION" sheetId="25" r:id="rId16"/>
    <sheet name="DAILY SAMPLING MET TECH" sheetId="27" r:id="rId17"/>
    <sheet name="Leach Time Process&amp;Down Time" sheetId="11" r:id="rId18"/>
    <sheet name="Leaching" sheetId="3" r:id="rId19"/>
    <sheet name="Fuel Consumption" sheetId="6" r:id="rId20"/>
    <sheet name="Milling and Leach Feed_OLD" sheetId="4" r:id="rId21"/>
  </sheets>
  <externalReferences>
    <externalReference r:id="rId22"/>
  </externalReferences>
  <definedNames>
    <definedName name="_xlnm._FilterDatabase" localSheetId="10" hidden="1">'Rom File Inventory'!$X$302:$AA$322</definedName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D35" i="13" l="1"/>
  <c r="N147" i="21"/>
  <c r="M148" i="21"/>
  <c r="O148" i="21" s="1"/>
  <c r="H148" i="21"/>
  <c r="I148" i="21" s="1"/>
  <c r="Z148" i="21"/>
  <c r="J148" i="21"/>
  <c r="H147" i="21"/>
  <c r="O147" i="21"/>
  <c r="Q148" i="21"/>
  <c r="P148" i="21" s="1"/>
  <c r="R148" i="21"/>
  <c r="J147" i="21"/>
  <c r="Z147" i="21"/>
  <c r="M147" i="21"/>
  <c r="L129" i="5"/>
  <c r="F63" i="14"/>
  <c r="F64" i="14"/>
  <c r="F65" i="14"/>
  <c r="F66" i="14"/>
  <c r="F67" i="14"/>
  <c r="F68" i="14"/>
  <c r="N95" i="20"/>
  <c r="P95" i="20"/>
  <c r="N24" i="25"/>
  <c r="M26" i="25"/>
  <c r="M27" i="25"/>
  <c r="L26" i="25"/>
  <c r="M32" i="25"/>
  <c r="M33" i="25"/>
  <c r="M34" i="25"/>
  <c r="M35" i="25"/>
  <c r="N6" i="25"/>
  <c r="M28" i="25"/>
  <c r="M29" i="25"/>
  <c r="M30" i="25"/>
  <c r="M31" i="25"/>
  <c r="M25" i="25"/>
  <c r="M24" i="25"/>
  <c r="AR34" i="13"/>
  <c r="AT34" i="13" s="1"/>
  <c r="AL34" i="13"/>
  <c r="AD34" i="13"/>
  <c r="AE34" i="13"/>
  <c r="AB34" i="13"/>
  <c r="AC34" i="13"/>
  <c r="AA34" i="13"/>
  <c r="Y34" i="13"/>
  <c r="Z34" i="13"/>
  <c r="X34" i="13"/>
  <c r="X138" i="21"/>
  <c r="U140" i="21"/>
  <c r="V140" i="21"/>
  <c r="T140" i="21"/>
  <c r="U138" i="21"/>
  <c r="V138" i="21"/>
  <c r="T138" i="21"/>
  <c r="U135" i="21"/>
  <c r="V135" i="21"/>
  <c r="T135" i="21"/>
  <c r="U134" i="21"/>
  <c r="V134" i="21"/>
  <c r="T134" i="21"/>
  <c r="U133" i="21"/>
  <c r="V133" i="21"/>
  <c r="T133" i="21"/>
  <c r="N94" i="20"/>
  <c r="P94" i="20"/>
  <c r="R147" i="21"/>
  <c r="Q147" i="21" s="1"/>
  <c r="P147" i="21" s="1"/>
  <c r="G129" i="5"/>
  <c r="M146" i="21"/>
  <c r="H146" i="21"/>
  <c r="AJ6" i="5"/>
  <c r="AH6" i="5"/>
  <c r="AI6" i="5"/>
  <c r="P65" i="5"/>
  <c r="P64" i="5"/>
  <c r="P63" i="5"/>
  <c r="P62" i="5"/>
  <c r="P61" i="5"/>
  <c r="Q61" i="5" s="1"/>
  <c r="R61" i="5" s="1"/>
  <c r="P60" i="5"/>
  <c r="P59" i="5"/>
  <c r="Q58" i="5"/>
  <c r="P58" i="5"/>
  <c r="R58" i="5" s="1"/>
  <c r="P57" i="5"/>
  <c r="P56" i="5"/>
  <c r="Q56" i="5" s="1"/>
  <c r="R56" i="5" s="1"/>
  <c r="P55" i="5"/>
  <c r="P54" i="5"/>
  <c r="P53" i="5"/>
  <c r="Q60" i="5"/>
  <c r="R60" i="5" s="1"/>
  <c r="P50" i="5"/>
  <c r="Q50" i="5" s="1"/>
  <c r="R50" i="5" s="1"/>
  <c r="Q57" i="5"/>
  <c r="R57" i="5" s="1"/>
  <c r="P51" i="5"/>
  <c r="Q51" i="5"/>
  <c r="R51" i="5"/>
  <c r="S51" i="5"/>
  <c r="P52" i="5"/>
  <c r="S52" i="5" s="1"/>
  <c r="Q52" i="5"/>
  <c r="R52" i="5"/>
  <c r="Q53" i="5"/>
  <c r="R53" i="5" s="1"/>
  <c r="S53" i="5"/>
  <c r="Q54" i="5"/>
  <c r="R54" i="5"/>
  <c r="S54" i="5"/>
  <c r="P49" i="5"/>
  <c r="Q49" i="5" s="1"/>
  <c r="R49" i="5" s="1"/>
  <c r="Q59" i="5"/>
  <c r="R59" i="5" s="1"/>
  <c r="P48" i="5"/>
  <c r="P36" i="5"/>
  <c r="P19" i="5"/>
  <c r="P18" i="5"/>
  <c r="AL113" i="13"/>
  <c r="AM113" i="13"/>
  <c r="AN113" i="13"/>
  <c r="AO103" i="13"/>
  <c r="AO104" i="13"/>
  <c r="AO105" i="13"/>
  <c r="AO106" i="13"/>
  <c r="AO107" i="13"/>
  <c r="AO108" i="13"/>
  <c r="AO109" i="13"/>
  <c r="AO113" i="13" s="1"/>
  <c r="AO111" i="13"/>
  <c r="AO102" i="13"/>
  <c r="AH103" i="13"/>
  <c r="AH104" i="13"/>
  <c r="AH105" i="13"/>
  <c r="AH106" i="13"/>
  <c r="AH107" i="13"/>
  <c r="AH108" i="13"/>
  <c r="AH109" i="13"/>
  <c r="AH110" i="13"/>
  <c r="AH111" i="13"/>
  <c r="AH112" i="13"/>
  <c r="AH102" i="13"/>
  <c r="Z112" i="13"/>
  <c r="AA102" i="13"/>
  <c r="AA103" i="13"/>
  <c r="AA104" i="13"/>
  <c r="AA105" i="13"/>
  <c r="AA106" i="13"/>
  <c r="AA107" i="13"/>
  <c r="AA108" i="13"/>
  <c r="AA109" i="13"/>
  <c r="AA110" i="13"/>
  <c r="AA111" i="13"/>
  <c r="AA101" i="13"/>
  <c r="AA112" i="13" s="1"/>
  <c r="N37" i="13"/>
  <c r="N36" i="13"/>
  <c r="L37" i="13"/>
  <c r="L36" i="13"/>
  <c r="N93" i="20"/>
  <c r="P93" i="20"/>
  <c r="Z146" i="21"/>
  <c r="J146" i="21"/>
  <c r="Z144" i="21"/>
  <c r="J144" i="21" s="1"/>
  <c r="Z145" i="21"/>
  <c r="J145" i="21" s="1"/>
  <c r="I42" i="12"/>
  <c r="H43" i="12"/>
  <c r="H179" i="1"/>
  <c r="F179" i="1"/>
  <c r="F180" i="1"/>
  <c r="K14" i="12"/>
  <c r="M6" i="25"/>
  <c r="U36" i="13"/>
  <c r="AA12" i="12"/>
  <c r="AA10" i="12"/>
  <c r="N92" i="20"/>
  <c r="P92" i="20"/>
  <c r="N91" i="20"/>
  <c r="P91" i="20"/>
  <c r="N157" i="21" l="1"/>
  <c r="I146" i="21"/>
  <c r="I147" i="21"/>
  <c r="Q55" i="5"/>
  <c r="R55" i="5" s="1"/>
  <c r="S55" i="5"/>
  <c r="K16" i="13"/>
  <c r="N16" i="13"/>
  <c r="T16" i="13"/>
  <c r="U16" i="13"/>
  <c r="V16" i="13"/>
  <c r="AR16" i="13" s="1"/>
  <c r="X16" i="13"/>
  <c r="Y16" i="13"/>
  <c r="Z16" i="13"/>
  <c r="AG16" i="13"/>
  <c r="Z143" i="21"/>
  <c r="J143" i="21" s="1"/>
  <c r="H143" i="21" s="1"/>
  <c r="AU79" i="13"/>
  <c r="H26" i="15"/>
  <c r="AG30" i="13" s="1"/>
  <c r="AM104" i="13" s="1"/>
  <c r="N35" i="13"/>
  <c r="L35" i="13"/>
  <c r="T132" i="21"/>
  <c r="U132" i="21"/>
  <c r="V132" i="21"/>
  <c r="U130" i="21"/>
  <c r="V130" i="21"/>
  <c r="Z33" i="13" s="1"/>
  <c r="AK109" i="13" s="1"/>
  <c r="T130" i="21"/>
  <c r="Z142" i="21"/>
  <c r="J142" i="21" s="1"/>
  <c r="Z141" i="21"/>
  <c r="J141" i="21" s="1"/>
  <c r="N89" i="20"/>
  <c r="N90" i="20"/>
  <c r="P89" i="20"/>
  <c r="P90" i="20"/>
  <c r="U35" i="13"/>
  <c r="O37" i="13" s="1"/>
  <c r="N87" i="20"/>
  <c r="N88" i="20"/>
  <c r="P88" i="20" s="1"/>
  <c r="P87" i="20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7" i="25"/>
  <c r="G30" i="15"/>
  <c r="AF34" i="13" s="1"/>
  <c r="AL108" i="13" s="1"/>
  <c r="Z140" i="21"/>
  <c r="J140" i="21" s="1"/>
  <c r="AG34" i="13"/>
  <c r="AM108" i="13" s="1"/>
  <c r="AF35" i="13"/>
  <c r="AG35" i="13"/>
  <c r="AH35" i="13"/>
  <c r="AF31" i="13"/>
  <c r="AL105" i="13" s="1"/>
  <c r="AH31" i="13"/>
  <c r="AN105" i="13" s="1"/>
  <c r="AF32" i="13"/>
  <c r="AL106" i="13" s="1"/>
  <c r="AG32" i="13"/>
  <c r="AM106" i="13" s="1"/>
  <c r="AH32" i="13"/>
  <c r="AN106" i="13" s="1"/>
  <c r="H30" i="15"/>
  <c r="I30" i="15"/>
  <c r="AH34" i="13" s="1"/>
  <c r="AN108" i="13" s="1"/>
  <c r="H29" i="15"/>
  <c r="AG33" i="13" s="1"/>
  <c r="AM107" i="13" s="1"/>
  <c r="I29" i="15"/>
  <c r="AH33" i="13" s="1"/>
  <c r="AN107" i="13" s="1"/>
  <c r="G29" i="15"/>
  <c r="AF33" i="13" s="1"/>
  <c r="AL107" i="13" s="1"/>
  <c r="H28" i="15"/>
  <c r="I28" i="15"/>
  <c r="G28" i="15"/>
  <c r="H27" i="15"/>
  <c r="AG31" i="13" s="1"/>
  <c r="AM105" i="13" s="1"/>
  <c r="I27" i="15"/>
  <c r="G27" i="15"/>
  <c r="I26" i="15"/>
  <c r="AH30" i="13" s="1"/>
  <c r="AN104" i="13" s="1"/>
  <c r="G26" i="15"/>
  <c r="AF30" i="13" s="1"/>
  <c r="AL104" i="13" s="1"/>
  <c r="AF29" i="13"/>
  <c r="AL103" i="13" s="1"/>
  <c r="AI35" i="13"/>
  <c r="AO110" i="13" s="1"/>
  <c r="Z139" i="21"/>
  <c r="J139" i="21" s="1"/>
  <c r="H139" i="21" s="1"/>
  <c r="N84" i="20"/>
  <c r="N85" i="20"/>
  <c r="N86" i="20"/>
  <c r="N83" i="20"/>
  <c r="P84" i="20"/>
  <c r="P85" i="20"/>
  <c r="P86" i="20"/>
  <c r="AA7" i="1"/>
  <c r="I140" i="1"/>
  <c r="I139" i="1"/>
  <c r="N32" i="13"/>
  <c r="N34" i="13"/>
  <c r="U128" i="21"/>
  <c r="L34" i="13"/>
  <c r="Z138" i="21"/>
  <c r="J138" i="21" s="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O36" i="13" s="1"/>
  <c r="D82" i="2"/>
  <c r="N33" i="13"/>
  <c r="V33" i="13" s="1"/>
  <c r="U33" i="13"/>
  <c r="Z136" i="21"/>
  <c r="J136" i="21" s="1"/>
  <c r="H136" i="21" s="1"/>
  <c r="H138" i="21" s="1"/>
  <c r="Z135" i="21"/>
  <c r="J135" i="21" s="1"/>
  <c r="U129" i="21"/>
  <c r="V129" i="21"/>
  <c r="T129" i="21"/>
  <c r="L33" i="13"/>
  <c r="Z134" i="21"/>
  <c r="J134" i="21" s="1"/>
  <c r="BE80" i="13"/>
  <c r="T128" i="21"/>
  <c r="Z119" i="21"/>
  <c r="Z129" i="21"/>
  <c r="Z133" i="21"/>
  <c r="AA113" i="21"/>
  <c r="V128" i="21"/>
  <c r="J133" i="21"/>
  <c r="G113" i="5"/>
  <c r="R131" i="21" s="1"/>
  <c r="Q131" i="21" s="1"/>
  <c r="P131" i="21" s="1"/>
  <c r="O131" i="21" s="1"/>
  <c r="J131" i="21"/>
  <c r="Z132" i="21"/>
  <c r="J132" i="21" s="1"/>
  <c r="N79" i="20"/>
  <c r="N78" i="20"/>
  <c r="U32" i="13"/>
  <c r="T126" i="21"/>
  <c r="T125" i="21"/>
  <c r="J126" i="21"/>
  <c r="U127" i="21"/>
  <c r="V127" i="21"/>
  <c r="T127" i="21"/>
  <c r="V126" i="21"/>
  <c r="U125" i="21"/>
  <c r="V125" i="21"/>
  <c r="U124" i="21"/>
  <c r="V124" i="21"/>
  <c r="T124" i="21"/>
  <c r="T123" i="21"/>
  <c r="N30" i="13"/>
  <c r="L32" i="13"/>
  <c r="L31" i="13"/>
  <c r="Z130" i="21"/>
  <c r="J130" i="21" s="1"/>
  <c r="G111" i="5"/>
  <c r="J111" i="5" s="1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AM103" i="13" s="1"/>
  <c r="I25" i="15"/>
  <c r="AH29" i="13" s="1"/>
  <c r="AN103" i="13" s="1"/>
  <c r="G24" i="15"/>
  <c r="G25" i="15"/>
  <c r="L30" i="13"/>
  <c r="N29" i="13"/>
  <c r="AA115" i="21"/>
  <c r="U30" i="13"/>
  <c r="A30" i="13"/>
  <c r="K20" i="13"/>
  <c r="R126" i="21" l="1"/>
  <c r="Q126" i="21" s="1"/>
  <c r="P126" i="21" s="1"/>
  <c r="C31" i="13" s="1"/>
  <c r="W105" i="13" s="1"/>
  <c r="K111" i="5"/>
  <c r="AB111" i="13"/>
  <c r="AG112" i="13"/>
  <c r="AF112" i="13"/>
  <c r="AB110" i="13"/>
  <c r="AG111" i="13"/>
  <c r="M139" i="21"/>
  <c r="M136" i="21"/>
  <c r="H144" i="21"/>
  <c r="O35" i="13"/>
  <c r="O34" i="13"/>
  <c r="M133" i="21"/>
  <c r="M143" i="21"/>
  <c r="K140" i="1"/>
  <c r="M140" i="1" s="1"/>
  <c r="L140" i="1"/>
  <c r="N140" i="1" s="1"/>
  <c r="L139" i="1"/>
  <c r="K139" i="1"/>
  <c r="M139" i="1" s="1"/>
  <c r="Y30" i="13"/>
  <c r="AJ106" i="13" s="1"/>
  <c r="Y33" i="13"/>
  <c r="AJ109" i="13" s="1"/>
  <c r="X32" i="13"/>
  <c r="AI108" i="13" s="1"/>
  <c r="X33" i="13"/>
  <c r="AI109" i="13" s="1"/>
  <c r="H140" i="21"/>
  <c r="X30" i="13"/>
  <c r="AI106" i="13" s="1"/>
  <c r="Z32" i="13"/>
  <c r="AK108" i="13" s="1"/>
  <c r="X31" i="13"/>
  <c r="AI107" i="13" s="1"/>
  <c r="Y32" i="13"/>
  <c r="AJ108" i="13" s="1"/>
  <c r="Y31" i="13"/>
  <c r="AJ107" i="13" s="1"/>
  <c r="Z31" i="13"/>
  <c r="AK107" i="13" s="1"/>
  <c r="O32" i="13"/>
  <c r="M130" i="21"/>
  <c r="W130" i="21" s="1"/>
  <c r="O33" i="13"/>
  <c r="H133" i="21"/>
  <c r="H130" i="21"/>
  <c r="H125" i="21"/>
  <c r="H126" i="21" s="1"/>
  <c r="Z30" i="13"/>
  <c r="AK106" i="13" s="1"/>
  <c r="M127" i="21"/>
  <c r="W127" i="21" s="1"/>
  <c r="V31" i="13"/>
  <c r="H128" i="21"/>
  <c r="L29" i="13"/>
  <c r="N72" i="20"/>
  <c r="J118" i="21"/>
  <c r="J124" i="21"/>
  <c r="J121" i="21"/>
  <c r="G105" i="5"/>
  <c r="Z322" i="12"/>
  <c r="AA9" i="12"/>
  <c r="AA13" i="12" s="1"/>
  <c r="D173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F167" i="12" s="1"/>
  <c r="Y133" i="21" l="1"/>
  <c r="W133" i="21"/>
  <c r="R124" i="21"/>
  <c r="Q124" i="21" s="1"/>
  <c r="P124" i="21" s="1"/>
  <c r="AF111" i="13"/>
  <c r="AB109" i="13"/>
  <c r="AG110" i="13"/>
  <c r="AG109" i="13"/>
  <c r="AF110" i="13"/>
  <c r="AB108" i="13"/>
  <c r="AG107" i="13"/>
  <c r="AB106" i="13"/>
  <c r="AF108" i="13"/>
  <c r="AF109" i="13"/>
  <c r="AB107" i="13"/>
  <c r="AG108" i="13"/>
  <c r="M144" i="21"/>
  <c r="M140" i="21"/>
  <c r="M138" i="21"/>
  <c r="W138" i="21" s="1"/>
  <c r="H145" i="21"/>
  <c r="M134" i="21"/>
  <c r="Y130" i="21"/>
  <c r="X130" i="21"/>
  <c r="M132" i="21"/>
  <c r="W132" i="21" s="1"/>
  <c r="AA33" i="13" s="1"/>
  <c r="H141" i="21"/>
  <c r="H134" i="21"/>
  <c r="H132" i="21"/>
  <c r="H124" i="21"/>
  <c r="I124" i="21" s="1"/>
  <c r="X127" i="21"/>
  <c r="Y127" i="21"/>
  <c r="M128" i="21"/>
  <c r="W128" i="21" s="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J41" i="12"/>
  <c r="J40" i="12"/>
  <c r="H24" i="15"/>
  <c r="AG28" i="13" s="1"/>
  <c r="AM102" i="13" s="1"/>
  <c r="I24" i="15"/>
  <c r="AH28" i="13" s="1"/>
  <c r="AN102" i="13" s="1"/>
  <c r="AF28" i="13"/>
  <c r="AL102" i="13" s="1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M145" i="21" l="1"/>
  <c r="S143" i="21"/>
  <c r="N133" i="21"/>
  <c r="X133" i="21" s="1"/>
  <c r="X134" i="21"/>
  <c r="Y134" i="21"/>
  <c r="W134" i="21"/>
  <c r="H142" i="21"/>
  <c r="AG105" i="13"/>
  <c r="AF106" i="13"/>
  <c r="AB104" i="13"/>
  <c r="N143" i="21"/>
  <c r="N145" i="21"/>
  <c r="S136" i="21"/>
  <c r="N137" i="21"/>
  <c r="M141" i="21"/>
  <c r="N139" i="21"/>
  <c r="M135" i="21"/>
  <c r="AL30" i="13"/>
  <c r="AP30" i="13"/>
  <c r="AM30" i="13"/>
  <c r="N131" i="21"/>
  <c r="Y132" i="21"/>
  <c r="AC33" i="13" s="1"/>
  <c r="AN33" i="13" s="1"/>
  <c r="X132" i="21"/>
  <c r="AB33" i="13" s="1"/>
  <c r="S130" i="21"/>
  <c r="M121" i="21"/>
  <c r="M125" i="21"/>
  <c r="O31" i="13"/>
  <c r="M129" i="21"/>
  <c r="H135" i="21"/>
  <c r="Y171" i="17"/>
  <c r="N127" i="21"/>
  <c r="Y156" i="21"/>
  <c r="K105" i="5"/>
  <c r="X29" i="13"/>
  <c r="AI105" i="13" s="1"/>
  <c r="Z29" i="13"/>
  <c r="Y29" i="13"/>
  <c r="Y128" i="21"/>
  <c r="X128" i="21"/>
  <c r="Y156" i="17"/>
  <c r="W156" i="21"/>
  <c r="Y28" i="13"/>
  <c r="W118" i="21"/>
  <c r="Z27" i="13"/>
  <c r="Y27" i="13"/>
  <c r="H122" i="21"/>
  <c r="H123" i="21" s="1"/>
  <c r="Z26" i="13"/>
  <c r="Y26" i="13"/>
  <c r="H119" i="21"/>
  <c r="H120" i="21" s="1"/>
  <c r="Y165" i="17"/>
  <c r="Q171" i="17"/>
  <c r="Y183" i="17"/>
  <c r="Q165" i="17"/>
  <c r="X28" i="13"/>
  <c r="AI104" i="13" s="1"/>
  <c r="Z28" i="13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S133" i="21" l="1"/>
  <c r="W135" i="21"/>
  <c r="X135" i="21"/>
  <c r="Y135" i="21"/>
  <c r="AP31" i="13"/>
  <c r="AF107" i="13"/>
  <c r="AB105" i="13"/>
  <c r="AG106" i="13"/>
  <c r="S91" i="13"/>
  <c r="AK105" i="13"/>
  <c r="R91" i="13"/>
  <c r="AJ105" i="13"/>
  <c r="R90" i="13"/>
  <c r="AJ104" i="13"/>
  <c r="S89" i="13"/>
  <c r="AK103" i="13"/>
  <c r="R89" i="13"/>
  <c r="AJ103" i="13"/>
  <c r="S88" i="13"/>
  <c r="AK102" i="13"/>
  <c r="R88" i="13"/>
  <c r="AJ102" i="13"/>
  <c r="S90" i="13"/>
  <c r="AK104" i="13"/>
  <c r="Q89" i="13"/>
  <c r="AI103" i="13"/>
  <c r="Q88" i="13"/>
  <c r="AI102" i="13"/>
  <c r="AB102" i="13"/>
  <c r="AG103" i="13"/>
  <c r="AF104" i="13"/>
  <c r="M142" i="21"/>
  <c r="S139" i="21" s="1"/>
  <c r="N135" i="21"/>
  <c r="BE30" i="13"/>
  <c r="BA30" i="13" s="1"/>
  <c r="AU30" i="13"/>
  <c r="W129" i="21"/>
  <c r="AA32" i="13" s="1"/>
  <c r="AD32" i="13" s="1"/>
  <c r="X129" i="21"/>
  <c r="AB32" i="13" s="1"/>
  <c r="AE33" i="13"/>
  <c r="AD33" i="13"/>
  <c r="X121" i="21"/>
  <c r="M122" i="21"/>
  <c r="W122" i="21" s="1"/>
  <c r="Y121" i="21"/>
  <c r="W121" i="21"/>
  <c r="AB121" i="21" s="1"/>
  <c r="D31" i="13"/>
  <c r="X105" i="13" s="1"/>
  <c r="AL31" i="13"/>
  <c r="AM31" i="13"/>
  <c r="AU31" i="13" s="1"/>
  <c r="O125" i="21"/>
  <c r="W125" i="21"/>
  <c r="X125" i="21"/>
  <c r="Y125" i="21"/>
  <c r="M126" i="21"/>
  <c r="W126" i="21" s="1"/>
  <c r="N129" i="21"/>
  <c r="Y129" i="21"/>
  <c r="AC32" i="13" s="1"/>
  <c r="AN32" i="13" s="1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J113" i="13" l="1"/>
  <c r="AI113" i="13"/>
  <c r="AK113" i="13"/>
  <c r="AB101" i="13"/>
  <c r="AG102" i="13"/>
  <c r="AF103" i="13"/>
  <c r="N141" i="21"/>
  <c r="AE32" i="13"/>
  <c r="M123" i="21"/>
  <c r="M124" i="21" s="1"/>
  <c r="S121" i="21" s="1"/>
  <c r="N125" i="21"/>
  <c r="O126" i="21"/>
  <c r="AA31" i="13"/>
  <c r="AD31" i="13" s="1"/>
  <c r="S125" i="21"/>
  <c r="M120" i="21"/>
  <c r="S118" i="21" s="1"/>
  <c r="Y115" i="21"/>
  <c r="M116" i="21"/>
  <c r="M117" i="21" s="1"/>
  <c r="W115" i="21"/>
  <c r="X115" i="21"/>
  <c r="AL28" i="13"/>
  <c r="AM28" i="13"/>
  <c r="H113" i="21"/>
  <c r="N123" i="21" l="1"/>
  <c r="W124" i="21"/>
  <c r="X124" i="21"/>
  <c r="Y124" i="21"/>
  <c r="AE31" i="13"/>
  <c r="Y123" i="21"/>
  <c r="W123" i="2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AF102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Q30" i="13"/>
  <c r="AO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F105" i="13" l="1"/>
  <c r="AB103" i="13"/>
  <c r="AG104" i="13"/>
  <c r="AA30" i="13"/>
  <c r="AN35" i="13"/>
  <c r="AM35" i="13"/>
  <c r="AL35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 s="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AV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G85" i="5"/>
  <c r="J85" i="5" s="1"/>
  <c r="K85" i="5" s="1"/>
  <c r="G86" i="5"/>
  <c r="J86" i="5"/>
  <c r="K86" i="5" s="1"/>
  <c r="G87" i="5"/>
  <c r="J87" i="5" s="1"/>
  <c r="G88" i="5"/>
  <c r="G89" i="5"/>
  <c r="G90" i="5"/>
  <c r="J90" i="5" s="1"/>
  <c r="K90" i="5" s="1"/>
  <c r="G91" i="5"/>
  <c r="G92" i="5"/>
  <c r="R112" i="21" s="1"/>
  <c r="Q112" i="21" s="1"/>
  <c r="P112" i="21" s="1"/>
  <c r="G93" i="5"/>
  <c r="G94" i="5"/>
  <c r="G95" i="5"/>
  <c r="G96" i="5"/>
  <c r="G97" i="5"/>
  <c r="G98" i="5"/>
  <c r="G99" i="5"/>
  <c r="G100" i="5"/>
  <c r="G101" i="5"/>
  <c r="G102" i="5"/>
  <c r="G103" i="5"/>
  <c r="G104" i="5"/>
  <c r="G106" i="5"/>
  <c r="J107" i="5"/>
  <c r="K107" i="5" s="1"/>
  <c r="G108" i="5"/>
  <c r="G109" i="5"/>
  <c r="G110" i="5"/>
  <c r="G112" i="5"/>
  <c r="J113" i="5"/>
  <c r="G114" i="5"/>
  <c r="G115" i="5"/>
  <c r="G116" i="5"/>
  <c r="G117" i="5"/>
  <c r="G118" i="5"/>
  <c r="G119" i="5"/>
  <c r="J119" i="5" s="1"/>
  <c r="G120" i="5"/>
  <c r="G121" i="5"/>
  <c r="G122" i="5"/>
  <c r="G123" i="5"/>
  <c r="G124" i="5"/>
  <c r="G125" i="5"/>
  <c r="G126" i="5"/>
  <c r="G127" i="5"/>
  <c r="R145" i="21" s="1"/>
  <c r="Q145" i="21" s="1"/>
  <c r="P145" i="21" s="1"/>
  <c r="O145" i="21" s="1"/>
  <c r="J127" i="5"/>
  <c r="K127" i="5" s="1"/>
  <c r="G128" i="5"/>
  <c r="J129" i="5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 s="1"/>
  <c r="K139" i="5" s="1"/>
  <c r="G140" i="5"/>
  <c r="J140" i="5" s="1"/>
  <c r="K140" i="5" s="1"/>
  <c r="G141" i="5"/>
  <c r="J141" i="5" s="1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 s="1"/>
  <c r="G146" i="5"/>
  <c r="J146" i="5"/>
  <c r="K146" i="5" s="1"/>
  <c r="G147" i="5"/>
  <c r="J147" i="5" s="1"/>
  <c r="K147" i="5" s="1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 s="1"/>
  <c r="K155" i="5" s="1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 s="1"/>
  <c r="K167" i="5" s="1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 s="1"/>
  <c r="G173" i="5"/>
  <c r="J173" i="5" s="1"/>
  <c r="K173" i="5" s="1"/>
  <c r="G174" i="5"/>
  <c r="J174" i="5"/>
  <c r="K174" i="5" s="1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 s="1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R104" i="21" l="1"/>
  <c r="Q104" i="21" s="1"/>
  <c r="P104" i="21" s="1"/>
  <c r="J84" i="5"/>
  <c r="K84" i="5" s="1"/>
  <c r="J93" i="5"/>
  <c r="S59" i="5"/>
  <c r="S60" i="5"/>
  <c r="R116" i="21"/>
  <c r="Q116" i="21" s="1"/>
  <c r="P116" i="21" s="1"/>
  <c r="S62" i="5"/>
  <c r="Q62" i="5"/>
  <c r="R62" i="5" s="1"/>
  <c r="S63" i="5"/>
  <c r="Q63" i="5"/>
  <c r="R63" i="5" s="1"/>
  <c r="S64" i="5"/>
  <c r="Q64" i="5"/>
  <c r="R64" i="5" s="1"/>
  <c r="S65" i="5"/>
  <c r="Q65" i="5"/>
  <c r="R65" i="5" s="1"/>
  <c r="S66" i="5"/>
  <c r="S67" i="5"/>
  <c r="S68" i="5"/>
  <c r="J104" i="5"/>
  <c r="K104" i="5" s="1"/>
  <c r="S74" i="5"/>
  <c r="R135" i="21"/>
  <c r="Q135" i="21" s="1"/>
  <c r="P135" i="21" s="1"/>
  <c r="J117" i="5"/>
  <c r="K117" i="5" s="1"/>
  <c r="R127" i="21"/>
  <c r="Q127" i="21" s="1"/>
  <c r="P127" i="21" s="1"/>
  <c r="J108" i="5"/>
  <c r="J112" i="5"/>
  <c r="R130" i="21"/>
  <c r="Q130" i="21" s="1"/>
  <c r="P130" i="21" s="1"/>
  <c r="J114" i="5"/>
  <c r="K114" i="5" s="1"/>
  <c r="R132" i="21"/>
  <c r="Q132" i="21" s="1"/>
  <c r="P132" i="21" s="1"/>
  <c r="J115" i="5"/>
  <c r="R133" i="21"/>
  <c r="Q133" i="21" s="1"/>
  <c r="P133" i="21" s="1"/>
  <c r="J116" i="5"/>
  <c r="K116" i="5" s="1"/>
  <c r="R134" i="21"/>
  <c r="Q134" i="21" s="1"/>
  <c r="P134" i="21" s="1"/>
  <c r="J118" i="5"/>
  <c r="R136" i="21"/>
  <c r="Q136" i="21" s="1"/>
  <c r="P136" i="21" s="1"/>
  <c r="K119" i="5"/>
  <c r="J120" i="5"/>
  <c r="R138" i="21"/>
  <c r="Q138" i="21" s="1"/>
  <c r="P138" i="21" s="1"/>
  <c r="J121" i="5"/>
  <c r="R139" i="21"/>
  <c r="Q139" i="21" s="1"/>
  <c r="P139" i="21" s="1"/>
  <c r="J122" i="5"/>
  <c r="K122" i="5" s="1"/>
  <c r="R140" i="21"/>
  <c r="Q140" i="21" s="1"/>
  <c r="P140" i="21" s="1"/>
  <c r="J123" i="5"/>
  <c r="R141" i="21"/>
  <c r="Q141" i="21" s="1"/>
  <c r="P141" i="21" s="1"/>
  <c r="J124" i="5"/>
  <c r="K124" i="5" s="1"/>
  <c r="R142" i="21"/>
  <c r="Q142" i="21" s="1"/>
  <c r="P142" i="21" s="1"/>
  <c r="J125" i="5"/>
  <c r="K125" i="5" s="1"/>
  <c r="R143" i="21"/>
  <c r="Q143" i="21" s="1"/>
  <c r="P143" i="21" s="1"/>
  <c r="J126" i="5"/>
  <c r="R144" i="21"/>
  <c r="Q144" i="21" s="1"/>
  <c r="P144" i="21" s="1"/>
  <c r="AB112" i="13"/>
  <c r="AB114" i="13"/>
  <c r="J128" i="5"/>
  <c r="R146" i="21"/>
  <c r="Q146" i="21" s="1"/>
  <c r="P146" i="21" s="1"/>
  <c r="I145" i="21"/>
  <c r="AE30" i="13"/>
  <c r="AD30" i="13"/>
  <c r="K126" i="5"/>
  <c r="L125" i="5"/>
  <c r="AO24" i="13"/>
  <c r="K113" i="5"/>
  <c r="L113" i="5"/>
  <c r="AD29" i="13"/>
  <c r="J110" i="5"/>
  <c r="K110" i="5" s="1"/>
  <c r="R129" i="21"/>
  <c r="Q129" i="21" s="1"/>
  <c r="P129" i="21" s="1"/>
  <c r="K108" i="5"/>
  <c r="L107" i="5"/>
  <c r="J109" i="5"/>
  <c r="K109" i="5" s="1"/>
  <c r="R128" i="21"/>
  <c r="Q128" i="21" s="1"/>
  <c r="P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R110" i="21"/>
  <c r="Q110" i="21" s="1"/>
  <c r="P110" i="21" s="1"/>
  <c r="O110" i="21" s="1"/>
  <c r="P43" i="5"/>
  <c r="R106" i="21"/>
  <c r="Q106" i="21" s="1"/>
  <c r="P106" i="21" s="1"/>
  <c r="I106" i="21" s="1"/>
  <c r="J95" i="5"/>
  <c r="R115" i="21"/>
  <c r="Q115" i="21" s="1"/>
  <c r="P115" i="21" s="1"/>
  <c r="J94" i="5"/>
  <c r="K94" i="5" s="1"/>
  <c r="R114" i="21"/>
  <c r="Q114" i="21" s="1"/>
  <c r="P114" i="21" s="1"/>
  <c r="I114" i="21" s="1"/>
  <c r="P47" i="5"/>
  <c r="P39" i="5"/>
  <c r="J101" i="5"/>
  <c r="R121" i="21"/>
  <c r="Q121" i="21" s="1"/>
  <c r="P121" i="21" s="1"/>
  <c r="P42" i="5"/>
  <c r="K87" i="5"/>
  <c r="R107" i="21"/>
  <c r="Q107" i="21" s="1"/>
  <c r="P107" i="21" s="1"/>
  <c r="I107" i="21" s="1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W110" i="21"/>
  <c r="AA26" i="13" s="1"/>
  <c r="AE26" i="13" s="1"/>
  <c r="J91" i="5"/>
  <c r="L91" i="5" s="1"/>
  <c r="H103" i="21"/>
  <c r="H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I104" i="21" l="1"/>
  <c r="I116" i="21"/>
  <c r="O116" i="21"/>
  <c r="S61" i="5"/>
  <c r="S69" i="5"/>
  <c r="S71" i="5"/>
  <c r="S70" i="5"/>
  <c r="S73" i="5"/>
  <c r="S72" i="5"/>
  <c r="O135" i="21"/>
  <c r="I135" i="21"/>
  <c r="K118" i="5"/>
  <c r="L117" i="5"/>
  <c r="K120" i="5"/>
  <c r="L119" i="5"/>
  <c r="S43" i="5"/>
  <c r="Q43" i="5"/>
  <c r="R43" i="5" s="1"/>
  <c r="C30" i="13"/>
  <c r="O127" i="21"/>
  <c r="I127" i="21"/>
  <c r="L111" i="5"/>
  <c r="K112" i="5"/>
  <c r="O130" i="21"/>
  <c r="I130" i="21"/>
  <c r="C33" i="13"/>
  <c r="O132" i="21"/>
  <c r="I132" i="21"/>
  <c r="L115" i="5"/>
  <c r="K115" i="5"/>
  <c r="I133" i="21"/>
  <c r="O133" i="21"/>
  <c r="C34" i="13"/>
  <c r="I134" i="21"/>
  <c r="O134" i="21"/>
  <c r="O136" i="21"/>
  <c r="I136" i="21"/>
  <c r="C35" i="13"/>
  <c r="O138" i="21"/>
  <c r="Y138" i="21" s="1"/>
  <c r="I138" i="21"/>
  <c r="L121" i="5"/>
  <c r="K121" i="5"/>
  <c r="O139" i="21"/>
  <c r="C36" i="13"/>
  <c r="I139" i="21"/>
  <c r="O140" i="21"/>
  <c r="I140" i="21"/>
  <c r="L123" i="5"/>
  <c r="K123" i="5"/>
  <c r="O141" i="21"/>
  <c r="I141" i="21"/>
  <c r="O142" i="21"/>
  <c r="I142" i="21"/>
  <c r="O143" i="21"/>
  <c r="I143" i="21"/>
  <c r="C37" i="13"/>
  <c r="O144" i="21"/>
  <c r="I144" i="21"/>
  <c r="C32" i="13"/>
  <c r="L127" i="5"/>
  <c r="K128" i="5"/>
  <c r="O146" i="21"/>
  <c r="I128" i="2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K73" i="5"/>
  <c r="L73" i="5"/>
  <c r="C26" i="13"/>
  <c r="D26" i="13" s="1"/>
  <c r="Q46" i="5"/>
  <c r="S46" i="5"/>
  <c r="K95" i="5"/>
  <c r="L95" i="5"/>
  <c r="S49" i="5"/>
  <c r="S40" i="5"/>
  <c r="Q40" i="5"/>
  <c r="Q39" i="5"/>
  <c r="S39" i="5"/>
  <c r="Q44" i="5"/>
  <c r="S44" i="5"/>
  <c r="K97" i="5"/>
  <c r="L97" i="5"/>
  <c r="K75" i="5"/>
  <c r="L75" i="5"/>
  <c r="S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I113" i="21"/>
  <c r="K83" i="5"/>
  <c r="L83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W103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S56" i="5"/>
  <c r="Q48" i="5"/>
  <c r="S48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A24" i="13" s="1"/>
  <c r="BE25" i="13"/>
  <c r="BA25" i="13" s="1"/>
  <c r="BE26" i="13"/>
  <c r="BA26" i="13" s="1"/>
  <c r="BE27" i="13"/>
  <c r="BA27" i="13" s="1"/>
  <c r="BE28" i="13"/>
  <c r="BA28" i="13" s="1"/>
  <c r="BF28" i="13"/>
  <c r="BB28" i="13" s="1"/>
  <c r="BE29" i="13"/>
  <c r="BA29" i="13" s="1"/>
  <c r="BF30" i="13"/>
  <c r="BB30" i="13" s="1"/>
  <c r="BE31" i="13"/>
  <c r="BA31" i="13" s="1"/>
  <c r="BF31" i="13"/>
  <c r="BB31" i="13" s="1"/>
  <c r="BE32" i="13"/>
  <c r="BA32" i="13" s="1"/>
  <c r="BF32" i="13"/>
  <c r="BB32" i="13" s="1"/>
  <c r="BE33" i="13"/>
  <c r="BA33" i="13" s="1"/>
  <c r="BF33" i="13"/>
  <c r="BB33" i="13" s="1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J50" i="21"/>
  <c r="J51" i="21"/>
  <c r="U48" i="21"/>
  <c r="V48" i="21"/>
  <c r="K11" i="13"/>
  <c r="K12" i="13"/>
  <c r="K13" i="13"/>
  <c r="K14" i="13"/>
  <c r="K15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W107" i="13" l="1"/>
  <c r="D33" i="13"/>
  <c r="X107" i="13" s="1"/>
  <c r="W106" i="13"/>
  <c r="D32" i="13"/>
  <c r="X106" i="13" s="1"/>
  <c r="W104" i="13"/>
  <c r="D30" i="13"/>
  <c r="X104" i="13" s="1"/>
  <c r="D34" i="13"/>
  <c r="X108" i="13" s="1"/>
  <c r="W108" i="13"/>
  <c r="D35" i="13"/>
  <c r="X109" i="13" s="1"/>
  <c r="W109" i="13"/>
  <c r="D36" i="13"/>
  <c r="X110" i="13" s="1"/>
  <c r="W110" i="13"/>
  <c r="D37" i="13"/>
  <c r="X111" i="13" s="1"/>
  <c r="W111" i="13"/>
  <c r="D27" i="13"/>
  <c r="X101" i="13" s="1"/>
  <c r="W101" i="13"/>
  <c r="D28" i="13"/>
  <c r="X102" i="13" s="1"/>
  <c r="W102" i="13"/>
  <c r="L96" i="1"/>
  <c r="K96" i="1"/>
  <c r="M96" i="1" s="1"/>
  <c r="K99" i="1"/>
  <c r="M99" i="1" s="1"/>
  <c r="L99" i="1"/>
  <c r="AA27" i="13"/>
  <c r="D29" i="13"/>
  <c r="X103" i="13" s="1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W112" i="13" l="1"/>
  <c r="X112" i="13"/>
  <c r="BF29" i="13"/>
  <c r="BB29" i="13" s="1"/>
  <c r="BF26" i="13"/>
  <c r="BB26" i="13" s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BB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G45" i="5"/>
  <c r="J59" i="5"/>
  <c r="K59" i="5"/>
  <c r="J60" i="5"/>
  <c r="K60" i="5" s="1"/>
  <c r="G14" i="5"/>
  <c r="U36" i="21"/>
  <c r="V36" i="21"/>
  <c r="U35" i="21"/>
  <c r="V35" i="21"/>
  <c r="T35" i="21"/>
  <c r="Z38" i="21"/>
  <c r="J38" i="21" s="1"/>
  <c r="J37" i="21"/>
  <c r="J36" i="21"/>
  <c r="Q16" i="21"/>
  <c r="P16" i="21" s="1"/>
  <c r="G11" i="5"/>
  <c r="G10" i="5"/>
  <c r="J10" i="5" s="1"/>
  <c r="K10" i="5" s="1"/>
  <c r="G7" i="5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AG14" i="13"/>
  <c r="AH84" i="13" s="1"/>
  <c r="AH14" i="13"/>
  <c r="AI84" i="13" s="1"/>
  <c r="AF14" i="13"/>
  <c r="AG84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AH83" i="13" s="1"/>
  <c r="I9" i="15"/>
  <c r="AH13" i="13" s="1"/>
  <c r="AI83" i="13" s="1"/>
  <c r="G9" i="15"/>
  <c r="AF13" i="13" s="1"/>
  <c r="AG83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V34" i="13"/>
  <c r="BD34" i="13" s="1"/>
  <c r="V35" i="13"/>
  <c r="AR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AH82" i="13" s="1"/>
  <c r="I8" i="15"/>
  <c r="AH12" i="13" s="1"/>
  <c r="AI82" i="13" s="1"/>
  <c r="G8" i="15"/>
  <c r="AF12" i="13" s="1"/>
  <c r="AG8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AH81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AH80" i="13"/>
  <c r="AI80" i="13"/>
  <c r="L6" i="11"/>
  <c r="AC15" i="7"/>
  <c r="R44" i="5"/>
  <c r="R45" i="5"/>
  <c r="R46" i="5"/>
  <c r="R47" i="5"/>
  <c r="R4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 s="1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G56" i="5"/>
  <c r="R58" i="21" s="1"/>
  <c r="G57" i="5"/>
  <c r="G50" i="5"/>
  <c r="R51" i="21" s="1"/>
  <c r="G49" i="5"/>
  <c r="G51" i="5"/>
  <c r="P28" i="5" s="1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G20" i="5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R23" i="4" l="1"/>
  <c r="J23" i="5"/>
  <c r="K23" i="5" s="1"/>
  <c r="C23" i="13"/>
  <c r="D23" i="13" s="1"/>
  <c r="R7" i="21"/>
  <c r="J7" i="5"/>
  <c r="J55" i="5"/>
  <c r="K55" i="5" s="1"/>
  <c r="P30" i="5"/>
  <c r="R20" i="21"/>
  <c r="J20" i="5"/>
  <c r="K20" i="5" s="1"/>
  <c r="BD33" i="13"/>
  <c r="AT33" i="13"/>
  <c r="M8" i="12"/>
  <c r="J43" i="12"/>
  <c r="AF11" i="13"/>
  <c r="AG81" i="13" s="1"/>
  <c r="AZ22" i="13"/>
  <c r="T157" i="21"/>
  <c r="R35" i="21"/>
  <c r="Q35" i="21" s="1"/>
  <c r="R27" i="4"/>
  <c r="P27" i="4" s="1"/>
  <c r="J29" i="5"/>
  <c r="K29" i="5" s="1"/>
  <c r="R11" i="20"/>
  <c r="W8" i="17"/>
  <c r="AT40" i="13"/>
  <c r="AT22" i="13"/>
  <c r="V11" i="13"/>
  <c r="AR11" i="13" s="1"/>
  <c r="O11" i="13"/>
  <c r="AT53" i="13"/>
  <c r="O10" i="13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S18" i="5"/>
  <c r="Q19" i="5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Q35" i="5" s="1"/>
  <c r="J67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Q28" i="5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Z82" i="13" s="1"/>
  <c r="Z81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AA80" i="13" s="1"/>
  <c r="Y12" i="13"/>
  <c r="Z10" i="13"/>
  <c r="S72" i="13" s="1"/>
  <c r="V99" i="4"/>
  <c r="U99" i="4"/>
  <c r="T99" i="4"/>
  <c r="X5" i="4"/>
  <c r="AB10" i="13" s="1"/>
  <c r="AM10" i="13" s="1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Z83" i="13" s="1"/>
  <c r="M25" i="21"/>
  <c r="U14" i="13"/>
  <c r="O16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W64" i="21"/>
  <c r="AB64" i="21" s="1"/>
  <c r="Y77" i="21"/>
  <c r="Y85" i="21"/>
  <c r="I6" i="21"/>
  <c r="X64" i="21"/>
  <c r="AB21" i="13" s="1"/>
  <c r="W78" i="21"/>
  <c r="AB78" i="21" s="1"/>
  <c r="H8" i="21"/>
  <c r="Y78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H48" i="21"/>
  <c r="AA10" i="13"/>
  <c r="H28" i="21"/>
  <c r="I28" i="21" s="1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AI81" i="13"/>
  <c r="AI87" i="13" s="1"/>
  <c r="X32" i="4"/>
  <c r="H26" i="21"/>
  <c r="W24" i="4"/>
  <c r="AH87" i="13"/>
  <c r="V10" i="13"/>
  <c r="AR10" i="13" s="1"/>
  <c r="W10" i="13"/>
  <c r="Z80" i="13"/>
  <c r="W11" i="13"/>
  <c r="M20" i="4"/>
  <c r="Y36" i="4"/>
  <c r="O36" i="4"/>
  <c r="W36" i="4"/>
  <c r="H18" i="4"/>
  <c r="I18" i="4" s="1"/>
  <c r="AO10" i="13"/>
  <c r="AG80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Q7" i="21" l="1"/>
  <c r="I7" i="21"/>
  <c r="Q20" i="21"/>
  <c r="I20" i="21"/>
  <c r="P20" i="21"/>
  <c r="O20" i="21" s="1"/>
  <c r="AZ26" i="13"/>
  <c r="AZ28" i="13"/>
  <c r="AZ30" i="13"/>
  <c r="AZ32" i="13"/>
  <c r="AZ25" i="13"/>
  <c r="AZ29" i="13"/>
  <c r="AZ27" i="13"/>
  <c r="AZ31" i="13"/>
  <c r="AZ33" i="13"/>
  <c r="AO16" i="13"/>
  <c r="AQ16" i="13"/>
  <c r="AP16" i="13"/>
  <c r="AN16" i="13"/>
  <c r="AM16" i="13"/>
  <c r="AL16" i="13"/>
  <c r="K179" i="1"/>
  <c r="L179" i="1"/>
  <c r="M6" i="1"/>
  <c r="M179" i="1" s="1"/>
  <c r="N6" i="1"/>
  <c r="Q72" i="13"/>
  <c r="AL10" i="13"/>
  <c r="BD10" i="13" s="1"/>
  <c r="AO11" i="13"/>
  <c r="BM11" i="13" s="1"/>
  <c r="BP11" i="13" s="1"/>
  <c r="AG87" i="13"/>
  <c r="AF60" i="13"/>
  <c r="P35" i="21"/>
  <c r="Q27" i="4"/>
  <c r="I21" i="21"/>
  <c r="Q25" i="21"/>
  <c r="I25" i="21"/>
  <c r="Q19" i="21"/>
  <c r="Q21" i="21"/>
  <c r="O25" i="21"/>
  <c r="AC82" i="13"/>
  <c r="S74" i="13"/>
  <c r="O15" i="13"/>
  <c r="X28" i="4"/>
  <c r="AB84" i="13"/>
  <c r="R76" i="13"/>
  <c r="AC84" i="13"/>
  <c r="S76" i="13"/>
  <c r="M17" i="4"/>
  <c r="O16" i="4"/>
  <c r="AB81" i="13"/>
  <c r="R73" i="13"/>
  <c r="AB85" i="13"/>
  <c r="R77" i="13"/>
  <c r="AA81" i="13"/>
  <c r="Q73" i="13"/>
  <c r="AA85" i="13"/>
  <c r="Q77" i="13"/>
  <c r="AA83" i="13"/>
  <c r="Q75" i="13"/>
  <c r="AB80" i="13"/>
  <c r="R72" i="13"/>
  <c r="AC83" i="13"/>
  <c r="S75" i="13"/>
  <c r="AA84" i="13"/>
  <c r="Q76" i="13"/>
  <c r="AC85" i="13"/>
  <c r="S77" i="13"/>
  <c r="AO12" i="13"/>
  <c r="BM12" i="13" s="1"/>
  <c r="AB82" i="13"/>
  <c r="R74" i="13"/>
  <c r="AB83" i="13"/>
  <c r="R75" i="13"/>
  <c r="N16" i="4"/>
  <c r="AA82" i="13"/>
  <c r="Q74" i="13"/>
  <c r="AC81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Q36" i="5"/>
  <c r="S33" i="5"/>
  <c r="Q33" i="5"/>
  <c r="R33" i="5" s="1"/>
  <c r="L52" i="7" s="1"/>
  <c r="N52" i="7" s="1"/>
  <c r="Q5" i="5"/>
  <c r="Q22" i="21"/>
  <c r="S35" i="5"/>
  <c r="S21" i="5"/>
  <c r="Q21" i="5"/>
  <c r="J38" i="7" s="1"/>
  <c r="Q18" i="5"/>
  <c r="R18" i="5" s="1"/>
  <c r="L37" i="7" s="1"/>
  <c r="N37" i="7" s="1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N26" i="1"/>
  <c r="C17" i="7" s="1"/>
  <c r="AA21" i="13"/>
  <c r="O25" i="4"/>
  <c r="Y25" i="4"/>
  <c r="M21" i="4"/>
  <c r="Y21" i="4" s="1"/>
  <c r="AQ19" i="13"/>
  <c r="W12" i="13"/>
  <c r="W13" i="13" s="1"/>
  <c r="W14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AE10" i="13"/>
  <c r="AP70" i="13"/>
  <c r="AR69" i="13"/>
  <c r="M38" i="21"/>
  <c r="M39" i="21" s="1"/>
  <c r="Y39" i="21" s="1"/>
  <c r="H57" i="21"/>
  <c r="H58" i="21" s="1"/>
  <c r="M55" i="21"/>
  <c r="M56" i="21" s="1"/>
  <c r="X56" i="21" s="1"/>
  <c r="O20" i="13"/>
  <c r="AR67" i="13"/>
  <c r="AC80" i="13"/>
  <c r="H37" i="21"/>
  <c r="I37" i="21" s="1"/>
  <c r="AQ68" i="13"/>
  <c r="AN13" i="13"/>
  <c r="AM13" i="13"/>
  <c r="AL11" i="13"/>
  <c r="M26" i="21"/>
  <c r="M27" i="21" s="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91" i="5"/>
  <c r="P92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Z84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Y16" i="21"/>
  <c r="X16" i="21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C26" i="7"/>
  <c r="C29" i="7"/>
  <c r="G14" i="7"/>
  <c r="H14" i="7" s="1"/>
  <c r="E14" i="7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W25" i="4"/>
  <c r="N25" i="4"/>
  <c r="X99" i="4"/>
  <c r="AM17" i="13"/>
  <c r="AL17" i="13"/>
  <c r="AN17" i="13"/>
  <c r="X25" i="4"/>
  <c r="Y20" i="4"/>
  <c r="W20" i="4"/>
  <c r="AU10" i="13"/>
  <c r="BE10" i="13"/>
  <c r="AD11" i="13"/>
  <c r="AE11" i="13"/>
  <c r="AN10" i="13"/>
  <c r="H22" i="4"/>
  <c r="I22" i="4" s="1"/>
  <c r="C16" i="13" l="1"/>
  <c r="D16" i="13" s="1"/>
  <c r="R5" i="5"/>
  <c r="L24" i="7" s="1"/>
  <c r="N24" i="7" s="1"/>
  <c r="J24" i="7"/>
  <c r="P5" i="21"/>
  <c r="W15" i="13"/>
  <c r="Z85" i="13"/>
  <c r="AP15" i="13"/>
  <c r="M18" i="4"/>
  <c r="N179" i="1"/>
  <c r="N180" i="1"/>
  <c r="C7" i="7"/>
  <c r="AT11" i="13"/>
  <c r="AN15" i="13"/>
  <c r="E63" i="13"/>
  <c r="E64" i="13" s="1"/>
  <c r="AO15" i="13"/>
  <c r="BM15" i="13" s="1"/>
  <c r="BP15" i="13" s="1"/>
  <c r="V12" i="5"/>
  <c r="BN11" i="13"/>
  <c r="BO11" i="13" s="1"/>
  <c r="H35" i="4"/>
  <c r="M35" i="4" s="1"/>
  <c r="X18" i="4"/>
  <c r="O18" i="4"/>
  <c r="BD12" i="13"/>
  <c r="AM15" i="13"/>
  <c r="X17" i="4"/>
  <c r="AL15" i="13"/>
  <c r="W17" i="4"/>
  <c r="Z17" i="4" s="1"/>
  <c r="AA98" i="4" s="1"/>
  <c r="W99" i="4"/>
  <c r="Y17" i="4"/>
  <c r="AQ15" i="13"/>
  <c r="W21" i="4"/>
  <c r="X21" i="4"/>
  <c r="W29" i="4"/>
  <c r="M30" i="4"/>
  <c r="X30" i="4" s="1"/>
  <c r="Y29" i="4"/>
  <c r="N29" i="4"/>
  <c r="X29" i="4"/>
  <c r="P5" i="4"/>
  <c r="C13" i="13"/>
  <c r="D13" i="13" s="1"/>
  <c r="O5" i="4"/>
  <c r="J34" i="7"/>
  <c r="R35" i="5"/>
  <c r="L54" i="7" s="1"/>
  <c r="N54" i="7" s="1"/>
  <c r="P63" i="4"/>
  <c r="P65" i="4"/>
  <c r="R36" i="5"/>
  <c r="L55" i="7" s="1"/>
  <c r="N55" i="7" s="1"/>
  <c r="J35" i="7"/>
  <c r="P35" i="4"/>
  <c r="R21" i="5"/>
  <c r="L40" i="7" s="1"/>
  <c r="N40" i="7" s="1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I29" i="4"/>
  <c r="AA26" i="2"/>
  <c r="Z27" i="2" s="1"/>
  <c r="Z28" i="2" s="1"/>
  <c r="P7" i="4"/>
  <c r="J25" i="7"/>
  <c r="P7" i="21"/>
  <c r="O9" i="4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C18" i="13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E20" i="7"/>
  <c r="E17" i="7"/>
  <c r="G17" i="7"/>
  <c r="H17" i="7" s="1"/>
  <c r="G10" i="7"/>
  <c r="H10" i="7" s="1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N35" i="21"/>
  <c r="M40" i="21"/>
  <c r="M41" i="21" s="1"/>
  <c r="X38" i="21"/>
  <c r="W39" i="21"/>
  <c r="AB39" i="21" s="1"/>
  <c r="X39" i="21"/>
  <c r="I57" i="21"/>
  <c r="O38" i="21"/>
  <c r="Y38" i="21"/>
  <c r="BE12" i="13"/>
  <c r="BA12" i="13" s="1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N38" i="21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91" i="5"/>
  <c r="BF12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91" i="5"/>
  <c r="M51" i="21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X17" i="21"/>
  <c r="H19" i="21"/>
  <c r="I19" i="21" s="1"/>
  <c r="Y17" i="21"/>
  <c r="N17" i="21"/>
  <c r="W17" i="21"/>
  <c r="AB17" i="21" s="1"/>
  <c r="E27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AT17" i="13"/>
  <c r="S25" i="4"/>
  <c r="AV10" i="13"/>
  <c r="BF10" i="13"/>
  <c r="BA10" i="13"/>
  <c r="C10" i="13" l="1"/>
  <c r="D10" i="13" s="1"/>
  <c r="N17" i="4"/>
  <c r="M19" i="4"/>
  <c r="W16" i="13"/>
  <c r="W17" i="13"/>
  <c r="Y18" i="4"/>
  <c r="W18" i="4"/>
  <c r="G7" i="7"/>
  <c r="C76" i="7"/>
  <c r="C77" i="7"/>
  <c r="X87" i="7" s="1"/>
  <c r="E7" i="7"/>
  <c r="E77" i="7" s="1"/>
  <c r="X88" i="7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BF15" i="13"/>
  <c r="BB17" i="13" s="1"/>
  <c r="AB35" i="21"/>
  <c r="W30" i="4"/>
  <c r="BD15" i="13"/>
  <c r="AZ21" i="13" s="1"/>
  <c r="BN15" i="13"/>
  <c r="BO15" i="13" s="1"/>
  <c r="I35" i="4"/>
  <c r="AB12" i="13"/>
  <c r="AU15" i="13"/>
  <c r="BE15" i="13"/>
  <c r="AB23" i="13"/>
  <c r="AT15" i="13"/>
  <c r="AC23" i="13"/>
  <c r="AN23" i="13" s="1"/>
  <c r="AV23" i="13" s="1"/>
  <c r="AA101" i="4"/>
  <c r="AA102" i="4"/>
  <c r="O30" i="4"/>
  <c r="Y30" i="4"/>
  <c r="AV15" i="13"/>
  <c r="O34" i="4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H51" i="21"/>
  <c r="H52" i="21" s="1"/>
  <c r="I52" i="21" s="1"/>
  <c r="BD20" i="13"/>
  <c r="AT20" i="13"/>
  <c r="AU20" i="13"/>
  <c r="O23" i="21"/>
  <c r="N23" i="21"/>
  <c r="X23" i="21"/>
  <c r="W23" i="21"/>
  <c r="AB23" i="21" s="1"/>
  <c r="Y23" i="21"/>
  <c r="E65" i="13"/>
  <c r="D19" i="13"/>
  <c r="M52" i="21"/>
  <c r="O52" i="21" s="1"/>
  <c r="R91" i="5"/>
  <c r="S92" i="5"/>
  <c r="P99" i="4"/>
  <c r="Q92" i="5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H45" i="21"/>
  <c r="I45" i="21" s="1"/>
  <c r="I44" i="21"/>
  <c r="Y35" i="4"/>
  <c r="X35" i="4"/>
  <c r="O35" i="4"/>
  <c r="W35" i="4"/>
  <c r="N34" i="4"/>
  <c r="BB10" i="13"/>
  <c r="BB12" i="13" s="1"/>
  <c r="BB14" i="13"/>
  <c r="S16" i="4" l="1"/>
  <c r="Y19" i="4"/>
  <c r="AC13" i="13" s="1"/>
  <c r="O19" i="4"/>
  <c r="X19" i="4"/>
  <c r="AB13" i="13" s="1"/>
  <c r="W19" i="4"/>
  <c r="N19" i="4"/>
  <c r="AC12" i="13"/>
  <c r="H7" i="7"/>
  <c r="H76" i="7" s="1"/>
  <c r="G76" i="7"/>
  <c r="G83" i="7" s="1"/>
  <c r="G77" i="7"/>
  <c r="BB15" i="13"/>
  <c r="AA16" i="13"/>
  <c r="AB16" i="13"/>
  <c r="AZ15" i="13"/>
  <c r="AZ19" i="13"/>
  <c r="AZ17" i="13"/>
  <c r="BA17" i="13"/>
  <c r="BA15" i="13"/>
  <c r="BA21" i="13"/>
  <c r="BA19" i="13"/>
  <c r="BF23" i="13"/>
  <c r="BB23" i="13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BB24" i="13" s="1"/>
  <c r="AD23" i="13"/>
  <c r="AE23" i="13"/>
  <c r="D12" i="13"/>
  <c r="X59" i="21"/>
  <c r="Y58" i="21"/>
  <c r="AC20" i="13" s="1"/>
  <c r="AN20" i="13" s="1"/>
  <c r="AV20" i="13" s="1"/>
  <c r="W59" i="21"/>
  <c r="S56" i="21"/>
  <c r="N57" i="21"/>
  <c r="X58" i="21"/>
  <c r="AB20" i="13" s="1"/>
  <c r="I51" i="21"/>
  <c r="R92" i="5"/>
  <c r="H53" i="21"/>
  <c r="I53" i="21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N102" i="4" l="1"/>
  <c r="AA13" i="13"/>
  <c r="AA12" i="13"/>
  <c r="AE16" i="13"/>
  <c r="AD16" i="13"/>
  <c r="AD15" i="13"/>
  <c r="AE15" i="13"/>
  <c r="S28" i="21"/>
  <c r="N30" i="21"/>
  <c r="X31" i="21"/>
  <c r="W31" i="21"/>
  <c r="AB31" i="21" s="1"/>
  <c r="O31" i="21"/>
  <c r="Y31" i="21"/>
  <c r="AA20" i="13"/>
  <c r="AE20" i="13" s="1"/>
  <c r="AB59" i="21"/>
  <c r="BF20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AE13" i="13" l="1"/>
  <c r="AD13" i="13"/>
  <c r="AD12" i="13"/>
  <c r="AE12" i="13"/>
  <c r="AD20" i="13"/>
  <c r="AB19" i="13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D27" i="13"/>
  <c r="AE27" i="13"/>
  <c r="BF27" i="13" l="1"/>
  <c r="BB27" i="13" s="1"/>
  <c r="I126" i="21"/>
  <c r="I157" i="21" s="1"/>
  <c r="J67" i="13"/>
  <c r="M77" i="13" s="1"/>
  <c r="C61" i="13"/>
  <c r="C60" i="13"/>
  <c r="AC86" i="13"/>
  <c r="AC87" i="13" s="1"/>
  <c r="AA86" i="13"/>
  <c r="AA87" i="13" s="1"/>
  <c r="AB86" i="13"/>
  <c r="AB87" i="13" s="1"/>
  <c r="R78" i="13"/>
  <c r="R105" i="13" s="1"/>
  <c r="Q78" i="13"/>
  <c r="Q105" i="13" s="1"/>
  <c r="S78" i="13"/>
  <c r="S105" i="13" s="1"/>
  <c r="M42" i="21"/>
  <c r="X42" i="21" s="1"/>
  <c r="Z86" i="13"/>
  <c r="Z88" i="13" s="1"/>
  <c r="A16" i="13"/>
  <c r="O18" i="13"/>
  <c r="N61" i="13" s="1"/>
  <c r="N60" i="13"/>
  <c r="V60" i="13" s="1"/>
  <c r="Z60" i="13"/>
  <c r="Z62" i="13"/>
  <c r="Y62" i="13"/>
  <c r="Y60" i="13"/>
  <c r="X62" i="13"/>
  <c r="X60" i="13"/>
  <c r="AH60" i="13"/>
  <c r="BF16" i="13"/>
  <c r="BB16" i="13"/>
  <c r="AR60" i="13"/>
  <c r="AT16" i="13"/>
  <c r="BE16" i="13"/>
  <c r="BA16" i="13" s="1"/>
  <c r="AI60" i="13"/>
  <c r="AG60" i="13"/>
  <c r="AV16" i="13"/>
  <c r="AU16" i="13"/>
  <c r="BD16" i="13"/>
  <c r="AZ16" i="13" s="1"/>
  <c r="U67" i="13" l="1"/>
  <c r="M76" i="13" s="1"/>
  <c r="W42" i="21"/>
  <c r="AB42" i="21" s="1"/>
  <c r="AB11" i="2"/>
  <c r="D60" i="6"/>
  <c r="Y11" i="2"/>
  <c r="AD11" i="2"/>
  <c r="N67" i="13"/>
  <c r="M74" i="13" s="1"/>
  <c r="AC11" i="2"/>
  <c r="Z11" i="2"/>
  <c r="AA11" i="2"/>
  <c r="V61" i="13"/>
  <c r="X11" i="2"/>
  <c r="W18" i="13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J68" i="13"/>
  <c r="P67" i="13" s="1"/>
  <c r="M75" i="13" s="1"/>
  <c r="AQ18" i="13"/>
  <c r="AQ60" i="13" s="1"/>
  <c r="AO18" i="13"/>
  <c r="AO60" i="13" s="1"/>
  <c r="O42" i="21"/>
  <c r="AM18" i="13"/>
  <c r="Y42" i="21"/>
  <c r="M70" i="13"/>
  <c r="Z87" i="13"/>
  <c r="AL18" i="13"/>
  <c r="AP18" i="13"/>
  <c r="AP60" i="13" s="1"/>
  <c r="M43" i="21"/>
  <c r="M44" i="21" s="1"/>
  <c r="D18" i="13"/>
  <c r="D60" i="13" s="1"/>
  <c r="O44" i="21" l="1"/>
  <c r="W44" i="21"/>
  <c r="AB44" i="21" s="1"/>
  <c r="Y44" i="21"/>
  <c r="X44" i="21"/>
  <c r="BE18" i="13"/>
  <c r="AU18" i="13"/>
  <c r="AU60" i="13" s="1"/>
  <c r="AM60" i="13"/>
  <c r="X43" i="21"/>
  <c r="Y43" i="21"/>
  <c r="O43" i="21"/>
  <c r="N42" i="21"/>
  <c r="W43" i="21"/>
  <c r="M72" i="13"/>
  <c r="M73" i="13" s="1"/>
  <c r="M45" i="21"/>
  <c r="AL60" i="13"/>
  <c r="AL63" i="13" s="1"/>
  <c r="BD18" i="13"/>
  <c r="AT18" i="13"/>
  <c r="AT60" i="13" s="1"/>
  <c r="N44" i="21" l="1"/>
  <c r="M157" i="21"/>
  <c r="S42" i="21"/>
  <c r="S157" i="21" s="1"/>
  <c r="AB43" i="21"/>
  <c r="AZ20" i="13"/>
  <c r="AZ18" i="13"/>
  <c r="BD61" i="13"/>
  <c r="BD63" i="13" s="1"/>
  <c r="BE61" i="13"/>
  <c r="BA20" i="13"/>
  <c r="BA18" i="13"/>
  <c r="X45" i="21"/>
  <c r="AB18" i="13" s="1"/>
  <c r="W45" i="21"/>
  <c r="AB45" i="21" s="1"/>
  <c r="Y45" i="21"/>
  <c r="AC18" i="13" s="1"/>
  <c r="O45" i="21"/>
  <c r="O157" i="21" s="1"/>
  <c r="AB62" i="13" l="1"/>
  <c r="AB60" i="13"/>
  <c r="AC60" i="13"/>
  <c r="AC62" i="13"/>
  <c r="AN18" i="13"/>
  <c r="W157" i="21"/>
  <c r="AA18" i="13"/>
  <c r="AA62" i="13" l="1"/>
  <c r="AA60" i="13"/>
  <c r="AE18" i="13"/>
  <c r="AD18" i="13"/>
  <c r="AV18" i="13"/>
  <c r="AV60" i="13" s="1"/>
  <c r="AN60" i="13"/>
  <c r="BF18" i="13"/>
  <c r="BB18" i="13" l="1"/>
  <c r="BF61" i="13"/>
  <c r="BB2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H326" authorId="0" shapeId="0" xr:uid="{3FB63E4A-BA76-4C00-9C77-5B8F48D94D18}">
      <text>
        <r>
          <rPr>
            <b/>
            <sz val="9"/>
            <color indexed="81"/>
            <rFont val="Tahoma"/>
            <family val="2"/>
          </rPr>
          <t xml:space="preserve">Dyan Ramdhani:LF BM 27/10/2026 ds tidak ada sample
</t>
        </r>
      </text>
    </comment>
    <comment ref="H327" authorId="0" shapeId="0" xr:uid="{898CA157-6957-4809-AC09-7510BAB9B890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  <comment ref="T136" authorId="2" shapeId="0" xr:uid="{A3749C33-32AE-49D4-9F27-E40519A007CA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
</t>
        </r>
      </text>
    </comment>
    <comment ref="T139" authorId="2" shapeId="0" xr:uid="{3844C8B3-2F61-4BD8-AA09-34BEA5DB4C63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J26" authorId="0" shapeId="0" xr:uid="{AB54173D-62CF-4CCE-88D4-2DA99646542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 out 
2 hr
</t>
        </r>
      </text>
    </comment>
    <comment ref="L26" authorId="0" shapeId="0" xr:uid="{A5B79F33-38C5-4264-812D-A9291EA98A91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 out 2 hr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<sst xmlns="http://schemas.openxmlformats.org/spreadsheetml/2006/main" count="3892" uniqueCount="1049">
  <si>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</si>
  <si>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</si>
  <si>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</si>
  <si>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</si>
  <si>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</si>
  <si>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</si>
  <si>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</si>
  <si>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</si>
  <si>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</si>
  <si>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</si>
  <si>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</si>
  <si>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</si>
  <si>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</si>
  <si>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</si>
  <si>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</si>
  <si>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</si>
  <si>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</si>
  <si>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</si>
  <si>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</si>
  <si>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</si>
  <si>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</si>
  <si>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</si>
  <si>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</si>
  <si>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</si>
  <si>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</si>
  <si>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</si>
  <si>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</si>
  <si>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</si>
  <si>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</si>
  <si>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</si>
  <si>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</si>
  <si>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</si>
  <si>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</si>
  <si>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</si>
  <si>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</si>
  <si>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</si>
  <si>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</si>
  <si>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</si>
  <si>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</si>
  <si>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</si>
  <si>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</si>
  <si>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</si>
  <si>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</si>
  <si>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</si>
  <si>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</si>
  <si>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</si>
  <si>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</si>
  <si>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</si>
  <si>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</si>
  <si>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</si>
  <si>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</si>
  <si>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</si>
  <si>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</si>
  <si>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</si>
  <si>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</si>
  <si>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</si>
  <si>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</si>
  <si>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</si>
  <si>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</si>
  <si>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</si>
  <si>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</si>
  <si>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</si>
  <si>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</si>
  <si>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</si>
  <si>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</si>
  <si>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</si>
  <si>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</si>
  <si>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</si>
  <si>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</si>
  <si>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</si>
  <si>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</si>
  <si>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</si>
  <si>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</si>
  <si>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</si>
  <si>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</si>
  <si>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</si>
  <si>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</si>
  <si>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</si>
  <si>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</si>
  <si>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</si>
  <si>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</si>
  <si>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</si>
  <si>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</si>
  <si>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</si>
  <si>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</si>
  <si>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</si>
  <si>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</si>
  <si>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</si>
  <si>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</si>
  <si>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</si>
  <si>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</si>
  <si>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</si>
  <si>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</si>
  <si>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</si>
  <si>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</si>
  <si>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</si>
  <si>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</si>
  <si>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</si>
  <si>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</si>
  <si>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</si>
  <si>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</si>
  <si>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</si>
  <si>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</si>
  <si>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</si>
  <si>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</si>
  <si>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</si>
  <si>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</si>
  <si>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</si>
  <si>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</si>
  <si>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</si>
  <si>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</si>
  <si>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</si>
  <si>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</si>
  <si>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</si>
  <si>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</si>
  <si>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</si>
  <si>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</si>
  <si>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</si>
  <si>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</si>
  <si>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</si>
  <si>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</si>
  <si>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</si>
  <si>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</si>
  <si>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</si>
  <si>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</si>
  <si>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</si>
  <si>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</si>
  <si>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</si>
  <si>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</si>
  <si>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</si>
  <si>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</si>
  <si>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</si>
  <si>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</si>
  <si>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</si>
  <si>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</si>
  <si>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</si>
  <si>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</si>
  <si>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</si>
  <si>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</si>
  <si>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</si>
  <si>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</si>
  <si>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</si>
  <si>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</si>
  <si>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</si>
  <si>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</si>
  <si>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</si>
  <si>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</si>
  <si>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</si>
  <si>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</si>
  <si>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</si>
  <si>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</si>
  <si>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</si>
  <si>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</si>
  <si>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</si>
  <si>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</si>
  <si>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</si>
  <si>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</si>
  <si>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</si>
  <si>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</si>
  <si>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</si>
  <si>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</si>
  <si>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</si>
  <si>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</si>
  <si>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</si>
  <si>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</si>
  <si>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</si>
  <si>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</si>
  <si>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</si>
  <si>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</si>
  <si>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</si>
  <si>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</si>
  <si>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</si>
  <si>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</si>
  <si>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</si>
  <si>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</si>
  <si>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</si>
  <si>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</si>
  <si>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</si>
  <si>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</si>
  <si>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</si>
  <si>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</si>
  <si>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</si>
  <si>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</si>
  <si>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</si>
  <si>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</si>
  <si>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</si>
  <si>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</si>
  <si>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</si>
  <si>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</si>
  <si>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</si>
  <si>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</si>
  <si>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</si>
  <si>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</si>
  <si>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</si>
  <si>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</si>
  <si>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</si>
  <si>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</si>
  <si>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</si>
  <si>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</si>
  <si>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</si>
  <si>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</si>
  <si>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</si>
  <si>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</si>
  <si>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</si>
  <si>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</si>
  <si>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</si>
  <si>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</si>
  <si>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</si>
  <si>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</si>
  <si>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</si>
  <si>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</si>
  <si>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</si>
  <si>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</si>
  <si>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</si>
  <si>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</si>
  <si>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</si>
  <si>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</si>
  <si>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</si>
  <si>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</si>
  <si>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</si>
  <si>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</si>
  <si>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</si>
  <si>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</si>
  <si>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</si>
  <si>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</si>
  <si>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</si>
  <si>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</si>
  <si>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</si>
  <si>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</si>
  <si>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</si>
  <si>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</si>
  <si>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</si>
  <si>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</si>
  <si>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</si>
  <si>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</si>
  <si>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</si>
  <si>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</si>
  <si>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</si>
  <si>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</si>
  <si>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</si>
  <si>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</si>
  <si>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</si>
  <si>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</si>
  <si>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</si>
  <si>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</si>
  <si>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</si>
  <si>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</si>
  <si>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</si>
  <si>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</si>
  <si>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</si>
  <si>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</si>
  <si>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</si>
  <si>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</si>
  <si>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</si>
  <si>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</si>
  <si>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</si>
  <si>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</si>
  <si>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</si>
  <si>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</si>
  <si>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</si>
  <si>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</si>
  <si>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</si>
  <si>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</si>
  <si>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</si>
  <si>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</si>
  <si>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</si>
  <si>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</si>
  <si>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</si>
  <si>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</si>
  <si>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</si>
  <si>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</si>
  <si>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</si>
  <si>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</si>
  <si>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</si>
  <si>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</si>
  <si>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</si>
  <si>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</si>
  <si>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</si>
  <si>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</si>
  <si>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</si>
  <si>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</si>
  <si>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</si>
  <si>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</si>
  <si>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</si>
  <si>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</si>
  <si>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</si>
  <si>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</si>
  <si>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</si>
  <si>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</si>
  <si>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</si>
  <si>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</si>
  <si>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</si>
  <si>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</si>
  <si>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</si>
  <si>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</si>
  <si>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</si>
  <si>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</si>
  <si>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</si>
  <si>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</si>
  <si>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</si>
  <si>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</si>
  <si>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</si>
  <si>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</si>
  <si>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</si>
  <si>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</si>
  <si>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</si>
  <si>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</si>
  <si>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</si>
  <si>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</si>
  <si>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</si>
  <si>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</si>
  <si>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</si>
  <si>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</si>
  <si>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</si>
  <si>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</si>
  <si>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</si>
  <si>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</si>
  <si>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</si>
  <si>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</si>
  <si>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</si>
  <si>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</si>
  <si>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</si>
  <si>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</si>
  <si>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</si>
  <si>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</si>
  <si>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</si>
  <si>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</si>
  <si>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</si>
  <si>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</si>
  <si>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</si>
  <si>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</si>
  <si>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</si>
  <si>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</si>
  <si>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</si>
  <si>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</si>
  <si>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</si>
  <si>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</si>
  <si>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</si>
  <si>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</si>
  <si>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</si>
  <si>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</si>
  <si>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</si>
  <si>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</si>
  <si>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</si>
  <si>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</si>
  <si>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</si>
  <si>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</si>
  <si>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</si>
  <si>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</si>
  <si>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</si>
  <si>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</si>
  <si>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</si>
  <si>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</si>
  <si>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</si>
  <si>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</si>
  <si>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</si>
  <si>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</si>
  <si>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</si>
  <si>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</si>
  <si>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</si>
  <si>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</si>
  <si>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</si>
  <si>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</si>
  <si>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</si>
  <si>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</si>
  <si>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</si>
  <si>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</si>
  <si>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</si>
  <si>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</si>
  <si>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</si>
  <si>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</si>
  <si>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</si>
  <si>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</si>
  <si>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</si>
  <si>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</si>
  <si>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</si>
  <si>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</si>
  <si>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</si>
  <si>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</si>
  <si>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</si>
  <si>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</si>
  <si>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</si>
  <si>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</si>
  <si>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</si>
  <si>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</si>
  <si>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</si>
  <si>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</si>
  <si>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</si>
  <si>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</si>
  <si>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</si>
  <si>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</si>
  <si>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</si>
  <si>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</si>
  <si>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</si>
  <si>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</si>
  <si>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</si>
  <si>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</si>
  <si>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</si>
  <si>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</si>
  <si>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</si>
  <si>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</si>
  <si>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</si>
  <si>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</si>
  <si>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</si>
  <si>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</si>
  <si>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</si>
  <si>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</si>
  <si>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</si>
  <si>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</si>
  <si>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</si>
  <si>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</si>
  <si>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</si>
  <si>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</si>
  <si>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</si>
  <si>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</si>
  <si>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</si>
  <si>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</si>
  <si>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</si>
  <si>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</si>
  <si>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</si>
  <si>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</si>
  <si>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</si>
  <si>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</si>
  <si>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</si>
  <si>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</si>
  <si>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</si>
  <si>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</si>
  <si>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</si>
  <si>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</si>
  <si>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</si>
  <si>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</si>
  <si>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</si>
  <si>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</si>
  <si>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</si>
  <si>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</si>
  <si>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</si>
  <si>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</si>
  <si>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</si>
  <si>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</si>
  <si>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</si>
  <si>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</si>
  <si>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</si>
  <si>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</si>
  <si>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</si>
  <si>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</si>
  <si>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</si>
  <si>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</si>
  <si>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</si>
  <si>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</si>
  <si>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</si>
  <si>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</si>
  <si>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</si>
  <si>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</si>
  <si>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</si>
  <si>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</si>
  <si>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</si>
  <si>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</si>
  <si>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</si>
  <si>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</si>
  <si>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</si>
  <si>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</si>
  <si>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</si>
  <si>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</si>
  <si>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</si>
  <si>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</si>
  <si>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</si>
  <si>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</si>
  <si>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</si>
  <si>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</si>
  <si>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</si>
  <si>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</si>
  <si>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</si>
  <si>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</si>
  <si>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</si>
  <si>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</si>
  <si>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</si>
  <si>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</si>
  <si>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</si>
  <si>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</si>
  <si>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</si>
  <si>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</si>
  <si>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</si>
  <si>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</si>
  <si>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</si>
  <si>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</si>
  <si>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</si>
  <si>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</si>
  <si>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</si>
  <si>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</si>
  <si>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</si>
  <si>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</si>
  <si>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</si>
  <si>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</si>
  <si>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</si>
  <si>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</si>
  <si>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</si>
  <si>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</si>
  <si>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</si>
  <si>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</si>
  <si>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</si>
  <si>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</si>
  <si>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</si>
  <si>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</si>
  <si>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</si>
  <si>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</si>
  <si>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</si>
  <si>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</si>
  <si>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</si>
  <si>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</si>
  <si>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</si>
  <si>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</si>
  <si>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</si>
  <si>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</si>
  <si>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</si>
  <si>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</si>
  <si>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</si>
  <si>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</si>
  <si>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</si>
  <si>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</si>
  <si>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</si>
  <si>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</si>
  <si>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</si>
  <si>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</si>
  <si>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</si>
  <si>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</si>
  <si>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</si>
  <si>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</si>
  <si>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</si>
  <si>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</si>
  <si>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</si>
  <si>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</si>
  <si>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</si>
  <si>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</si>
  <si>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</si>
  <si>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</si>
  <si>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</si>
  <si>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</si>
  <si>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</si>
  <si>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</si>
  <si>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</si>
  <si>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</si>
  <si>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</si>
  <si>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</si>
  <si>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</si>
  <si>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</si>
  <si>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</si>
  <si>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</si>
  <si>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</si>
  <si>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</si>
  <si>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</si>
  <si>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</si>
  <si>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</si>
  <si>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</si>
  <si>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</si>
  <si>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</si>
  <si>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</si>
  <si>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</si>
  <si>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</si>
  <si>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</si>
  <si>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</si>
  <si>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</si>
  <si>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</si>
  <si>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</si>
  <si>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</si>
  <si>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</si>
  <si>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</si>
  <si>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</si>
  <si>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</si>
  <si>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</si>
  <si>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</si>
  <si>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</si>
  <si>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</si>
  <si>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</si>
  <si>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</si>
  <si>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</si>
  <si>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</si>
  <si>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</si>
  <si>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</si>
  <si>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</si>
  <si>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</si>
  <si>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</si>
  <si>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</si>
  <si>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</si>
  <si>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</si>
  <si>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</si>
  <si>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</si>
  <si>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</si>
  <si>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</si>
  <si>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</si>
  <si>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</si>
  <si>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</si>
  <si>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</si>
  <si>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</si>
  <si>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</si>
  <si>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</si>
  <si>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</si>
  <si>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</si>
  <si>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</si>
  <si>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</si>
  <si>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</si>
  <si>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</si>
  <si>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</si>
  <si>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</si>
  <si>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</si>
  <si>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</si>
  <si>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</si>
  <si>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</si>
  <si>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</si>
  <si>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</si>
  <si>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</si>
  <si>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</si>
  <si>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</si>
  <si>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</si>
  <si>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</si>
  <si>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</si>
  <si>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</si>
  <si>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</si>
  <si>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</si>
  <si>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</si>
  <si>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</si>
  <si>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</si>
  <si>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</si>
  <si>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</si>
  <si>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</si>
  <si>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</si>
  <si>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</si>
  <si>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</si>
  <si>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</si>
  <si>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</si>
  <si>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</si>
  <si>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</si>
  <si>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</si>
  <si>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</si>
  <si>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</si>
  <si>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</si>
  <si>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</si>
  <si>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</si>
  <si>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</si>
  <si>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</si>
  <si>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</si>
  <si>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</si>
  <si>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</si>
  <si>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</si>
  <si>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</si>
  <si>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</si>
  <si>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</si>
  <si>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</si>
  <si>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</si>
  <si>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</si>
  <si>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</si>
  <si>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</si>
  <si>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</si>
  <si>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</si>
  <si>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</si>
  <si>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</si>
  <si>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</si>
  <si>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</si>
  <si>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</si>
  <si>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</si>
  <si>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</si>
  <si>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</si>
  <si>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</si>
  <si>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</si>
  <si>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</si>
  <si>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</si>
  <si>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</si>
  <si>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</si>
  <si>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</si>
  <si>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</si>
  <si>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</si>
  <si>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</si>
  <si>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</si>
  <si>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</si>
  <si>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</si>
  <si>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</si>
  <si>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</si>
  <si>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</si>
  <si>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</si>
  <si>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</si>
  <si>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</si>
  <si>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</si>
  <si>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</si>
  <si>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</si>
  <si>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</si>
  <si>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</si>
  <si>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</si>
  <si>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</si>
  <si>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</si>
  <si>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</si>
  <si>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</si>
  <si>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</si>
  <si>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</si>
  <si>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</si>
  <si>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</si>
  <si>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</si>
  <si>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</si>
  <si>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</si>
  <si>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</si>
  <si>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</si>
  <si>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</si>
  <si>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</si>
  <si>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</si>
  <si>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</si>
  <si>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</si>
  <si>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</si>
  <si>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</si>
  <si>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</si>
  <si>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</si>
  <si>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</si>
  <si>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</si>
  <si>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</si>
  <si>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</si>
  <si>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</si>
  <si>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</si>
  <si>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</si>
  <si>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</si>
  <si>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</si>
  <si>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</si>
  <si>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</si>
  <si>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</si>
  <si>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</si>
  <si>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</si>
  <si>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</si>
  <si>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</si>
  <si>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</si>
  <si>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</si>
  <si>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</si>
  <si>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</si>
  <si>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</si>
  <si>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</si>
  <si>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</si>
  <si>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</si>
  <si>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</si>
  <si>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</si>
  <si>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</si>
  <si>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</si>
  <si>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</si>
  <si>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</si>
  <si>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</si>
  <si>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</si>
  <si>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</si>
  <si>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</si>
  <si>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</si>
  <si>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</si>
  <si>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</si>
  <si>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</si>
  <si>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</si>
  <si>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</si>
  <si>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</si>
  <si>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</si>
  <si>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</si>
  <si>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</si>
  <si>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</si>
  <si>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</si>
  <si>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</si>
  <si>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</si>
  <si>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</si>
  <si>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</si>
  <si>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</si>
  <si>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</si>
  <si>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</si>
  <si>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</si>
  <si>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</si>
  <si>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</si>
  <si>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</si>
  <si>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</si>
  <si>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</si>
  <si>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</si>
  <si>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</si>
  <si>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</si>
  <si>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</si>
  <si>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</si>
  <si>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</si>
  <si>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</si>
  <si>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</si>
  <si>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</si>
  <si>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</si>
  <si>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</si>
  <si>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</si>
  <si>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</si>
  <si>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</si>
  <si>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</si>
  <si>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</si>
  <si>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</si>
  <si>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</si>
  <si>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</si>
  <si>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</si>
  <si>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</si>
  <si>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</si>
  <si>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</si>
  <si>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</si>
  <si>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</si>
  <si>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</si>
  <si>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</si>
  <si>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</si>
  <si>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</si>
  <si>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</si>
  <si>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</si>
  <si>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</si>
  <si>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</si>
  <si>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</si>
  <si>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</si>
  <si>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</si>
  <si>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</si>
  <si>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</si>
  <si>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</si>
  <si>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</si>
  <si>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</si>
  <si>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</si>
  <si>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</si>
  <si>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</si>
  <si>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</si>
  <si>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</si>
  <si>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</si>
  <si>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</si>
  <si>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</si>
  <si>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</si>
  <si>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</si>
  <si>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</si>
  <si>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</si>
  <si>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</si>
  <si>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</si>
  <si>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</si>
  <si>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</si>
  <si>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</si>
  <si>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</si>
  <si>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</si>
  <si>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</si>
  <si>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</si>
  <si>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</si>
  <si>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</si>
  <si>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</si>
  <si>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</si>
  <si>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</si>
  <si>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</si>
  <si>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</si>
  <si>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</si>
  <si>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</si>
  <si>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</si>
  <si>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</si>
  <si>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</si>
  <si>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</si>
  <si>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</si>
  <si>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</si>
  <si>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</si>
  <si>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</si>
  <si>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</si>
  <si>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</si>
  <si>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</si>
  <si>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</si>
  <si>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</si>
  <si>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</si>
  <si>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</si>
  <si>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</si>
  <si>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</si>
  <si>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</si>
  <si>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</si>
  <si>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</si>
  <si>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</si>
  <si>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</si>
  <si>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</si>
  <si>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</si>
  <si>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</si>
  <si>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</si>
  <si>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</si>
  <si>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</si>
  <si>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</si>
  <si>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</si>
  <si>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</si>
  <si>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</si>
  <si>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</si>
  <si>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</si>
  <si>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</si>
  <si>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</si>
  <si>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</si>
  <si>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</si>
  <si>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</si>
  <si>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</si>
  <si>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</si>
  <si>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</si>
  <si>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</si>
  <si>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</si>
  <si>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</si>
  <si>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</si>
  <si>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</si>
  <si>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</si>
  <si>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</si>
  <si>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</si>
  <si>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</si>
  <si>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</si>
  <si>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</si>
  <si>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</si>
  <si>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</si>
  <si>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</si>
  <si>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</si>
  <si>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</si>
  <si>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</si>
  <si>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</si>
  <si>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</si>
  <si>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</si>
  <si>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</si>
  <si>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</si>
  <si>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</si>
  <si>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</si>
  <si>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</si>
  <si>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</si>
  <si>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</si>
  <si>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</si>
  <si>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</si>
  <si>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</si>
  <si>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</si>
  <si>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</si>
  <si>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</si>
  <si>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</si>
  <si>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</si>
  <si>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</si>
  <si>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</si>
  <si>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</si>
  <si>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</si>
  <si>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</si>
  <si>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</si>
  <si>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</si>
  <si>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</si>
  <si>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</si>
  <si>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</si>
  <si>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</si>
  <si>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</si>
  <si>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</si>
  <si>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</si>
  <si>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</si>
  <si>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</si>
  <si>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</si>
  <si>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</si>
  <si>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</si>
  <si>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</si>
  <si>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</si>
  <si>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</si>
  <si>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</si>
  <si>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</si>
  <si>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</si>
  <si>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</si>
  <si>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</si>
  <si>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</si>
  <si>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</si>
  <si>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</si>
  <si>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</si>
  <si>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</si>
  <si>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</si>
  <si>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</si>
  <si>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</si>
  <si>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</si>
  <si>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</si>
  <si>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</si>
  <si>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</si>
  <si>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</si>
  <si>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</si>
  <si>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</si>
  <si>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</si>
  <si>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</si>
  <si>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</si>
  <si>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</si>
  <si>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</si>
  <si>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</si>
  <si>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</si>
  <si>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</si>
  <si>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</si>
  <si>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</si>
  <si>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</si>
  <si>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</si>
  <si>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</si>
  <si>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</si>
  <si>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</si>
  <si>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</si>
  <si>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</si>
  <si>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</si>
  <si>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</si>
  <si>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</si>
  <si>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</si>
  <si>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</si>
  <si>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</si>
  <si>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</si>
  <si>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</si>
  <si>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</si>
  <si>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</si>
  <si>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</si>
  <si>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</si>
  <si>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</si>
  <si>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</si>
  <si>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</si>
  <si>
    <t>TANGGAL</t>
  </si>
  <si>
    <t>IN</t>
  </si>
  <si>
    <t>OUT</t>
  </si>
  <si>
    <t>26/10/2026</t>
  </si>
  <si>
    <t>Au In</t>
  </si>
  <si>
    <t>Au Out</t>
  </si>
  <si>
    <t>Flow</t>
  </si>
  <si>
    <t>Rata-rata deposisi</t>
  </si>
  <si>
    <t>Tonage carbon</t>
  </si>
  <si>
    <t>Preassure Tank</t>
  </si>
  <si>
    <t>PPM Cyanide</t>
  </si>
  <si>
    <t>volt</t>
  </si>
  <si>
    <t>Ampere</t>
  </si>
  <si>
    <t>Finish Pump Batch 27 Tank 2 21:00</t>
  </si>
  <si>
    <t>ball mill 1,2 jalan ball mill 3 mati 07:00-19:00 tidak ada air</t>
  </si>
  <si>
    <t>ball mill 1 dan 2 jalan, ball mill 3 mati 19:00-22:30 ada air</t>
  </si>
  <si>
    <t>Start Pump tank 3 batch 28 22:00 27/10/2026</t>
  </si>
  <si>
    <t xml:space="preserve">LF BALL MILL 25/10/2026 NS TIDAK ADA AIR </t>
  </si>
  <si>
    <t>day/night</t>
  </si>
  <si>
    <t>Batch 28 Tank 3</t>
  </si>
  <si>
    <t>ballmil 1,2 dan 3 mati 19:45-02:30 tidak ada air</t>
  </si>
  <si>
    <t>BM/H</t>
  </si>
  <si>
    <t>REASON</t>
  </si>
  <si>
    <t>V</t>
  </si>
  <si>
    <t xml:space="preserve">NOTES: CENTANG PADA KOLOM APABILA TELAH DILAKUKAN PENGAMBILAN SAMPLE, DAN APABILA TIDAK ADA SAMPLE WAJIB MENGISI KETERANGAN </t>
  </si>
  <si>
    <t xml:space="preserve">DATE </t>
  </si>
  <si>
    <t>LF BM/SHIFT</t>
  </si>
  <si>
    <t xml:space="preserve">TANK </t>
  </si>
  <si>
    <t>CARBON</t>
  </si>
  <si>
    <t>KONSENTRASI</t>
  </si>
  <si>
    <t xml:space="preserve">CRUSHER </t>
  </si>
  <si>
    <t xml:space="preserve">ORE CRUSHER </t>
  </si>
  <si>
    <t xml:space="preserve">SG BULK/ 2 D </t>
  </si>
  <si>
    <t xml:space="preserve">LT FLOCK /SHIFT </t>
  </si>
  <si>
    <t>FILTER PRESS/SHIFT</t>
  </si>
  <si>
    <t xml:space="preserve">SG/2 D </t>
  </si>
  <si>
    <t xml:space="preserve">EKA TUMANDULAK </t>
  </si>
  <si>
    <t>KRISNA PURWOKO</t>
  </si>
  <si>
    <t>GERALD PINONTOAN</t>
  </si>
  <si>
    <t>MONITORING DAILY SAMPLING METALLUGY</t>
  </si>
  <si>
    <t xml:space="preserve">Siklus Pengolahan </t>
  </si>
  <si>
    <t>Waktu Penggilingan Ball Mill</t>
  </si>
  <si>
    <t>Dalam satu proses batch pengolahan</t>
  </si>
  <si>
    <t>Tonnage/Hour</t>
  </si>
  <si>
    <t>Proses</t>
  </si>
  <si>
    <t>Tinggi Plat</t>
  </si>
  <si>
    <t>Slurry/Batch proses</t>
  </si>
  <si>
    <t>Volume Slurry</t>
  </si>
  <si>
    <t>Per Batch Pengolahan</t>
  </si>
  <si>
    <t>Finish tank 3 jam 9:10 WIB</t>
  </si>
  <si>
    <t>Total Material(ton)</t>
  </si>
  <si>
    <t>%Solid Pada Tanki Pengolahan</t>
  </si>
  <si>
    <t xml:space="preserve">Assay Lab Result (Solution) </t>
  </si>
  <si>
    <t>Assay Lab Result Tail ppm (Solid)</t>
  </si>
  <si>
    <t xml:space="preserve">ball Mill 1,2 dan 3 jalan </t>
  </si>
  <si>
    <t>Start pump batch  29 Tank 2 jam 9:20</t>
  </si>
  <si>
    <t>ball mill 1,2 dan 3 mati 20:15-07:00 tidak ada air dan perbaikan di ball mill 3</t>
  </si>
  <si>
    <t>Batch 29 Tank 2</t>
  </si>
  <si>
    <t>perbaikan kabel</t>
  </si>
  <si>
    <t>Ball Mill 1 dan 2 mati dari jam 07:00-15:30 dan ball mill 3 sedang dalam perbaikan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</si>
</sst>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  <numFmt numFmtId="190" formatCode="_-[$Rp-3809]* #,##0.00_-;\-[$Rp-3809]* #,##0.00_-;_-[$Rp-3809]* &quot;-&quot;??_-;_-@_-"/>
  </numFmts>
  <fonts count="15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8"/>
      <color theme="1"/>
      <name val="Calibri"/>
      <family val="2"/>
      <charset val="1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</fills>
  <borders count="9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43" fontId="112" fillId="0" borderId="0" applyFont="0" applyFill="0" applyBorder="0" applyAlignment="0" applyProtection="0"/>
    <xf numFmtId="9" fontId="112" fillId="0" borderId="0" applyFont="0" applyFill="0" applyBorder="0" applyAlignment="0" applyProtection="0"/>
    <xf numFmtId="164" fontId="113" fillId="0" borderId="0" applyFont="0" applyFill="0" applyBorder="0" applyAlignment="0" applyProtection="0"/>
  </cellStyleXfs>
  <cellXfs count="204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13" fillId="2" borderId="12" xfId="0" applyFont="1" applyFill="1" applyBorder="1"/>
    <xf numFmtId="0" fontId="0" fillId="2" borderId="12" xfId="0" applyFill="1" applyBorder="1"/>
    <xf numFmtId="0" fontId="113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14" fillId="4" borderId="12" xfId="0" applyFont="1" applyFill="1" applyBorder="1" applyAlignment="1">
      <alignment horizontal="center"/>
    </xf>
    <xf numFmtId="0" fontId="114" fillId="3" borderId="12" xfId="0" applyFont="1" applyFill="1" applyBorder="1" applyAlignment="1">
      <alignment horizontal="center"/>
    </xf>
    <xf numFmtId="0" fontId="113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14" fillId="3" borderId="12" xfId="0" applyFont="1" applyFill="1" applyBorder="1"/>
    <xf numFmtId="0" fontId="0" fillId="3" borderId="12" xfId="0" applyFill="1" applyBorder="1"/>
    <xf numFmtId="0" fontId="114" fillId="3" borderId="31" xfId="0" applyFont="1" applyFill="1" applyBorder="1" applyAlignment="1">
      <alignment horizontal="center"/>
    </xf>
    <xf numFmtId="0" fontId="114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5" fillId="5" borderId="0" xfId="0" applyFont="1" applyFill="1"/>
    <xf numFmtId="0" fontId="116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7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7" fillId="2" borderId="0" xfId="3" applyNumberFormat="1" applyFont="1" applyFill="1"/>
    <xf numFmtId="170" fontId="117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13" fillId="2" borderId="12" xfId="0" applyNumberFormat="1" applyFont="1" applyFill="1" applyBorder="1" applyAlignment="1">
      <alignment horizontal="center" vertical="center"/>
    </xf>
    <xf numFmtId="0" fontId="113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8" fillId="5" borderId="0" xfId="2" applyNumberFormat="1" applyFont="1" applyFill="1"/>
    <xf numFmtId="172" fontId="117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9" fillId="6" borderId="12" xfId="0" applyFont="1" applyFill="1" applyBorder="1" applyAlignment="1">
      <alignment horizontal="center" vertical="center"/>
    </xf>
    <xf numFmtId="0" fontId="119" fillId="2" borderId="12" xfId="0" applyFont="1" applyFill="1" applyBorder="1" applyAlignment="1">
      <alignment horizontal="center" vertical="center"/>
    </xf>
    <xf numFmtId="0" fontId="119" fillId="8" borderId="12" xfId="0" applyFont="1" applyFill="1" applyBorder="1" applyAlignment="1">
      <alignment horizontal="center" vertical="center"/>
    </xf>
    <xf numFmtId="0" fontId="119" fillId="9" borderId="12" xfId="0" applyFont="1" applyFill="1" applyBorder="1" applyAlignment="1">
      <alignment horizontal="center" vertical="center"/>
    </xf>
    <xf numFmtId="14" fontId="119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9" fillId="7" borderId="20" xfId="0" applyNumberFormat="1" applyFont="1" applyFill="1" applyBorder="1" applyAlignment="1">
      <alignment horizontal="center" vertical="center"/>
    </xf>
    <xf numFmtId="14" fontId="119" fillId="7" borderId="21" xfId="0" applyNumberFormat="1" applyFont="1" applyFill="1" applyBorder="1" applyAlignment="1">
      <alignment horizontal="center" vertical="center"/>
    </xf>
    <xf numFmtId="14" fontId="119" fillId="7" borderId="28" xfId="0" applyNumberFormat="1" applyFont="1" applyFill="1" applyBorder="1" applyAlignment="1">
      <alignment horizontal="center" vertical="center"/>
    </xf>
    <xf numFmtId="0" fontId="114" fillId="10" borderId="12" xfId="0" applyFont="1" applyFill="1" applyBorder="1" applyAlignment="1">
      <alignment horizontal="center"/>
    </xf>
    <xf numFmtId="0" fontId="121" fillId="11" borderId="12" xfId="0" applyFont="1" applyFill="1" applyBorder="1" applyAlignment="1">
      <alignment horizontal="center" vertical="center"/>
    </xf>
    <xf numFmtId="0" fontId="114" fillId="10" borderId="12" xfId="0" applyFont="1" applyFill="1" applyBorder="1" applyAlignment="1">
      <alignment horizontal="center" vertical="center"/>
    </xf>
    <xf numFmtId="14" fontId="121" fillId="12" borderId="12" xfId="0" applyNumberFormat="1" applyFont="1" applyFill="1" applyBorder="1" applyAlignment="1">
      <alignment horizontal="center" vertical="center"/>
    </xf>
    <xf numFmtId="0" fontId="121" fillId="13" borderId="12" xfId="0" applyFont="1" applyFill="1" applyBorder="1" applyAlignment="1">
      <alignment horizontal="center" vertical="center"/>
    </xf>
    <xf numFmtId="0" fontId="113" fillId="0" borderId="7" xfId="0" applyFont="1" applyBorder="1" applyAlignment="1">
      <alignment horizontal="center"/>
    </xf>
    <xf numFmtId="20" fontId="113" fillId="2" borderId="28" xfId="0" applyNumberFormat="1" applyFont="1" applyFill="1" applyBorder="1" applyAlignment="1">
      <alignment horizontal="center" vertical="center"/>
    </xf>
    <xf numFmtId="1" fontId="113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13" fillId="2" borderId="12" xfId="0" applyFont="1" applyFill="1" applyBorder="1" applyAlignment="1">
      <alignment vertical="center"/>
    </xf>
    <xf numFmtId="0" fontId="113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13" fillId="2" borderId="12" xfId="0" applyNumberFormat="1" applyFont="1" applyFill="1" applyBorder="1" applyAlignment="1">
      <alignment horizontal="center" vertical="center"/>
    </xf>
    <xf numFmtId="0" fontId="114" fillId="3" borderId="12" xfId="0" applyFont="1" applyFill="1" applyBorder="1" applyAlignment="1">
      <alignment horizontal="right"/>
    </xf>
    <xf numFmtId="1" fontId="114" fillId="3" borderId="20" xfId="0" applyNumberFormat="1" applyFont="1" applyFill="1" applyBorder="1" applyAlignment="1">
      <alignment horizontal="right"/>
    </xf>
    <xf numFmtId="9" fontId="114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24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9" fillId="0" borderId="0" xfId="0" applyFont="1"/>
    <xf numFmtId="1" fontId="119" fillId="0" borderId="0" xfId="0" applyNumberFormat="1" applyFont="1" applyAlignment="1">
      <alignment horizontal="center"/>
    </xf>
    <xf numFmtId="0" fontId="119" fillId="0" borderId="0" xfId="0" applyFont="1" applyAlignment="1">
      <alignment horizontal="center"/>
    </xf>
    <xf numFmtId="0" fontId="125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9" fillId="0" borderId="38" xfId="0" applyFont="1" applyBorder="1"/>
    <xf numFmtId="1" fontId="119" fillId="0" borderId="38" xfId="0" applyNumberFormat="1" applyFont="1" applyBorder="1" applyAlignment="1">
      <alignment horizontal="center"/>
    </xf>
    <xf numFmtId="0" fontId="119" fillId="0" borderId="38" xfId="0" applyFont="1" applyBorder="1" applyAlignment="1">
      <alignment horizontal="center"/>
    </xf>
    <xf numFmtId="43" fontId="119" fillId="0" borderId="38" xfId="1" applyFont="1" applyBorder="1" applyAlignment="1">
      <alignment horizontal="center"/>
    </xf>
    <xf numFmtId="0" fontId="119" fillId="0" borderId="39" xfId="0" applyFont="1" applyBorder="1"/>
    <xf numFmtId="0" fontId="121" fillId="0" borderId="0" xfId="0" applyFont="1" applyAlignment="1">
      <alignment wrapText="1"/>
    </xf>
    <xf numFmtId="0" fontId="121" fillId="3" borderId="45" xfId="0" applyFont="1" applyFill="1" applyBorder="1" applyAlignment="1">
      <alignment horizontal="center" vertical="center" wrapText="1"/>
    </xf>
    <xf numFmtId="0" fontId="119" fillId="0" borderId="47" xfId="0" applyFont="1" applyBorder="1"/>
    <xf numFmtId="173" fontId="119" fillId="0" borderId="48" xfId="0" applyNumberFormat="1" applyFont="1" applyBorder="1" applyAlignment="1">
      <alignment horizontal="center"/>
    </xf>
    <xf numFmtId="1" fontId="119" fillId="0" borderId="48" xfId="0" applyNumberFormat="1" applyFont="1" applyBorder="1" applyAlignment="1">
      <alignment horizontal="center"/>
    </xf>
    <xf numFmtId="174" fontId="119" fillId="0" borderId="48" xfId="0" applyNumberFormat="1" applyFont="1" applyBorder="1" applyAlignment="1">
      <alignment horizontal="center"/>
    </xf>
    <xf numFmtId="0" fontId="119" fillId="0" borderId="48" xfId="0" applyFont="1" applyBorder="1"/>
    <xf numFmtId="9" fontId="119" fillId="0" borderId="48" xfId="0" applyNumberFormat="1" applyFont="1" applyBorder="1" applyAlignment="1">
      <alignment horizontal="center"/>
    </xf>
    <xf numFmtId="0" fontId="119" fillId="0" borderId="48" xfId="0" applyFont="1" applyBorder="1" applyAlignment="1">
      <alignment horizontal="center"/>
    </xf>
    <xf numFmtId="9" fontId="119" fillId="0" borderId="49" xfId="0" applyNumberFormat="1" applyFont="1" applyBorder="1" applyAlignment="1">
      <alignment horizontal="center"/>
    </xf>
    <xf numFmtId="0" fontId="119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20" fillId="2" borderId="12" xfId="0" applyFont="1" applyFill="1" applyBorder="1"/>
    <xf numFmtId="14" fontId="119" fillId="2" borderId="12" xfId="0" applyNumberFormat="1" applyFont="1" applyFill="1" applyBorder="1" applyAlignment="1">
      <alignment horizontal="center" vertical="center"/>
    </xf>
    <xf numFmtId="0" fontId="114" fillId="10" borderId="20" xfId="0" applyFont="1" applyFill="1" applyBorder="1"/>
    <xf numFmtId="0" fontId="114" fillId="10" borderId="28" xfId="0" applyFont="1" applyFill="1" applyBorder="1"/>
    <xf numFmtId="14" fontId="119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14" fillId="16" borderId="12" xfId="0" applyFont="1" applyFill="1" applyBorder="1" applyAlignment="1">
      <alignment horizontal="center"/>
    </xf>
    <xf numFmtId="0" fontId="114" fillId="10" borderId="7" xfId="0" applyFont="1" applyFill="1" applyBorder="1" applyAlignment="1">
      <alignment horizontal="center"/>
    </xf>
    <xf numFmtId="9" fontId="119" fillId="0" borderId="12" xfId="0" applyNumberFormat="1" applyFont="1" applyBorder="1" applyAlignment="1">
      <alignment horizontal="center"/>
    </xf>
    <xf numFmtId="0" fontId="114" fillId="17" borderId="12" xfId="0" applyFont="1" applyFill="1" applyBorder="1" applyAlignment="1">
      <alignment horizontal="center"/>
    </xf>
    <xf numFmtId="0" fontId="114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14" fillId="3" borderId="0" xfId="0" applyFont="1" applyFill="1" applyAlignment="1">
      <alignment horizontal="center"/>
    </xf>
    <xf numFmtId="0" fontId="114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14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9" fillId="18" borderId="12" xfId="0" applyNumberFormat="1" applyFont="1" applyFill="1" applyBorder="1" applyAlignment="1">
      <alignment horizontal="center"/>
    </xf>
    <xf numFmtId="2" fontId="129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14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14" fillId="3" borderId="20" xfId="0" applyNumberFormat="1" applyFont="1" applyFill="1" applyBorder="1" applyAlignment="1">
      <alignment horizontal="right"/>
    </xf>
    <xf numFmtId="0" fontId="129" fillId="18" borderId="7" xfId="0" applyFont="1" applyFill="1" applyBorder="1"/>
    <xf numFmtId="0" fontId="129" fillId="18" borderId="29" xfId="0" applyFont="1" applyFill="1" applyBorder="1"/>
    <xf numFmtId="174" fontId="129" fillId="18" borderId="29" xfId="0" applyNumberFormat="1" applyFont="1" applyFill="1" applyBorder="1" applyAlignment="1">
      <alignment horizontal="center"/>
    </xf>
    <xf numFmtId="0" fontId="130" fillId="2" borderId="0" xfId="0" applyFont="1" applyFill="1"/>
    <xf numFmtId="176" fontId="119" fillId="0" borderId="48" xfId="0" applyNumberFormat="1" applyFont="1" applyBorder="1" applyAlignment="1">
      <alignment horizontal="center"/>
    </xf>
    <xf numFmtId="0" fontId="113" fillId="2" borderId="7" xfId="0" applyFont="1" applyFill="1" applyBorder="1" applyAlignment="1">
      <alignment horizontal="center" vertical="center"/>
    </xf>
    <xf numFmtId="0" fontId="114" fillId="18" borderId="12" xfId="0" applyFont="1" applyFill="1" applyBorder="1" applyAlignment="1">
      <alignment horizontal="center"/>
    </xf>
    <xf numFmtId="0" fontId="119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14" fillId="2" borderId="0" xfId="0" applyFont="1" applyFill="1" applyAlignment="1">
      <alignment horizontal="center"/>
    </xf>
    <xf numFmtId="0" fontId="113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11" fillId="2" borderId="28" xfId="0" applyFont="1" applyFill="1" applyBorder="1" applyAlignment="1">
      <alignment horizontal="center" vertical="center"/>
    </xf>
    <xf numFmtId="9" fontId="129" fillId="18" borderId="29" xfId="2" applyFont="1" applyFill="1" applyBorder="1" applyAlignment="1">
      <alignment horizontal="center"/>
    </xf>
    <xf numFmtId="0" fontId="114" fillId="20" borderId="12" xfId="0" applyFont="1" applyFill="1" applyBorder="1"/>
    <xf numFmtId="9" fontId="119" fillId="0" borderId="0" xfId="2" applyFont="1" applyAlignment="1">
      <alignment horizontal="center"/>
    </xf>
    <xf numFmtId="0" fontId="114" fillId="0" borderId="12" xfId="0" applyFont="1" applyBorder="1"/>
    <xf numFmtId="176" fontId="0" fillId="0" borderId="12" xfId="0" applyNumberFormat="1" applyBorder="1"/>
    <xf numFmtId="1" fontId="132" fillId="2" borderId="12" xfId="0" applyNumberFormat="1" applyFont="1" applyFill="1" applyBorder="1"/>
    <xf numFmtId="9" fontId="132" fillId="2" borderId="12" xfId="0" applyNumberFormat="1" applyFont="1" applyFill="1" applyBorder="1"/>
    <xf numFmtId="0" fontId="124" fillId="2" borderId="12" xfId="0" applyFont="1" applyFill="1" applyBorder="1"/>
    <xf numFmtId="1" fontId="121" fillId="3" borderId="45" xfId="0" applyNumberFormat="1" applyFont="1" applyFill="1" applyBorder="1" applyAlignment="1">
      <alignment horizontal="center" vertical="center" wrapText="1"/>
    </xf>
    <xf numFmtId="43" fontId="121" fillId="3" borderId="45" xfId="1" applyFont="1" applyFill="1" applyBorder="1" applyAlignment="1">
      <alignment horizontal="center" vertical="center" wrapText="1"/>
    </xf>
    <xf numFmtId="0" fontId="114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10" fillId="2" borderId="28" xfId="0" applyFont="1" applyFill="1" applyBorder="1" applyAlignment="1">
      <alignment vertical="center"/>
    </xf>
    <xf numFmtId="20" fontId="110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9" fillId="2" borderId="12" xfId="0" applyFont="1" applyFill="1" applyBorder="1" applyAlignment="1">
      <alignment vertical="center"/>
    </xf>
    <xf numFmtId="0" fontId="109" fillId="2" borderId="12" xfId="0" applyFont="1" applyFill="1" applyBorder="1" applyAlignment="1">
      <alignment horizontal="center" vertical="center"/>
    </xf>
    <xf numFmtId="0" fontId="108" fillId="2" borderId="12" xfId="0" applyFont="1" applyFill="1" applyBorder="1" applyAlignment="1">
      <alignment vertical="center"/>
    </xf>
    <xf numFmtId="0" fontId="108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9" fillId="8" borderId="20" xfId="0" applyFont="1" applyFill="1" applyBorder="1" applyAlignment="1">
      <alignment horizontal="center" vertical="center"/>
    </xf>
    <xf numFmtId="14" fontId="119" fillId="7" borderId="12" xfId="0" applyNumberFormat="1" applyFont="1" applyFill="1" applyBorder="1" applyAlignment="1">
      <alignment horizontal="center" vertical="center"/>
    </xf>
    <xf numFmtId="20" fontId="107" fillId="2" borderId="28" xfId="0" applyNumberFormat="1" applyFont="1" applyFill="1" applyBorder="1" applyAlignment="1">
      <alignment horizontal="center" vertical="center"/>
    </xf>
    <xf numFmtId="0" fontId="107" fillId="2" borderId="12" xfId="0" applyFont="1" applyFill="1" applyBorder="1" applyAlignment="1">
      <alignment horizontal="center" vertical="center"/>
    </xf>
    <xf numFmtId="0" fontId="107" fillId="2" borderId="12" xfId="0" applyFont="1" applyFill="1" applyBorder="1" applyAlignment="1">
      <alignment vertical="center"/>
    </xf>
    <xf numFmtId="9" fontId="119" fillId="8" borderId="12" xfId="0" applyNumberFormat="1" applyFont="1" applyFill="1" applyBorder="1" applyAlignment="1">
      <alignment horizontal="center" vertical="center"/>
    </xf>
    <xf numFmtId="1" fontId="119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6" fillId="2" borderId="12" xfId="0" applyFont="1" applyFill="1" applyBorder="1" applyAlignment="1">
      <alignment vertical="center"/>
    </xf>
    <xf numFmtId="14" fontId="119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9" fillId="2" borderId="20" xfId="0" applyFont="1" applyFill="1" applyBorder="1" applyAlignment="1">
      <alignment horizontal="center" vertical="center"/>
    </xf>
    <xf numFmtId="14" fontId="119" fillId="7" borderId="28" xfId="0" applyNumberFormat="1" applyFont="1" applyFill="1" applyBorder="1" applyAlignment="1">
      <alignment vertical="center"/>
    </xf>
    <xf numFmtId="0" fontId="120" fillId="2" borderId="28" xfId="0" applyFont="1" applyFill="1" applyBorder="1"/>
    <xf numFmtId="0" fontId="119" fillId="2" borderId="28" xfId="0" applyFont="1" applyFill="1" applyBorder="1" applyAlignment="1">
      <alignment horizontal="center" vertical="center"/>
    </xf>
    <xf numFmtId="14" fontId="119" fillId="7" borderId="10" xfId="0" applyNumberFormat="1" applyFont="1" applyFill="1" applyBorder="1" applyAlignment="1">
      <alignment vertical="center"/>
    </xf>
    <xf numFmtId="14" fontId="119" fillId="7" borderId="10" xfId="0" applyNumberFormat="1" applyFont="1" applyFill="1" applyBorder="1" applyAlignment="1">
      <alignment horizontal="center" vertical="center"/>
    </xf>
    <xf numFmtId="14" fontId="119" fillId="2" borderId="10" xfId="0" applyNumberFormat="1" applyFont="1" applyFill="1" applyBorder="1" applyAlignment="1">
      <alignment vertical="center"/>
    </xf>
    <xf numFmtId="14" fontId="119" fillId="2" borderId="10" xfId="0" applyNumberFormat="1" applyFont="1" applyFill="1" applyBorder="1" applyAlignment="1">
      <alignment horizontal="center" vertical="center"/>
    </xf>
    <xf numFmtId="0" fontId="119" fillId="2" borderId="10" xfId="0" applyFont="1" applyFill="1" applyBorder="1" applyAlignment="1">
      <alignment horizontal="center" vertical="center"/>
    </xf>
    <xf numFmtId="1" fontId="119" fillId="8" borderId="10" xfId="0" applyNumberFormat="1" applyFont="1" applyFill="1" applyBorder="1" applyAlignment="1">
      <alignment horizontal="center" vertical="center"/>
    </xf>
    <xf numFmtId="0" fontId="119" fillId="8" borderId="10" xfId="0" applyFont="1" applyFill="1" applyBorder="1" applyAlignment="1">
      <alignment horizontal="center" vertical="center"/>
    </xf>
    <xf numFmtId="14" fontId="119" fillId="7" borderId="17" xfId="0" applyNumberFormat="1" applyFont="1" applyFill="1" applyBorder="1" applyAlignment="1">
      <alignment vertical="center"/>
    </xf>
    <xf numFmtId="14" fontId="119" fillId="2" borderId="17" xfId="0" applyNumberFormat="1" applyFont="1" applyFill="1" applyBorder="1" applyAlignment="1">
      <alignment vertical="center"/>
    </xf>
    <xf numFmtId="14" fontId="119" fillId="2" borderId="17" xfId="0" applyNumberFormat="1" applyFont="1" applyFill="1" applyBorder="1" applyAlignment="1">
      <alignment horizontal="center" vertical="center"/>
    </xf>
    <xf numFmtId="0" fontId="119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9" fillId="9" borderId="28" xfId="0" applyFont="1" applyFill="1" applyBorder="1" applyAlignment="1">
      <alignment horizontal="center" vertical="center"/>
    </xf>
    <xf numFmtId="0" fontId="120" fillId="2" borderId="10" xfId="0" applyFont="1" applyFill="1" applyBorder="1"/>
    <xf numFmtId="0" fontId="120" fillId="2" borderId="17" xfId="0" applyFont="1" applyFill="1" applyBorder="1"/>
    <xf numFmtId="0" fontId="0" fillId="2" borderId="17" xfId="0" applyFill="1" applyBorder="1"/>
    <xf numFmtId="0" fontId="119" fillId="9" borderId="17" xfId="0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0" fontId="105" fillId="2" borderId="12" xfId="0" applyFont="1" applyFill="1" applyBorder="1" applyAlignment="1">
      <alignment horizontal="center" vertical="center"/>
    </xf>
    <xf numFmtId="9" fontId="119" fillId="2" borderId="12" xfId="0" applyNumberFormat="1" applyFont="1" applyFill="1" applyBorder="1" applyAlignment="1">
      <alignment horizontal="center" vertical="center"/>
    </xf>
    <xf numFmtId="1" fontId="119" fillId="8" borderId="28" xfId="0" applyNumberFormat="1" applyFont="1" applyFill="1" applyBorder="1" applyAlignment="1">
      <alignment horizontal="center" vertical="center"/>
    </xf>
    <xf numFmtId="0" fontId="114" fillId="18" borderId="28" xfId="0" applyFont="1" applyFill="1" applyBorder="1" applyAlignment="1">
      <alignment horizontal="center" vertical="center"/>
    </xf>
    <xf numFmtId="0" fontId="114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9" fillId="0" borderId="47" xfId="0" applyNumberFormat="1" applyFont="1" applyBorder="1" applyAlignment="1">
      <alignment horizontal="center"/>
    </xf>
    <xf numFmtId="1" fontId="119" fillId="0" borderId="12" xfId="0" applyNumberFormat="1" applyFont="1" applyBorder="1" applyAlignment="1">
      <alignment horizontal="center"/>
    </xf>
    <xf numFmtId="174" fontId="119" fillId="0" borderId="12" xfId="0" applyNumberFormat="1" applyFont="1" applyBorder="1" applyAlignment="1">
      <alignment horizontal="center"/>
    </xf>
    <xf numFmtId="0" fontId="119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9" fillId="2" borderId="12" xfId="0" applyFont="1" applyFill="1" applyBorder="1" applyAlignment="1">
      <alignment vertical="top" wrapText="1"/>
    </xf>
    <xf numFmtId="0" fontId="114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14" fillId="18" borderId="30" xfId="0" applyFont="1" applyFill="1" applyBorder="1" applyAlignment="1">
      <alignment horizontal="center" vertical="center"/>
    </xf>
    <xf numFmtId="0" fontId="114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14" fillId="20" borderId="12" xfId="0" applyFont="1" applyFill="1" applyBorder="1" applyAlignment="1">
      <alignment horizontal="center"/>
    </xf>
    <xf numFmtId="0" fontId="114" fillId="18" borderId="20" xfId="0" applyFont="1" applyFill="1" applyBorder="1" applyAlignment="1">
      <alignment horizontal="center" vertical="center"/>
    </xf>
    <xf numFmtId="0" fontId="114" fillId="18" borderId="21" xfId="0" applyFont="1" applyFill="1" applyBorder="1" applyAlignment="1">
      <alignment horizontal="center" vertical="center"/>
    </xf>
    <xf numFmtId="43" fontId="114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14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14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7" fillId="2" borderId="12" xfId="0" applyNumberFormat="1" applyFont="1" applyFill="1" applyBorder="1" applyAlignment="1">
      <alignment horizontal="center" vertical="center"/>
    </xf>
    <xf numFmtId="0" fontId="114" fillId="18" borderId="30" xfId="0" applyFont="1" applyFill="1" applyBorder="1" applyAlignment="1">
      <alignment horizontal="center"/>
    </xf>
    <xf numFmtId="0" fontId="114" fillId="18" borderId="32" xfId="0" applyFont="1" applyFill="1" applyBorder="1" applyAlignment="1">
      <alignment horizontal="center"/>
    </xf>
    <xf numFmtId="0" fontId="114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14" fillId="4" borderId="12" xfId="0" applyFont="1" applyFill="1" applyBorder="1"/>
    <xf numFmtId="0" fontId="114" fillId="18" borderId="12" xfId="0" applyFont="1" applyFill="1" applyBorder="1"/>
    <xf numFmtId="0" fontId="114" fillId="18" borderId="12" xfId="0" applyFont="1" applyFill="1" applyBorder="1" applyAlignment="1">
      <alignment horizontal="left"/>
    </xf>
    <xf numFmtId="0" fontId="95" fillId="2" borderId="12" xfId="0" applyFont="1" applyFill="1" applyBorder="1"/>
    <xf numFmtId="0" fontId="113" fillId="3" borderId="0" xfId="0" applyFont="1" applyFill="1" applyAlignment="1">
      <alignment horizontal="center"/>
    </xf>
    <xf numFmtId="0" fontId="113" fillId="3" borderId="19" xfId="0" applyFont="1" applyFill="1" applyBorder="1" applyAlignment="1">
      <alignment horizontal="center"/>
    </xf>
    <xf numFmtId="0" fontId="113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5" fillId="2" borderId="28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9" fillId="3" borderId="19" xfId="0" applyFont="1" applyFill="1" applyBorder="1" applyAlignment="1">
      <alignment horizontal="center" vertical="center"/>
    </xf>
    <xf numFmtId="165" fontId="129" fillId="3" borderId="21" xfId="1" applyNumberFormat="1" applyFont="1" applyFill="1" applyBorder="1" applyAlignment="1">
      <alignment horizontal="center" vertical="center"/>
    </xf>
    <xf numFmtId="166" fontId="129" fillId="3" borderId="21" xfId="0" applyNumberFormat="1" applyFont="1" applyFill="1" applyBorder="1" applyAlignment="1">
      <alignment horizontal="center" vertical="center"/>
    </xf>
    <xf numFmtId="9" fontId="129" fillId="3" borderId="21" xfId="2" applyFont="1" applyFill="1" applyBorder="1" applyAlignment="1">
      <alignment horizontal="center" vertical="center"/>
    </xf>
    <xf numFmtId="9" fontId="129" fillId="3" borderId="22" xfId="2" applyFont="1" applyFill="1" applyBorder="1" applyAlignment="1">
      <alignment horizontal="center" vertical="center" wrapText="1"/>
    </xf>
    <xf numFmtId="14" fontId="134" fillId="2" borderId="9" xfId="0" applyNumberFormat="1" applyFont="1" applyFill="1" applyBorder="1" applyAlignment="1">
      <alignment horizontal="center" vertical="center"/>
    </xf>
    <xf numFmtId="0" fontId="134" fillId="2" borderId="10" xfId="0" applyFont="1" applyFill="1" applyBorder="1" applyAlignment="1">
      <alignment vertical="center"/>
    </xf>
    <xf numFmtId="165" fontId="134" fillId="2" borderId="10" xfId="1" applyNumberFormat="1" applyFont="1" applyFill="1" applyBorder="1" applyAlignment="1">
      <alignment horizontal="center" vertical="center"/>
    </xf>
    <xf numFmtId="166" fontId="134" fillId="2" borderId="10" xfId="0" applyNumberFormat="1" applyFont="1" applyFill="1" applyBorder="1" applyAlignment="1">
      <alignment horizontal="center" vertical="center"/>
    </xf>
    <xf numFmtId="9" fontId="134" fillId="2" borderId="10" xfId="2" applyFont="1" applyFill="1" applyBorder="1" applyAlignment="1">
      <alignment horizontal="center" vertical="center"/>
    </xf>
    <xf numFmtId="167" fontId="134" fillId="2" borderId="11" xfId="1" applyNumberFormat="1" applyFont="1" applyFill="1" applyBorder="1" applyAlignment="1">
      <alignment horizontal="center" vertical="center"/>
    </xf>
    <xf numFmtId="0" fontId="134" fillId="2" borderId="11" xfId="0" applyFont="1" applyFill="1" applyBorder="1" applyAlignment="1">
      <alignment horizontal="center" vertical="center"/>
    </xf>
    <xf numFmtId="1" fontId="134" fillId="2" borderId="11" xfId="0" applyNumberFormat="1" applyFont="1" applyFill="1" applyBorder="1" applyAlignment="1">
      <alignment horizontal="center" vertical="center"/>
    </xf>
    <xf numFmtId="165" fontId="134" fillId="2" borderId="10" xfId="0" applyNumberFormat="1" applyFont="1" applyFill="1" applyBorder="1" applyAlignment="1">
      <alignment horizontal="center" vertical="center"/>
    </xf>
    <xf numFmtId="0" fontId="134" fillId="2" borderId="12" xfId="0" applyFont="1" applyFill="1" applyBorder="1"/>
    <xf numFmtId="14" fontId="134" fillId="2" borderId="14" xfId="0" applyNumberFormat="1" applyFont="1" applyFill="1" applyBorder="1" applyAlignment="1">
      <alignment horizontal="center" vertical="center"/>
    </xf>
    <xf numFmtId="0" fontId="134" fillId="2" borderId="15" xfId="0" applyFont="1" applyFill="1" applyBorder="1" applyAlignment="1">
      <alignment vertical="center"/>
    </xf>
    <xf numFmtId="165" fontId="134" fillId="2" borderId="15" xfId="1" applyNumberFormat="1" applyFont="1" applyFill="1" applyBorder="1" applyAlignment="1">
      <alignment horizontal="center" vertical="center"/>
    </xf>
    <xf numFmtId="166" fontId="134" fillId="2" borderId="15" xfId="0" applyNumberFormat="1" applyFont="1" applyFill="1" applyBorder="1" applyAlignment="1">
      <alignment horizontal="center" vertical="center"/>
    </xf>
    <xf numFmtId="9" fontId="134" fillId="2" borderId="15" xfId="2" applyFont="1" applyFill="1" applyBorder="1" applyAlignment="1">
      <alignment horizontal="center" vertical="center"/>
    </xf>
    <xf numFmtId="165" fontId="134" fillId="2" borderId="17" xfId="1" applyNumberFormat="1" applyFont="1" applyFill="1" applyBorder="1" applyAlignment="1">
      <alignment horizontal="center" vertical="center"/>
    </xf>
    <xf numFmtId="167" fontId="134" fillId="2" borderId="16" xfId="1" applyNumberFormat="1" applyFont="1" applyFill="1" applyBorder="1" applyAlignment="1">
      <alignment horizontal="center" vertical="center"/>
    </xf>
    <xf numFmtId="165" fontId="134" fillId="2" borderId="12" xfId="0" applyNumberFormat="1" applyFont="1" applyFill="1" applyBorder="1"/>
    <xf numFmtId="168" fontId="134" fillId="2" borderId="12" xfId="0" applyNumberFormat="1" applyFont="1" applyFill="1" applyBorder="1"/>
    <xf numFmtId="165" fontId="134" fillId="2" borderId="15" xfId="0" applyNumberFormat="1" applyFont="1" applyFill="1" applyBorder="1" applyAlignment="1">
      <alignment horizontal="center" vertical="center"/>
    </xf>
    <xf numFmtId="165" fontId="134" fillId="2" borderId="17" xfId="0" applyNumberFormat="1" applyFont="1" applyFill="1" applyBorder="1" applyAlignment="1">
      <alignment horizontal="center" vertical="center"/>
    </xf>
    <xf numFmtId="167" fontId="134" fillId="2" borderId="12" xfId="0" applyNumberFormat="1" applyFont="1" applyFill="1" applyBorder="1"/>
    <xf numFmtId="0" fontId="134" fillId="2" borderId="17" xfId="0" applyFont="1" applyFill="1" applyBorder="1" applyAlignment="1">
      <alignment vertical="center"/>
    </xf>
    <xf numFmtId="1" fontId="134" fillId="2" borderId="16" xfId="0" applyNumberFormat="1" applyFont="1" applyFill="1" applyBorder="1" applyAlignment="1">
      <alignment horizontal="center" vertical="center"/>
    </xf>
    <xf numFmtId="14" fontId="134" fillId="2" borderId="19" xfId="0" applyNumberFormat="1" applyFont="1" applyFill="1" applyBorder="1" applyAlignment="1">
      <alignment horizontal="center" vertical="center"/>
    </xf>
    <xf numFmtId="0" fontId="134" fillId="2" borderId="20" xfId="0" applyFont="1" applyFill="1" applyBorder="1" applyAlignment="1">
      <alignment vertical="center"/>
    </xf>
    <xf numFmtId="165" fontId="134" fillId="2" borderId="20" xfId="1" applyNumberFormat="1" applyFont="1" applyFill="1" applyBorder="1" applyAlignment="1">
      <alignment horizontal="center" vertical="center"/>
    </xf>
    <xf numFmtId="166" fontId="134" fillId="2" borderId="21" xfId="0" applyNumberFormat="1" applyFont="1" applyFill="1" applyBorder="1" applyAlignment="1">
      <alignment horizontal="center" vertical="center"/>
    </xf>
    <xf numFmtId="9" fontId="134" fillId="2" borderId="21" xfId="2" applyFont="1" applyFill="1" applyBorder="1" applyAlignment="1">
      <alignment horizontal="center" vertical="center"/>
    </xf>
    <xf numFmtId="167" fontId="134" fillId="2" borderId="22" xfId="1" applyNumberFormat="1" applyFont="1" applyFill="1" applyBorder="1" applyAlignment="1">
      <alignment horizontal="center" vertical="center"/>
    </xf>
    <xf numFmtId="1" fontId="134" fillId="2" borderId="22" xfId="0" applyNumberFormat="1" applyFont="1" applyFill="1" applyBorder="1" applyAlignment="1">
      <alignment horizontal="center" vertical="center"/>
    </xf>
    <xf numFmtId="165" fontId="134" fillId="2" borderId="21" xfId="0" applyNumberFormat="1" applyFont="1" applyFill="1" applyBorder="1" applyAlignment="1">
      <alignment horizontal="center" vertical="center"/>
    </xf>
    <xf numFmtId="165" fontId="134" fillId="2" borderId="20" xfId="0" applyNumberFormat="1" applyFont="1" applyFill="1" applyBorder="1" applyAlignment="1">
      <alignment horizontal="center" vertical="center"/>
    </xf>
    <xf numFmtId="165" fontId="134" fillId="2" borderId="23" xfId="0" applyNumberFormat="1" applyFont="1" applyFill="1" applyBorder="1" applyAlignment="1">
      <alignment horizontal="center" vertical="center"/>
    </xf>
    <xf numFmtId="165" fontId="134" fillId="2" borderId="25" xfId="0" applyNumberFormat="1" applyFont="1" applyFill="1" applyBorder="1" applyAlignment="1">
      <alignment horizontal="center" vertical="center"/>
    </xf>
    <xf numFmtId="0" fontId="134" fillId="2" borderId="16" xfId="0" applyFont="1" applyFill="1" applyBorder="1" applyAlignment="1">
      <alignment horizontal="center" vertical="center"/>
    </xf>
    <xf numFmtId="0" fontId="134" fillId="2" borderId="27" xfId="0" applyFont="1" applyFill="1" applyBorder="1" applyAlignment="1">
      <alignment vertical="center"/>
    </xf>
    <xf numFmtId="165" fontId="134" fillId="2" borderId="27" xfId="1" applyNumberFormat="1" applyFont="1" applyFill="1" applyBorder="1" applyAlignment="1">
      <alignment horizontal="center" vertical="center"/>
    </xf>
    <xf numFmtId="166" fontId="134" fillId="2" borderId="27" xfId="0" applyNumberFormat="1" applyFont="1" applyFill="1" applyBorder="1" applyAlignment="1">
      <alignment horizontal="center" vertical="center"/>
    </xf>
    <xf numFmtId="9" fontId="134" fillId="2" borderId="27" xfId="2" applyFont="1" applyFill="1" applyBorder="1" applyAlignment="1">
      <alignment horizontal="center" vertical="center"/>
    </xf>
    <xf numFmtId="165" fontId="134" fillId="2" borderId="15" xfId="0" applyNumberFormat="1" applyFont="1" applyFill="1" applyBorder="1" applyAlignment="1">
      <alignment vertical="center"/>
    </xf>
    <xf numFmtId="165" fontId="134" fillId="2" borderId="17" xfId="0" applyNumberFormat="1" applyFont="1" applyFill="1" applyBorder="1" applyAlignment="1">
      <alignment vertical="center"/>
    </xf>
    <xf numFmtId="175" fontId="134" fillId="2" borderId="27" xfId="2" applyNumberFormat="1" applyFont="1" applyFill="1" applyBorder="1" applyAlignment="1">
      <alignment horizontal="center" vertical="center"/>
    </xf>
    <xf numFmtId="14" fontId="129" fillId="4" borderId="19" xfId="0" applyNumberFormat="1" applyFont="1" applyFill="1" applyBorder="1" applyAlignment="1">
      <alignment horizontal="center" vertical="center"/>
    </xf>
    <xf numFmtId="0" fontId="129" fillId="4" borderId="21" xfId="0" applyFont="1" applyFill="1" applyBorder="1" applyAlignment="1">
      <alignment vertical="center"/>
    </xf>
    <xf numFmtId="165" fontId="129" fillId="4" borderId="21" xfId="1" applyNumberFormat="1" applyFont="1" applyFill="1" applyBorder="1" applyAlignment="1">
      <alignment horizontal="center" vertical="center"/>
    </xf>
    <xf numFmtId="166" fontId="129" fillId="4" borderId="21" xfId="0" applyNumberFormat="1" applyFont="1" applyFill="1" applyBorder="1" applyAlignment="1">
      <alignment horizontal="center" vertical="center"/>
    </xf>
    <xf numFmtId="9" fontId="129" fillId="4" borderId="21" xfId="2" applyFont="1" applyFill="1" applyBorder="1" applyAlignment="1">
      <alignment horizontal="center" vertical="center"/>
    </xf>
    <xf numFmtId="167" fontId="129" fillId="4" borderId="22" xfId="1" applyNumberFormat="1" applyFont="1" applyFill="1" applyBorder="1" applyAlignment="1">
      <alignment horizontal="center" vertical="center"/>
    </xf>
    <xf numFmtId="0" fontId="129" fillId="4" borderId="22" xfId="0" applyFont="1" applyFill="1" applyBorder="1" applyAlignment="1">
      <alignment horizontal="center" vertical="center"/>
    </xf>
    <xf numFmtId="1" fontId="129" fillId="4" borderId="22" xfId="0" applyNumberFormat="1" applyFont="1" applyFill="1" applyBorder="1" applyAlignment="1">
      <alignment horizontal="center" vertical="center"/>
    </xf>
    <xf numFmtId="165" fontId="129" fillId="4" borderId="21" xfId="0" applyNumberFormat="1" applyFont="1" applyFill="1" applyBorder="1" applyAlignment="1">
      <alignment horizontal="center" vertical="center"/>
    </xf>
    <xf numFmtId="0" fontId="129" fillId="4" borderId="17" xfId="0" applyFont="1" applyFill="1" applyBorder="1"/>
    <xf numFmtId="165" fontId="129" fillId="4" borderId="17" xfId="1" applyNumberFormat="1" applyFont="1" applyFill="1" applyBorder="1" applyAlignment="1">
      <alignment horizontal="center" vertical="center"/>
    </xf>
    <xf numFmtId="9" fontId="129" fillId="4" borderId="17" xfId="2" applyFont="1" applyFill="1" applyBorder="1" applyAlignment="1">
      <alignment horizontal="center" vertical="center"/>
    </xf>
    <xf numFmtId="1" fontId="129" fillId="4" borderId="17" xfId="0" applyNumberFormat="1" applyFont="1" applyFill="1" applyBorder="1" applyAlignment="1">
      <alignment horizontal="center"/>
    </xf>
    <xf numFmtId="165" fontId="129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9" fillId="4" borderId="54" xfId="0" applyNumberFormat="1" applyFont="1" applyFill="1" applyBorder="1" applyAlignment="1">
      <alignment vertical="center"/>
    </xf>
    <xf numFmtId="0" fontId="129" fillId="3" borderId="22" xfId="0" applyFont="1" applyFill="1" applyBorder="1" applyAlignment="1">
      <alignment horizontal="center" vertical="center" wrapText="1"/>
    </xf>
    <xf numFmtId="0" fontId="129" fillId="3" borderId="21" xfId="0" applyFont="1" applyFill="1" applyBorder="1" applyAlignment="1">
      <alignment horizontal="center" vertical="center"/>
    </xf>
    <xf numFmtId="0" fontId="129" fillId="3" borderId="21" xfId="0" applyFont="1" applyFill="1" applyBorder="1" applyAlignment="1">
      <alignment horizontal="center" vertical="center" wrapText="1"/>
    </xf>
    <xf numFmtId="0" fontId="129" fillId="20" borderId="28" xfId="0" applyFont="1" applyFill="1" applyBorder="1" applyAlignment="1">
      <alignment horizontal="center" vertical="center"/>
    </xf>
    <xf numFmtId="14" fontId="134" fillId="17" borderId="9" xfId="0" applyNumberFormat="1" applyFont="1" applyFill="1" applyBorder="1" applyAlignment="1">
      <alignment horizontal="center" vertical="center"/>
    </xf>
    <xf numFmtId="0" fontId="134" fillId="17" borderId="10" xfId="0" applyFont="1" applyFill="1" applyBorder="1" applyAlignment="1">
      <alignment vertical="center"/>
    </xf>
    <xf numFmtId="165" fontId="134" fillId="17" borderId="10" xfId="1" applyNumberFormat="1" applyFont="1" applyFill="1" applyBorder="1" applyAlignment="1">
      <alignment horizontal="center" vertical="center"/>
    </xf>
    <xf numFmtId="166" fontId="134" fillId="17" borderId="10" xfId="0" applyNumberFormat="1" applyFont="1" applyFill="1" applyBorder="1" applyAlignment="1">
      <alignment horizontal="center" vertical="center"/>
    </xf>
    <xf numFmtId="9" fontId="134" fillId="17" borderId="10" xfId="2" applyFont="1" applyFill="1" applyBorder="1" applyAlignment="1">
      <alignment horizontal="center" vertical="center"/>
    </xf>
    <xf numFmtId="167" fontId="134" fillId="17" borderId="11" xfId="1" applyNumberFormat="1" applyFont="1" applyFill="1" applyBorder="1" applyAlignment="1">
      <alignment horizontal="center" vertical="center"/>
    </xf>
    <xf numFmtId="1" fontId="134" fillId="17" borderId="11" xfId="0" applyNumberFormat="1" applyFont="1" applyFill="1" applyBorder="1" applyAlignment="1">
      <alignment horizontal="center" vertical="center"/>
    </xf>
    <xf numFmtId="165" fontId="134" fillId="17" borderId="10" xfId="0" applyNumberFormat="1" applyFont="1" applyFill="1" applyBorder="1" applyAlignment="1">
      <alignment horizontal="center" vertical="center"/>
    </xf>
    <xf numFmtId="0" fontId="134" fillId="17" borderId="12" xfId="0" applyFont="1" applyFill="1" applyBorder="1"/>
    <xf numFmtId="14" fontId="134" fillId="17" borderId="14" xfId="0" applyNumberFormat="1" applyFont="1" applyFill="1" applyBorder="1" applyAlignment="1">
      <alignment horizontal="center" vertical="center"/>
    </xf>
    <xf numFmtId="0" fontId="134" fillId="17" borderId="15" xfId="0" applyFont="1" applyFill="1" applyBorder="1" applyAlignment="1">
      <alignment vertical="center"/>
    </xf>
    <xf numFmtId="165" fontId="134" fillId="17" borderId="17" xfId="1" applyNumberFormat="1" applyFont="1" applyFill="1" applyBorder="1" applyAlignment="1">
      <alignment horizontal="center" vertical="center"/>
    </xf>
    <xf numFmtId="9" fontId="134" fillId="17" borderId="15" xfId="2" applyFont="1" applyFill="1" applyBorder="1" applyAlignment="1">
      <alignment horizontal="center" vertical="center"/>
    </xf>
    <xf numFmtId="167" fontId="134" fillId="17" borderId="16" xfId="1" applyNumberFormat="1" applyFont="1" applyFill="1" applyBorder="1" applyAlignment="1">
      <alignment horizontal="center" vertical="center"/>
    </xf>
    <xf numFmtId="165" fontId="134" fillId="17" borderId="15" xfId="0" applyNumberFormat="1" applyFont="1" applyFill="1" applyBorder="1" applyAlignment="1">
      <alignment horizontal="center" vertical="center"/>
    </xf>
    <xf numFmtId="165" fontId="134" fillId="17" borderId="12" xfId="0" applyNumberFormat="1" applyFont="1" applyFill="1" applyBorder="1"/>
    <xf numFmtId="165" fontId="134" fillId="17" borderId="17" xfId="0" applyNumberFormat="1" applyFont="1" applyFill="1" applyBorder="1" applyAlignment="1">
      <alignment horizontal="center" vertical="center"/>
    </xf>
    <xf numFmtId="0" fontId="134" fillId="17" borderId="17" xfId="0" applyFont="1" applyFill="1" applyBorder="1" applyAlignment="1">
      <alignment vertical="center"/>
    </xf>
    <xf numFmtId="1" fontId="134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14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14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14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94" fillId="2" borderId="12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horizontal="center" vertical="center"/>
    </xf>
    <xf numFmtId="0" fontId="91" fillId="2" borderId="7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left" vertical="center"/>
    </xf>
    <xf numFmtId="0" fontId="134" fillId="2" borderId="12" xfId="0" applyFont="1" applyFill="1" applyBorder="1" applyAlignment="1">
      <alignment wrapText="1"/>
    </xf>
    <xf numFmtId="0" fontId="90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14" fillId="4" borderId="12" xfId="0" applyFont="1" applyFill="1" applyBorder="1" applyAlignment="1">
      <alignment horizontal="center" wrapText="1"/>
    </xf>
    <xf numFmtId="166" fontId="135" fillId="17" borderId="10" xfId="0" applyNumberFormat="1" applyFont="1" applyFill="1" applyBorder="1" applyAlignment="1">
      <alignment horizontal="center" vertical="center"/>
    </xf>
    <xf numFmtId="166" fontId="135" fillId="2" borderId="21" xfId="0" applyNumberFormat="1" applyFont="1" applyFill="1" applyBorder="1" applyAlignment="1">
      <alignment horizontal="center" vertical="center"/>
    </xf>
    <xf numFmtId="166" fontId="135" fillId="17" borderId="15" xfId="0" applyNumberFormat="1" applyFont="1" applyFill="1" applyBorder="1" applyAlignment="1">
      <alignment horizontal="center" vertical="center"/>
    </xf>
    <xf numFmtId="166" fontId="135" fillId="2" borderId="15" xfId="0" applyNumberFormat="1" applyFont="1" applyFill="1" applyBorder="1" applyAlignment="1">
      <alignment horizontal="center" vertical="center"/>
    </xf>
    <xf numFmtId="166" fontId="135" fillId="2" borderId="10" xfId="0" applyNumberFormat="1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9" fillId="18" borderId="12" xfId="0" applyFont="1" applyFill="1" applyBorder="1" applyAlignment="1">
      <alignment horizontal="center"/>
    </xf>
    <xf numFmtId="0" fontId="114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14" fillId="18" borderId="12" xfId="0" applyNumberFormat="1" applyFont="1" applyFill="1" applyBorder="1" applyAlignment="1">
      <alignment horizontal="center" wrapText="1"/>
    </xf>
    <xf numFmtId="14" fontId="88" fillId="2" borderId="12" xfId="0" applyNumberFormat="1" applyFont="1" applyFill="1" applyBorder="1"/>
    <xf numFmtId="0" fontId="87" fillId="2" borderId="12" xfId="0" applyFont="1" applyFill="1" applyBorder="1" applyAlignment="1">
      <alignment vertical="center"/>
    </xf>
    <xf numFmtId="0" fontId="87" fillId="2" borderId="12" xfId="0" applyFont="1" applyFill="1" applyBorder="1" applyAlignment="1">
      <alignment horizontal="center" vertical="center"/>
    </xf>
    <xf numFmtId="173" fontId="119" fillId="0" borderId="47" xfId="0" applyNumberFormat="1" applyFont="1" applyBorder="1" applyAlignment="1">
      <alignment horizontal="center"/>
    </xf>
    <xf numFmtId="1" fontId="119" fillId="0" borderId="20" xfId="0" applyNumberFormat="1" applyFont="1" applyBorder="1" applyAlignment="1">
      <alignment horizontal="center"/>
    </xf>
    <xf numFmtId="0" fontId="119" fillId="0" borderId="20" xfId="0" applyFont="1" applyBorder="1"/>
    <xf numFmtId="9" fontId="119" fillId="0" borderId="20" xfId="0" applyNumberFormat="1" applyFont="1" applyBorder="1" applyAlignment="1">
      <alignment horizontal="center"/>
    </xf>
    <xf numFmtId="0" fontId="119" fillId="0" borderId="20" xfId="0" applyFont="1" applyBorder="1" applyAlignment="1">
      <alignment horizontal="center"/>
    </xf>
    <xf numFmtId="173" fontId="119" fillId="14" borderId="12" xfId="0" applyNumberFormat="1" applyFont="1" applyFill="1" applyBorder="1" applyAlignment="1">
      <alignment horizontal="center"/>
    </xf>
    <xf numFmtId="43" fontId="119" fillId="14" borderId="12" xfId="1" applyFont="1" applyFill="1" applyBorder="1" applyAlignment="1">
      <alignment horizontal="center"/>
    </xf>
    <xf numFmtId="0" fontId="119" fillId="21" borderId="12" xfId="0" applyFont="1" applyFill="1" applyBorder="1" applyAlignment="1">
      <alignment horizontal="center"/>
    </xf>
    <xf numFmtId="0" fontId="119" fillId="14" borderId="12" xfId="0" applyFont="1" applyFill="1" applyBorder="1"/>
    <xf numFmtId="1" fontId="119" fillId="21" borderId="12" xfId="0" applyNumberFormat="1" applyFont="1" applyFill="1" applyBorder="1" applyAlignment="1">
      <alignment horizontal="center"/>
    </xf>
    <xf numFmtId="2" fontId="119" fillId="21" borderId="12" xfId="0" applyNumberFormat="1" applyFont="1" applyFill="1" applyBorder="1" applyAlignment="1">
      <alignment horizontal="center"/>
    </xf>
    <xf numFmtId="176" fontId="119" fillId="21" borderId="12" xfId="0" applyNumberFormat="1" applyFont="1" applyFill="1" applyBorder="1" applyAlignment="1">
      <alignment horizontal="center"/>
    </xf>
    <xf numFmtId="9" fontId="119" fillId="21" borderId="12" xfId="0" applyNumberFormat="1" applyFont="1" applyFill="1" applyBorder="1" applyAlignment="1">
      <alignment horizontal="center"/>
    </xf>
    <xf numFmtId="0" fontId="119" fillId="14" borderId="12" xfId="0" applyFont="1" applyFill="1" applyBorder="1" applyAlignment="1">
      <alignment horizontal="center"/>
    </xf>
    <xf numFmtId="0" fontId="121" fillId="21" borderId="12" xfId="0" applyFont="1" applyFill="1" applyBorder="1" applyAlignment="1">
      <alignment horizontal="center" wrapText="1"/>
    </xf>
    <xf numFmtId="43" fontId="119" fillId="21" borderId="12" xfId="1" applyFont="1" applyFill="1" applyBorder="1" applyAlignment="1">
      <alignment horizontal="center"/>
    </xf>
    <xf numFmtId="1" fontId="119" fillId="14" borderId="48" xfId="0" applyNumberFormat="1" applyFont="1" applyFill="1" applyBorder="1" applyAlignment="1">
      <alignment horizontal="center"/>
    </xf>
    <xf numFmtId="0" fontId="114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6" fillId="2" borderId="7" xfId="0" applyFont="1" applyFill="1" applyBorder="1" applyAlignment="1">
      <alignment vertical="center"/>
    </xf>
    <xf numFmtId="0" fontId="114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84" fillId="2" borderId="7" xfId="0" applyFont="1" applyFill="1" applyBorder="1" applyAlignment="1">
      <alignment vertical="center"/>
    </xf>
    <xf numFmtId="0" fontId="117" fillId="16" borderId="0" xfId="0" applyFont="1" applyFill="1"/>
    <xf numFmtId="0" fontId="0" fillId="16" borderId="0" xfId="0" applyFill="1"/>
    <xf numFmtId="180" fontId="117" fillId="16" borderId="0" xfId="3" applyNumberFormat="1" applyFont="1" applyFill="1"/>
    <xf numFmtId="0" fontId="114" fillId="0" borderId="0" xfId="0" applyFont="1" applyAlignment="1">
      <alignment horizontal="center"/>
    </xf>
    <xf numFmtId="0" fontId="114" fillId="18" borderId="7" xfId="0" applyFont="1" applyFill="1" applyBorder="1" applyAlignment="1">
      <alignment horizontal="center"/>
    </xf>
    <xf numFmtId="0" fontId="114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7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14" fillId="4" borderId="12" xfId="0" applyNumberFormat="1" applyFont="1" applyFill="1" applyBorder="1" applyAlignment="1">
      <alignment horizontal="center"/>
    </xf>
    <xf numFmtId="0" fontId="113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80" fillId="2" borderId="7" xfId="0" applyFont="1" applyFill="1" applyBorder="1" applyAlignment="1">
      <alignment vertical="center"/>
    </xf>
    <xf numFmtId="0" fontId="79" fillId="2" borderId="28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8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13" fillId="2" borderId="13" xfId="0" applyNumberFormat="1" applyFont="1" applyFill="1" applyBorder="1" applyAlignment="1">
      <alignment vertical="center"/>
    </xf>
    <xf numFmtId="14" fontId="113" fillId="2" borderId="14" xfId="0" applyNumberFormat="1" applyFont="1" applyFill="1" applyBorder="1" applyAlignment="1">
      <alignment vertical="center"/>
    </xf>
    <xf numFmtId="1" fontId="129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left" vertical="center"/>
    </xf>
    <xf numFmtId="14" fontId="74" fillId="2" borderId="20" xfId="0" applyNumberFormat="1" applyFont="1" applyFill="1" applyBorder="1" applyAlignment="1">
      <alignment horizontal="center" vertical="center"/>
    </xf>
    <xf numFmtId="0" fontId="74" fillId="2" borderId="7" xfId="0" applyFont="1" applyFill="1" applyBorder="1" applyAlignment="1">
      <alignment vertical="center"/>
    </xf>
    <xf numFmtId="0" fontId="73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9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13" fillId="2" borderId="12" xfId="0" applyNumberFormat="1" applyFont="1" applyFill="1" applyBorder="1" applyAlignment="1">
      <alignment horizontal="center" vertical="center"/>
    </xf>
    <xf numFmtId="1" fontId="113" fillId="2" borderId="12" xfId="0" applyNumberFormat="1" applyFont="1" applyFill="1" applyBorder="1" applyAlignment="1">
      <alignment horizontal="center" vertical="center"/>
    </xf>
    <xf numFmtId="14" fontId="113" fillId="23" borderId="12" xfId="0" applyNumberFormat="1" applyFont="1" applyFill="1" applyBorder="1" applyAlignment="1">
      <alignment horizontal="center" vertical="center"/>
    </xf>
    <xf numFmtId="20" fontId="113" fillId="23" borderId="12" xfId="0" applyNumberFormat="1" applyFont="1" applyFill="1" applyBorder="1" applyAlignment="1">
      <alignment horizontal="center" vertical="center"/>
    </xf>
    <xf numFmtId="1" fontId="113" fillId="23" borderId="12" xfId="0" applyNumberFormat="1" applyFont="1" applyFill="1" applyBorder="1" applyAlignment="1">
      <alignment horizontal="center" vertical="center"/>
    </xf>
    <xf numFmtId="14" fontId="113" fillId="22" borderId="12" xfId="0" applyNumberFormat="1" applyFont="1" applyFill="1" applyBorder="1" applyAlignment="1">
      <alignment horizontal="center" vertical="center"/>
    </xf>
    <xf numFmtId="20" fontId="113" fillId="22" borderId="12" xfId="0" applyNumberFormat="1" applyFont="1" applyFill="1" applyBorder="1" applyAlignment="1">
      <alignment horizontal="center" vertical="center"/>
    </xf>
    <xf numFmtId="1" fontId="113" fillId="22" borderId="12" xfId="0" applyNumberFormat="1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30" fillId="2" borderId="0" xfId="0" applyFont="1" applyFill="1" applyAlignment="1">
      <alignment horizontal="center"/>
    </xf>
    <xf numFmtId="14" fontId="84" fillId="22" borderId="10" xfId="0" applyNumberFormat="1" applyFont="1" applyFill="1" applyBorder="1" applyAlignment="1">
      <alignment horizontal="center" vertical="center"/>
    </xf>
    <xf numFmtId="14" fontId="84" fillId="22" borderId="17" xfId="0" applyNumberFormat="1" applyFont="1" applyFill="1" applyBorder="1" applyAlignment="1">
      <alignment horizontal="center" vertical="center"/>
    </xf>
    <xf numFmtId="14" fontId="82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84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84" fillId="23" borderId="17" xfId="0" applyNumberFormat="1" applyFont="1" applyFill="1" applyBorder="1" applyAlignment="1">
      <alignment horizontal="center" vertical="center"/>
    </xf>
    <xf numFmtId="14" fontId="113" fillId="23" borderId="17" xfId="0" applyNumberFormat="1" applyFont="1" applyFill="1" applyBorder="1" applyAlignment="1">
      <alignment horizontal="center" vertical="center"/>
    </xf>
    <xf numFmtId="14" fontId="85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5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83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83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13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6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 wrapText="1"/>
    </xf>
    <xf numFmtId="14" fontId="78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7" fillId="22" borderId="28" xfId="0" applyNumberFormat="1" applyFont="1" applyFill="1" applyBorder="1" applyAlignment="1">
      <alignment horizontal="center" vertical="center"/>
    </xf>
    <xf numFmtId="14" fontId="78" fillId="23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14" fontId="75" fillId="23" borderId="20" xfId="0" applyNumberFormat="1" applyFont="1" applyFill="1" applyBorder="1" applyAlignment="1">
      <alignment horizontal="center" vertical="center"/>
    </xf>
    <xf numFmtId="14" fontId="74" fillId="23" borderId="20" xfId="0" applyNumberFormat="1" applyFont="1" applyFill="1" applyBorder="1" applyAlignment="1">
      <alignment horizontal="center" vertical="center"/>
    </xf>
    <xf numFmtId="14" fontId="74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14" fillId="2" borderId="0" xfId="0" applyFont="1" applyFill="1"/>
    <xf numFmtId="0" fontId="114" fillId="22" borderId="10" xfId="0" applyFont="1" applyFill="1" applyBorder="1" applyAlignment="1">
      <alignment horizontal="center"/>
    </xf>
    <xf numFmtId="0" fontId="114" fillId="22" borderId="17" xfId="0" applyFont="1" applyFill="1" applyBorder="1" applyAlignment="1">
      <alignment horizontal="center"/>
    </xf>
    <xf numFmtId="0" fontId="114" fillId="23" borderId="10" xfId="0" applyFont="1" applyFill="1" applyBorder="1" applyAlignment="1">
      <alignment horizontal="center"/>
    </xf>
    <xf numFmtId="0" fontId="114" fillId="23" borderId="17" xfId="0" applyFont="1" applyFill="1" applyBorder="1" applyAlignment="1">
      <alignment horizontal="center"/>
    </xf>
    <xf numFmtId="0" fontId="114" fillId="23" borderId="28" xfId="0" applyFont="1" applyFill="1" applyBorder="1" applyAlignment="1">
      <alignment horizontal="center"/>
    </xf>
    <xf numFmtId="0" fontId="114" fillId="23" borderId="20" xfId="0" applyFont="1" applyFill="1" applyBorder="1" applyAlignment="1">
      <alignment horizontal="center"/>
    </xf>
    <xf numFmtId="0" fontId="114" fillId="22" borderId="12" xfId="0" applyFont="1" applyFill="1" applyBorder="1" applyAlignment="1">
      <alignment horizontal="center"/>
    </xf>
    <xf numFmtId="0" fontId="114" fillId="22" borderId="28" xfId="0" applyFont="1" applyFill="1" applyBorder="1" applyAlignment="1">
      <alignment horizontal="center"/>
    </xf>
    <xf numFmtId="0" fontId="114" fillId="23" borderId="12" xfId="0" applyFont="1" applyFill="1" applyBorder="1" applyAlignment="1">
      <alignment horizontal="center"/>
    </xf>
    <xf numFmtId="0" fontId="114" fillId="2" borderId="20" xfId="0" applyFont="1" applyFill="1" applyBorder="1" applyAlignment="1">
      <alignment horizontal="center"/>
    </xf>
    <xf numFmtId="0" fontId="114" fillId="2" borderId="10" xfId="0" applyFont="1" applyFill="1" applyBorder="1" applyAlignment="1">
      <alignment horizontal="center"/>
    </xf>
    <xf numFmtId="14" fontId="81" fillId="22" borderId="12" xfId="0" applyNumberFormat="1" applyFont="1" applyFill="1" applyBorder="1" applyAlignment="1">
      <alignment horizontal="center" vertical="center" wrapText="1"/>
    </xf>
    <xf numFmtId="14" fontId="76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104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14" fillId="2" borderId="0" xfId="0" applyFont="1" applyFill="1" applyAlignment="1">
      <alignment horizontal="center" vertical="center"/>
    </xf>
    <xf numFmtId="0" fontId="114" fillId="3" borderId="0" xfId="0" applyFont="1" applyFill="1" applyAlignment="1">
      <alignment horizontal="center" vertical="center"/>
    </xf>
    <xf numFmtId="20" fontId="110" fillId="22" borderId="12" xfId="0" applyNumberFormat="1" applyFont="1" applyFill="1" applyBorder="1" applyAlignment="1">
      <alignment horizontal="center" vertical="center"/>
    </xf>
    <xf numFmtId="0" fontId="84" fillId="22" borderId="12" xfId="0" applyFont="1" applyFill="1" applyBorder="1" applyAlignment="1">
      <alignment horizontal="left" vertical="top" wrapText="1"/>
    </xf>
    <xf numFmtId="0" fontId="83" fillId="22" borderId="12" xfId="0" applyFont="1" applyFill="1" applyBorder="1" applyAlignment="1">
      <alignment horizontal="left" vertical="center" wrapText="1"/>
    </xf>
    <xf numFmtId="0" fontId="83" fillId="23" borderId="12" xfId="0" applyFont="1" applyFill="1" applyBorder="1" applyAlignment="1">
      <alignment horizontal="left" vertical="center" wrapText="1"/>
    </xf>
    <xf numFmtId="20" fontId="107" fillId="23" borderId="12" xfId="0" applyNumberFormat="1" applyFont="1" applyFill="1" applyBorder="1" applyAlignment="1">
      <alignment horizontal="center" vertical="center"/>
    </xf>
    <xf numFmtId="0" fontId="83" fillId="23" borderId="12" xfId="0" applyFont="1" applyFill="1" applyBorder="1" applyAlignment="1">
      <alignment horizontal="left" vertical="center"/>
    </xf>
    <xf numFmtId="0" fontId="110" fillId="22" borderId="12" xfId="0" applyFont="1" applyFill="1" applyBorder="1" applyAlignment="1">
      <alignment horizontal="center" vertical="center"/>
    </xf>
    <xf numFmtId="0" fontId="109" fillId="22" borderId="12" xfId="0" applyFont="1" applyFill="1" applyBorder="1" applyAlignment="1">
      <alignment horizontal="center" vertical="center"/>
    </xf>
    <xf numFmtId="0" fontId="109" fillId="23" borderId="12" xfId="0" applyFont="1" applyFill="1" applyBorder="1" applyAlignment="1">
      <alignment horizontal="center" vertical="center"/>
    </xf>
    <xf numFmtId="0" fontId="108" fillId="23" borderId="12" xfId="0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horizontal="center" vertical="center"/>
    </xf>
    <xf numFmtId="0" fontId="103" fillId="23" borderId="12" xfId="0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14" fontId="105" fillId="22" borderId="12" xfId="0" applyNumberFormat="1" applyFont="1" applyFill="1" applyBorder="1" applyAlignment="1">
      <alignment horizontal="center" vertical="center"/>
    </xf>
    <xf numFmtId="0" fontId="106" fillId="22" borderId="12" xfId="0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left" vertical="center" wrapText="1"/>
    </xf>
    <xf numFmtId="0" fontId="78" fillId="22" borderId="12" xfId="0" applyFont="1" applyFill="1" applyBorder="1" applyAlignment="1">
      <alignment horizontal="center" vertical="center"/>
    </xf>
    <xf numFmtId="0" fontId="78" fillId="22" borderId="12" xfId="0" applyFont="1" applyFill="1" applyBorder="1" applyAlignment="1">
      <alignment horizontal="left" vertical="center" wrapText="1"/>
    </xf>
    <xf numFmtId="0" fontId="104" fillId="22" borderId="12" xfId="0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left" vertical="center" wrapText="1"/>
    </xf>
    <xf numFmtId="0" fontId="104" fillId="23" borderId="12" xfId="0" applyFont="1" applyFill="1" applyBorder="1" applyAlignment="1">
      <alignment horizontal="center" vertical="center"/>
    </xf>
    <xf numFmtId="0" fontId="77" fillId="23" borderId="12" xfId="0" applyFont="1" applyFill="1" applyBorder="1" applyAlignment="1">
      <alignment horizontal="left" vertical="center" wrapText="1"/>
    </xf>
    <xf numFmtId="0" fontId="74" fillId="23" borderId="12" xfId="0" applyFont="1" applyFill="1" applyBorder="1" applyAlignment="1">
      <alignment horizontal="center" vertical="center"/>
    </xf>
    <xf numFmtId="0" fontId="103" fillId="22" borderId="12" xfId="0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101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71" fillId="2" borderId="20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" fontId="113" fillId="23" borderId="28" xfId="0" applyNumberFormat="1" applyFont="1" applyFill="1" applyBorder="1" applyAlignment="1">
      <alignment horizontal="center" vertical="center"/>
    </xf>
    <xf numFmtId="0" fontId="100" fillId="23" borderId="20" xfId="0" applyFont="1" applyFill="1" applyBorder="1" applyAlignment="1">
      <alignment horizontal="center" vertical="center"/>
    </xf>
    <xf numFmtId="20" fontId="113" fillId="23" borderId="20" xfId="0" applyNumberFormat="1" applyFont="1" applyFill="1" applyBorder="1" applyAlignment="1">
      <alignment horizontal="center" vertical="center"/>
    </xf>
    <xf numFmtId="0" fontId="99" fillId="23" borderId="28" xfId="0" applyFont="1" applyFill="1" applyBorder="1" applyAlignment="1">
      <alignment horizontal="center" vertical="center"/>
    </xf>
    <xf numFmtId="20" fontId="113" fillId="23" borderId="28" xfId="0" applyNumberFormat="1" applyFont="1" applyFill="1" applyBorder="1" applyAlignment="1">
      <alignment horizontal="center" vertical="center"/>
    </xf>
    <xf numFmtId="0" fontId="99" fillId="23" borderId="70" xfId="0" applyFont="1" applyFill="1" applyBorder="1" applyAlignment="1">
      <alignment horizontal="center" vertical="center"/>
    </xf>
    <xf numFmtId="20" fontId="113" fillId="23" borderId="70" xfId="0" applyNumberFormat="1" applyFont="1" applyFill="1" applyBorder="1" applyAlignment="1">
      <alignment horizontal="center" vertical="center"/>
    </xf>
    <xf numFmtId="1" fontId="113" fillId="23" borderId="70" xfId="0" applyNumberFormat="1" applyFont="1" applyFill="1" applyBorder="1" applyAlignment="1">
      <alignment horizontal="center" vertical="center"/>
    </xf>
    <xf numFmtId="0" fontId="71" fillId="23" borderId="70" xfId="0" applyFont="1" applyFill="1" applyBorder="1" applyAlignment="1">
      <alignment horizontal="left" vertical="center" wrapText="1"/>
    </xf>
    <xf numFmtId="1" fontId="113" fillId="22" borderId="7" xfId="0" applyNumberFormat="1" applyFont="1" applyFill="1" applyBorder="1" applyAlignment="1">
      <alignment horizontal="center" vertical="center"/>
    </xf>
    <xf numFmtId="0" fontId="114" fillId="22" borderId="20" xfId="0" applyFont="1" applyFill="1" applyBorder="1" applyAlignment="1">
      <alignment horizontal="left"/>
    </xf>
    <xf numFmtId="0" fontId="71" fillId="22" borderId="68" xfId="0" applyFont="1" applyFill="1" applyBorder="1" applyAlignment="1">
      <alignment horizontal="left" vertical="center" wrapText="1"/>
    </xf>
    <xf numFmtId="1" fontId="113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70" fillId="22" borderId="12" xfId="0" applyNumberFormat="1" applyFont="1" applyFill="1" applyBorder="1" applyAlignment="1">
      <alignment horizontal="left" vertical="center" wrapText="1"/>
    </xf>
    <xf numFmtId="0" fontId="69" fillId="23" borderId="68" xfId="0" applyFont="1" applyFill="1" applyBorder="1" applyAlignment="1">
      <alignment horizontal="left" vertical="center" wrapText="1"/>
    </xf>
    <xf numFmtId="0" fontId="69" fillId="23" borderId="28" xfId="0" applyFont="1" applyFill="1" applyBorder="1" applyAlignment="1">
      <alignment horizontal="left" vertical="center" wrapText="1"/>
    </xf>
    <xf numFmtId="0" fontId="119" fillId="24" borderId="47" xfId="0" applyFont="1" applyFill="1" applyBorder="1"/>
    <xf numFmtId="173" fontId="119" fillId="24" borderId="48" xfId="0" applyNumberFormat="1" applyFont="1" applyFill="1" applyBorder="1" applyAlignment="1">
      <alignment horizontal="center"/>
    </xf>
    <xf numFmtId="1" fontId="119" fillId="24" borderId="48" xfId="0" applyNumberFormat="1" applyFont="1" applyFill="1" applyBorder="1" applyAlignment="1">
      <alignment horizontal="center"/>
    </xf>
    <xf numFmtId="174" fontId="119" fillId="24" borderId="48" xfId="0" applyNumberFormat="1" applyFont="1" applyFill="1" applyBorder="1" applyAlignment="1">
      <alignment horizontal="center"/>
    </xf>
    <xf numFmtId="176" fontId="119" fillId="24" borderId="48" xfId="0" applyNumberFormat="1" applyFont="1" applyFill="1" applyBorder="1" applyAlignment="1">
      <alignment horizontal="center"/>
    </xf>
    <xf numFmtId="9" fontId="119" fillId="24" borderId="48" xfId="0" applyNumberFormat="1" applyFont="1" applyFill="1" applyBorder="1" applyAlignment="1">
      <alignment horizontal="center"/>
    </xf>
    <xf numFmtId="9" fontId="119" fillId="24" borderId="49" xfId="0" applyNumberFormat="1" applyFont="1" applyFill="1" applyBorder="1" applyAlignment="1">
      <alignment horizontal="center"/>
    </xf>
    <xf numFmtId="9" fontId="119" fillId="24" borderId="12" xfId="0" applyNumberFormat="1" applyFont="1" applyFill="1" applyBorder="1" applyAlignment="1">
      <alignment horizontal="center"/>
    </xf>
    <xf numFmtId="0" fontId="119" fillId="24" borderId="12" xfId="0" applyFont="1" applyFill="1" applyBorder="1"/>
    <xf numFmtId="0" fontId="119" fillId="24" borderId="48" xfId="0" applyFont="1" applyFill="1" applyBorder="1"/>
    <xf numFmtId="0" fontId="119" fillId="24" borderId="48" xfId="0" applyFont="1" applyFill="1" applyBorder="1" applyAlignment="1">
      <alignment horizontal="center"/>
    </xf>
    <xf numFmtId="0" fontId="119" fillId="24" borderId="0" xfId="0" applyFont="1" applyFill="1"/>
    <xf numFmtId="0" fontId="0" fillId="24" borderId="0" xfId="0" applyFill="1"/>
    <xf numFmtId="0" fontId="119" fillId="24" borderId="47" xfId="0" applyFont="1" applyFill="1" applyBorder="1" applyAlignment="1">
      <alignment horizontal="center"/>
    </xf>
    <xf numFmtId="0" fontId="119" fillId="24" borderId="50" xfId="0" applyFont="1" applyFill="1" applyBorder="1" applyAlignment="1">
      <alignment horizontal="center"/>
    </xf>
    <xf numFmtId="1" fontId="119" fillId="24" borderId="50" xfId="0" applyNumberFormat="1" applyFont="1" applyFill="1" applyBorder="1" applyAlignment="1">
      <alignment horizontal="center"/>
    </xf>
    <xf numFmtId="176" fontId="119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9" fillId="24" borderId="49" xfId="0" applyFont="1" applyFill="1" applyBorder="1"/>
    <xf numFmtId="0" fontId="119" fillId="24" borderId="49" xfId="0" applyFont="1" applyFill="1" applyBorder="1" applyAlignment="1">
      <alignment horizontal="center"/>
    </xf>
    <xf numFmtId="9" fontId="119" fillId="24" borderId="47" xfId="0" applyNumberFormat="1" applyFont="1" applyFill="1" applyBorder="1" applyAlignment="1">
      <alignment horizontal="center"/>
    </xf>
    <xf numFmtId="2" fontId="119" fillId="24" borderId="48" xfId="0" applyNumberFormat="1" applyFont="1" applyFill="1" applyBorder="1" applyAlignment="1">
      <alignment horizontal="center"/>
    </xf>
    <xf numFmtId="1" fontId="119" fillId="24" borderId="47" xfId="0" applyNumberFormat="1" applyFont="1" applyFill="1" applyBorder="1" applyAlignment="1">
      <alignment horizontal="center"/>
    </xf>
    <xf numFmtId="1" fontId="119" fillId="24" borderId="12" xfId="0" applyNumberFormat="1" applyFont="1" applyFill="1" applyBorder="1" applyAlignment="1">
      <alignment horizontal="center"/>
    </xf>
    <xf numFmtId="0" fontId="119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14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7" fillId="2" borderId="17" xfId="0" applyNumberFormat="1" applyFont="1" applyFill="1" applyBorder="1" applyAlignment="1">
      <alignment horizontal="center" vertical="center"/>
    </xf>
    <xf numFmtId="0" fontId="114" fillId="17" borderId="0" xfId="0" applyFont="1" applyFill="1" applyAlignment="1">
      <alignment horizontal="center" vertical="center"/>
    </xf>
    <xf numFmtId="14" fontId="72" fillId="22" borderId="20" xfId="0" applyNumberFormat="1" applyFont="1" applyFill="1" applyBorder="1" applyAlignment="1">
      <alignment horizontal="center" vertical="center"/>
    </xf>
    <xf numFmtId="14" fontId="68" fillId="17" borderId="12" xfId="0" applyNumberFormat="1" applyFont="1" applyFill="1" applyBorder="1" applyAlignment="1">
      <alignment horizontal="center" vertical="center"/>
    </xf>
    <xf numFmtId="0" fontId="66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14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14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71" fillId="23" borderId="28" xfId="0" applyNumberFormat="1" applyFont="1" applyFill="1" applyBorder="1" applyAlignment="1">
      <alignment horizontal="left" vertical="center" wrapText="1"/>
    </xf>
    <xf numFmtId="0" fontId="114" fillId="23" borderId="21" xfId="0" applyFont="1" applyFill="1" applyBorder="1" applyAlignment="1">
      <alignment horizontal="center"/>
    </xf>
    <xf numFmtId="14" fontId="71" fillId="23" borderId="10" xfId="0" applyNumberFormat="1" applyFont="1" applyFill="1" applyBorder="1" applyAlignment="1">
      <alignment horizontal="center" vertical="center"/>
    </xf>
    <xf numFmtId="14" fontId="71" fillId="23" borderId="17" xfId="0" applyNumberFormat="1" applyFont="1" applyFill="1" applyBorder="1" applyAlignment="1">
      <alignment horizontal="left" vertical="center" wrapText="1"/>
    </xf>
    <xf numFmtId="14" fontId="67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5" fillId="17" borderId="28" xfId="0" applyNumberFormat="1" applyFont="1" applyFill="1" applyBorder="1" applyAlignment="1">
      <alignment horizontal="left" vertical="center" wrapText="1"/>
    </xf>
    <xf numFmtId="14" fontId="67" fillId="22" borderId="28" xfId="0" applyNumberFormat="1" applyFont="1" applyFill="1" applyBorder="1" applyAlignment="1">
      <alignment horizontal="center" vertical="center"/>
    </xf>
    <xf numFmtId="0" fontId="114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7" fillId="5" borderId="18" xfId="0" applyFont="1" applyFill="1" applyBorder="1"/>
    <xf numFmtId="0" fontId="117" fillId="5" borderId="67" xfId="0" applyFont="1" applyFill="1" applyBorder="1"/>
    <xf numFmtId="170" fontId="117" fillId="5" borderId="0" xfId="3" applyNumberFormat="1" applyFont="1" applyFill="1" applyBorder="1"/>
    <xf numFmtId="0" fontId="117" fillId="5" borderId="13" xfId="0" applyFont="1" applyFill="1" applyBorder="1"/>
    <xf numFmtId="0" fontId="117" fillId="5" borderId="51" xfId="0" applyFont="1" applyFill="1" applyBorder="1"/>
    <xf numFmtId="0" fontId="117" fillId="5" borderId="26" xfId="0" applyFont="1" applyFill="1" applyBorder="1"/>
    <xf numFmtId="181" fontId="0" fillId="2" borderId="0" xfId="0" applyNumberFormat="1" applyFill="1"/>
    <xf numFmtId="0" fontId="118" fillId="5" borderId="0" xfId="0" applyFont="1" applyFill="1"/>
    <xf numFmtId="169" fontId="117" fillId="5" borderId="0" xfId="3" applyNumberFormat="1" applyFont="1" applyFill="1" applyBorder="1"/>
    <xf numFmtId="10" fontId="118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6" fillId="2" borderId="0" xfId="0" applyFont="1" applyFill="1"/>
    <xf numFmtId="180" fontId="117" fillId="0" borderId="72" xfId="3" applyNumberFormat="1" applyFont="1" applyFill="1" applyBorder="1"/>
    <xf numFmtId="0" fontId="114" fillId="3" borderId="71" xfId="0" applyFont="1" applyFill="1" applyBorder="1"/>
    <xf numFmtId="178" fontId="0" fillId="2" borderId="72" xfId="0" applyNumberFormat="1" applyFill="1" applyBorder="1"/>
    <xf numFmtId="0" fontId="117" fillId="23" borderId="18" xfId="0" applyFont="1" applyFill="1" applyBorder="1"/>
    <xf numFmtId="0" fontId="117" fillId="23" borderId="0" xfId="0" applyFont="1" applyFill="1"/>
    <xf numFmtId="171" fontId="117" fillId="23" borderId="0" xfId="0" applyNumberFormat="1" applyFont="1" applyFill="1"/>
    <xf numFmtId="0" fontId="117" fillId="23" borderId="67" xfId="0" applyFont="1" applyFill="1" applyBorder="1"/>
    <xf numFmtId="172" fontId="117" fillId="23" borderId="0" xfId="0" applyNumberFormat="1" applyFont="1" applyFill="1"/>
    <xf numFmtId="1" fontId="113" fillId="23" borderId="20" xfId="0" applyNumberFormat="1" applyFont="1" applyFill="1" applyBorder="1" applyAlignment="1">
      <alignment horizontal="center" vertical="center"/>
    </xf>
    <xf numFmtId="0" fontId="69" fillId="23" borderId="20" xfId="0" applyFont="1" applyFill="1" applyBorder="1" applyAlignment="1">
      <alignment horizontal="left" vertical="center"/>
    </xf>
    <xf numFmtId="14" fontId="113" fillId="23" borderId="74" xfId="0" applyNumberFormat="1" applyFont="1" applyFill="1" applyBorder="1" applyAlignment="1">
      <alignment horizontal="center" vertical="center"/>
    </xf>
    <xf numFmtId="20" fontId="113" fillId="23" borderId="74" xfId="0" applyNumberFormat="1" applyFont="1" applyFill="1" applyBorder="1" applyAlignment="1">
      <alignment horizontal="center" vertical="center"/>
    </xf>
    <xf numFmtId="1" fontId="113" fillId="23" borderId="74" xfId="0" applyNumberFormat="1" applyFont="1" applyFill="1" applyBorder="1" applyAlignment="1">
      <alignment horizontal="center" vertical="center"/>
    </xf>
    <xf numFmtId="0" fontId="72" fillId="23" borderId="74" xfId="0" applyFont="1" applyFill="1" applyBorder="1" applyAlignment="1">
      <alignment horizontal="left" vertical="center" wrapText="1"/>
    </xf>
    <xf numFmtId="0" fontId="98" fillId="23" borderId="76" xfId="0" applyFont="1" applyFill="1" applyBorder="1" applyAlignment="1">
      <alignment horizontal="center" vertical="center"/>
    </xf>
    <xf numFmtId="20" fontId="113" fillId="23" borderId="76" xfId="0" applyNumberFormat="1" applyFont="1" applyFill="1" applyBorder="1" applyAlignment="1">
      <alignment horizontal="center" vertical="center"/>
    </xf>
    <xf numFmtId="1" fontId="113" fillId="23" borderId="76" xfId="0" applyNumberFormat="1" applyFont="1" applyFill="1" applyBorder="1" applyAlignment="1">
      <alignment horizontal="center" vertical="center"/>
    </xf>
    <xf numFmtId="0" fontId="98" fillId="23" borderId="76" xfId="0" applyFont="1" applyFill="1" applyBorder="1" applyAlignment="1">
      <alignment horizontal="left" vertical="center"/>
    </xf>
    <xf numFmtId="20" fontId="113" fillId="22" borderId="28" xfId="0" applyNumberFormat="1" applyFont="1" applyFill="1" applyBorder="1" applyAlignment="1">
      <alignment horizontal="center" vertical="center"/>
    </xf>
    <xf numFmtId="1" fontId="113" fillId="22" borderId="28" xfId="0" applyNumberFormat="1" applyFont="1" applyFill="1" applyBorder="1" applyAlignment="1">
      <alignment horizontal="center" vertical="center"/>
    </xf>
    <xf numFmtId="0" fontId="65" fillId="22" borderId="28" xfId="0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14" fontId="83" fillId="23" borderId="12" xfId="0" applyNumberFormat="1" applyFont="1" applyFill="1" applyBorder="1" applyAlignment="1">
      <alignment horizontal="center" vertical="center"/>
    </xf>
    <xf numFmtId="0" fontId="114" fillId="2" borderId="12" xfId="0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 wrapText="1"/>
    </xf>
    <xf numFmtId="14" fontId="74" fillId="2" borderId="12" xfId="0" applyNumberFormat="1" applyFont="1" applyFill="1" applyBorder="1" applyAlignment="1">
      <alignment horizontal="center" vertical="center"/>
    </xf>
    <xf numFmtId="14" fontId="71" fillId="2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left" vertical="center" wrapText="1"/>
    </xf>
    <xf numFmtId="14" fontId="67" fillId="23" borderId="12" xfId="0" applyNumberFormat="1" applyFont="1" applyFill="1" applyBorder="1" applyAlignment="1">
      <alignment horizontal="center" vertical="center"/>
    </xf>
    <xf numFmtId="14" fontId="67" fillId="2" borderId="12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0" fontId="64" fillId="23" borderId="20" xfId="0" applyFont="1" applyFill="1" applyBorder="1" applyAlignment="1">
      <alignment horizontal="center" vertical="center"/>
    </xf>
    <xf numFmtId="0" fontId="64" fillId="23" borderId="74" xfId="0" applyFont="1" applyFill="1" applyBorder="1" applyAlignment="1">
      <alignment horizontal="center" vertical="center"/>
    </xf>
    <xf numFmtId="0" fontId="64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102" fillId="22" borderId="12" xfId="0" applyNumberFormat="1" applyFont="1" applyFill="1" applyBorder="1" applyAlignment="1">
      <alignment horizontal="center" vertical="center"/>
    </xf>
    <xf numFmtId="14" fontId="114" fillId="22" borderId="12" xfId="0" applyNumberFormat="1" applyFont="1" applyFill="1" applyBorder="1" applyAlignment="1">
      <alignment horizontal="center" vertical="center"/>
    </xf>
    <xf numFmtId="9" fontId="114" fillId="22" borderId="12" xfId="0" applyNumberFormat="1" applyFont="1" applyFill="1" applyBorder="1" applyAlignment="1">
      <alignment horizontal="center"/>
    </xf>
    <xf numFmtId="1" fontId="114" fillId="22" borderId="27" xfId="0" applyNumberFormat="1" applyFont="1" applyFill="1" applyBorder="1" applyAlignment="1">
      <alignment horizontal="center" vertical="center"/>
    </xf>
    <xf numFmtId="1" fontId="114" fillId="22" borderId="12" xfId="0" applyNumberFormat="1" applyFont="1" applyFill="1" applyBorder="1" applyAlignment="1">
      <alignment horizontal="center"/>
    </xf>
    <xf numFmtId="176" fontId="114" fillId="22" borderId="23" xfId="0" applyNumberFormat="1" applyFont="1" applyFill="1" applyBorder="1" applyAlignment="1">
      <alignment horizontal="center" vertical="center"/>
    </xf>
    <xf numFmtId="176" fontId="114" fillId="22" borderId="11" xfId="0" applyNumberFormat="1" applyFont="1" applyFill="1" applyBorder="1" applyAlignment="1">
      <alignment horizontal="center" vertical="center"/>
    </xf>
    <xf numFmtId="176" fontId="114" fillId="22" borderId="25" xfId="0" applyNumberFormat="1" applyFont="1" applyFill="1" applyBorder="1" applyAlignment="1">
      <alignment horizontal="center" vertical="center"/>
    </xf>
    <xf numFmtId="176" fontId="114" fillId="22" borderId="54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64" fillId="23" borderId="10" xfId="0" applyNumberFormat="1" applyFont="1" applyFill="1" applyBorder="1" applyAlignment="1">
      <alignment horizontal="left" vertical="center" wrapText="1"/>
    </xf>
    <xf numFmtId="14" fontId="64" fillId="22" borderId="28" xfId="0" applyNumberFormat="1" applyFont="1" applyFill="1" applyBorder="1" applyAlignment="1">
      <alignment horizontal="center" vertical="center"/>
    </xf>
    <xf numFmtId="0" fontId="114" fillId="23" borderId="12" xfId="0" applyFont="1" applyFill="1" applyBorder="1" applyAlignment="1">
      <alignment horizontal="center" vertical="center"/>
    </xf>
    <xf numFmtId="0" fontId="114" fillId="2" borderId="7" xfId="0" applyFont="1" applyFill="1" applyBorder="1" applyAlignment="1">
      <alignment horizontal="center"/>
    </xf>
    <xf numFmtId="0" fontId="107" fillId="22" borderId="12" xfId="0" applyFont="1" applyFill="1" applyBorder="1" applyAlignment="1">
      <alignment horizontal="center" vertical="center"/>
    </xf>
    <xf numFmtId="20" fontId="107" fillId="22" borderId="12" xfId="0" applyNumberFormat="1" applyFont="1" applyFill="1" applyBorder="1" applyAlignment="1">
      <alignment horizontal="center" vertical="center"/>
    </xf>
    <xf numFmtId="0" fontId="63" fillId="22" borderId="12" xfId="0" applyFont="1" applyFill="1" applyBorder="1" applyAlignment="1">
      <alignment horizontal="left" vertical="center"/>
    </xf>
    <xf numFmtId="14" fontId="68" fillId="23" borderId="12" xfId="0" applyNumberFormat="1" applyFont="1" applyFill="1" applyBorder="1" applyAlignment="1">
      <alignment horizontal="center" vertical="center"/>
    </xf>
    <xf numFmtId="14" fontId="84" fillId="23" borderId="20" xfId="0" applyNumberFormat="1" applyFon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82" fillId="2" borderId="28" xfId="0" applyNumberFormat="1" applyFont="1" applyFill="1" applyBorder="1" applyAlignment="1">
      <alignment horizontal="center" vertical="center"/>
    </xf>
    <xf numFmtId="0" fontId="114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6" fillId="23" borderId="76" xfId="0" applyNumberFormat="1" applyFont="1" applyFill="1" applyBorder="1" applyAlignment="1">
      <alignment horizontal="center" vertical="center"/>
    </xf>
    <xf numFmtId="0" fontId="114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14" fillId="3" borderId="30" xfId="0" applyFont="1" applyFill="1" applyBorder="1" applyAlignment="1">
      <alignment horizontal="center" vertical="center"/>
    </xf>
    <xf numFmtId="0" fontId="114" fillId="3" borderId="31" xfId="0" applyFont="1" applyFill="1" applyBorder="1" applyAlignment="1">
      <alignment horizontal="center" vertical="center"/>
    </xf>
    <xf numFmtId="0" fontId="114" fillId="3" borderId="20" xfId="0" applyFont="1" applyFill="1" applyBorder="1" applyAlignment="1">
      <alignment horizontal="center" vertical="center"/>
    </xf>
    <xf numFmtId="0" fontId="114" fillId="3" borderId="20" xfId="0" applyFont="1" applyFill="1" applyBorder="1" applyAlignment="1">
      <alignment horizontal="center" vertical="center" wrapText="1"/>
    </xf>
    <xf numFmtId="1" fontId="114" fillId="23" borderId="74" xfId="0" applyNumberFormat="1" applyFont="1" applyFill="1" applyBorder="1" applyAlignment="1">
      <alignment horizontal="center"/>
    </xf>
    <xf numFmtId="1" fontId="114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 wrapText="1"/>
    </xf>
    <xf numFmtId="14" fontId="62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14" fillId="23" borderId="7" xfId="0" applyFont="1" applyFill="1" applyBorder="1" applyAlignment="1">
      <alignment horizontal="center"/>
    </xf>
    <xf numFmtId="14" fontId="114" fillId="23" borderId="12" xfId="0" applyNumberFormat="1" applyFont="1" applyFill="1" applyBorder="1" applyAlignment="1">
      <alignment horizontal="center" vertical="center"/>
    </xf>
    <xf numFmtId="176" fontId="114" fillId="23" borderId="25" xfId="0" applyNumberFormat="1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center" vertical="center"/>
    </xf>
    <xf numFmtId="166" fontId="113" fillId="23" borderId="12" xfId="0" applyNumberFormat="1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left" vertical="center" wrapText="1"/>
    </xf>
    <xf numFmtId="0" fontId="59" fillId="2" borderId="7" xfId="0" applyFont="1" applyFill="1" applyBorder="1" applyAlignment="1">
      <alignment vertical="center"/>
    </xf>
    <xf numFmtId="0" fontId="58" fillId="22" borderId="12" xfId="0" applyFont="1" applyFill="1" applyBorder="1" applyAlignment="1">
      <alignment horizontal="left" vertical="center" wrapText="1"/>
    </xf>
    <xf numFmtId="0" fontId="58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/>
    </xf>
    <xf numFmtId="14" fontId="114" fillId="22" borderId="12" xfId="0" applyNumberFormat="1" applyFont="1" applyFill="1" applyBorder="1" applyAlignment="1">
      <alignment horizontal="center" vertical="center" wrapText="1"/>
    </xf>
    <xf numFmtId="14" fontId="71" fillId="23" borderId="12" xfId="0" applyNumberFormat="1" applyFont="1" applyFill="1" applyBorder="1" applyAlignment="1">
      <alignment horizontal="center" vertical="center" wrapText="1"/>
    </xf>
    <xf numFmtId="14" fontId="70" fillId="22" borderId="12" xfId="0" applyNumberFormat="1" applyFont="1" applyFill="1" applyBorder="1" applyAlignment="1">
      <alignment horizontal="center" vertical="center" wrapText="1"/>
    </xf>
    <xf numFmtId="0" fontId="57" fillId="23" borderId="12" xfId="0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left" vertical="center" wrapText="1"/>
    </xf>
    <xf numFmtId="0" fontId="137" fillId="2" borderId="1" xfId="0" applyFont="1" applyFill="1" applyBorder="1"/>
    <xf numFmtId="0" fontId="137" fillId="2" borderId="2" xfId="0" applyFont="1" applyFill="1" applyBorder="1"/>
    <xf numFmtId="0" fontId="137" fillId="2" borderId="3" xfId="0" applyFont="1" applyFill="1" applyBorder="1"/>
    <xf numFmtId="0" fontId="137" fillId="2" borderId="0" xfId="0" applyFont="1" applyFill="1"/>
    <xf numFmtId="0" fontId="138" fillId="2" borderId="18" xfId="0" applyFont="1" applyFill="1" applyBorder="1" applyAlignment="1">
      <alignment horizontal="center"/>
    </xf>
    <xf numFmtId="0" fontId="139" fillId="2" borderId="18" xfId="0" applyFont="1" applyFill="1" applyBorder="1"/>
    <xf numFmtId="0" fontId="138" fillId="2" borderId="1" xfId="0" applyFont="1" applyFill="1" applyBorder="1"/>
    <xf numFmtId="0" fontId="138" fillId="2" borderId="2" xfId="0" applyFont="1" applyFill="1" applyBorder="1"/>
    <xf numFmtId="0" fontId="138" fillId="2" borderId="3" xfId="0" applyFont="1" applyFill="1" applyBorder="1"/>
    <xf numFmtId="0" fontId="138" fillId="2" borderId="0" xfId="0" applyFont="1" applyFill="1"/>
    <xf numFmtId="0" fontId="137" fillId="2" borderId="18" xfId="0" applyFont="1" applyFill="1" applyBorder="1"/>
    <xf numFmtId="0" fontId="137" fillId="2" borderId="67" xfId="0" applyFont="1" applyFill="1" applyBorder="1"/>
    <xf numFmtId="0" fontId="138" fillId="4" borderId="12" xfId="0" applyFont="1" applyFill="1" applyBorder="1" applyAlignment="1">
      <alignment horizontal="center"/>
    </xf>
    <xf numFmtId="0" fontId="137" fillId="2" borderId="18" xfId="0" applyFont="1" applyFill="1" applyBorder="1" applyAlignment="1">
      <alignment horizontal="center"/>
    </xf>
    <xf numFmtId="0" fontId="139" fillId="2" borderId="12" xfId="0" applyFont="1" applyFill="1" applyBorder="1" applyAlignment="1">
      <alignment horizontal="center"/>
    </xf>
    <xf numFmtId="0" fontId="137" fillId="2" borderId="12" xfId="0" applyFont="1" applyFill="1" applyBorder="1" applyAlignment="1">
      <alignment horizontal="center"/>
    </xf>
    <xf numFmtId="0" fontId="137" fillId="2" borderId="12" xfId="0" applyFont="1" applyFill="1" applyBorder="1"/>
    <xf numFmtId="0" fontId="137" fillId="2" borderId="13" xfId="0" applyFont="1" applyFill="1" applyBorder="1"/>
    <xf numFmtId="0" fontId="137" fillId="2" borderId="51" xfId="0" applyFont="1" applyFill="1" applyBorder="1"/>
    <xf numFmtId="0" fontId="137" fillId="2" borderId="26" xfId="0" applyFont="1" applyFill="1" applyBorder="1"/>
    <xf numFmtId="14" fontId="139" fillId="2" borderId="12" xfId="0" applyNumberFormat="1" applyFont="1" applyFill="1" applyBorder="1" applyAlignment="1">
      <alignment horizontal="center"/>
    </xf>
    <xf numFmtId="14" fontId="137" fillId="2" borderId="12" xfId="0" applyNumberFormat="1" applyFont="1" applyFill="1" applyBorder="1" applyAlignment="1">
      <alignment horizontal="center"/>
    </xf>
    <xf numFmtId="0" fontId="114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6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9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9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9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14" fillId="22" borderId="12" xfId="0" applyNumberFormat="1" applyFont="1" applyFill="1" applyBorder="1" applyAlignment="1">
      <alignment horizontal="center" vertical="center"/>
    </xf>
    <xf numFmtId="9" fontId="114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14" fillId="3" borderId="12" xfId="0" applyFont="1" applyFill="1" applyBorder="1" applyAlignment="1">
      <alignment horizontal="center" vertical="center"/>
    </xf>
    <xf numFmtId="0" fontId="110" fillId="22" borderId="28" xfId="0" applyFont="1" applyFill="1" applyBorder="1" applyAlignment="1">
      <alignment horizontal="center" vertical="center"/>
    </xf>
    <xf numFmtId="20" fontId="110" fillId="22" borderId="28" xfId="0" applyNumberFormat="1" applyFont="1" applyFill="1" applyBorder="1" applyAlignment="1">
      <alignment horizontal="center" vertical="center"/>
    </xf>
    <xf numFmtId="0" fontId="84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14" fillId="3" borderId="12" xfId="0" applyFont="1" applyFill="1" applyBorder="1" applyAlignment="1">
      <alignment horizontal="center" vertical="center" wrapText="1"/>
    </xf>
    <xf numFmtId="14" fontId="114" fillId="22" borderId="28" xfId="0" applyNumberFormat="1" applyFont="1" applyFill="1" applyBorder="1" applyAlignment="1">
      <alignment horizontal="center" vertical="center"/>
    </xf>
    <xf numFmtId="14" fontId="114" fillId="2" borderId="12" xfId="0" applyNumberFormat="1" applyFont="1" applyFill="1" applyBorder="1" applyAlignment="1">
      <alignment horizontal="center" vertical="center"/>
    </xf>
    <xf numFmtId="0" fontId="114" fillId="2" borderId="20" xfId="0" applyFont="1" applyFill="1" applyBorder="1" applyAlignment="1">
      <alignment horizontal="center" vertical="center"/>
    </xf>
    <xf numFmtId="0" fontId="114" fillId="2" borderId="28" xfId="0" applyFont="1" applyFill="1" applyBorder="1" applyAlignment="1">
      <alignment horizontal="center" vertical="center"/>
    </xf>
    <xf numFmtId="14" fontId="113" fillId="17" borderId="12" xfId="0" applyNumberFormat="1" applyFont="1" applyFill="1" applyBorder="1" applyAlignment="1">
      <alignment horizontal="center" vertical="center"/>
    </xf>
    <xf numFmtId="0" fontId="114" fillId="23" borderId="20" xfId="0" applyFont="1" applyFill="1" applyBorder="1" applyAlignment="1">
      <alignment horizontal="center" vertical="center"/>
    </xf>
    <xf numFmtId="0" fontId="114" fillId="23" borderId="74" xfId="0" applyFont="1" applyFill="1" applyBorder="1" applyAlignment="1">
      <alignment horizontal="center" vertical="center"/>
    </xf>
    <xf numFmtId="0" fontId="114" fillId="23" borderId="76" xfId="0" applyFont="1" applyFill="1" applyBorder="1" applyAlignment="1">
      <alignment horizontal="center" vertical="center"/>
    </xf>
    <xf numFmtId="0" fontId="114" fillId="22" borderId="10" xfId="0" applyFont="1" applyFill="1" applyBorder="1" applyAlignment="1">
      <alignment horizontal="center" vertical="center"/>
    </xf>
    <xf numFmtId="0" fontId="114" fillId="22" borderId="20" xfId="0" applyFont="1" applyFill="1" applyBorder="1" applyAlignment="1">
      <alignment horizontal="center" vertical="center"/>
    </xf>
    <xf numFmtId="0" fontId="114" fillId="23" borderId="10" xfId="0" applyFont="1" applyFill="1" applyBorder="1" applyAlignment="1">
      <alignment horizontal="center" vertical="center"/>
    </xf>
    <xf numFmtId="0" fontId="114" fillId="2" borderId="10" xfId="0" applyFont="1" applyFill="1" applyBorder="1" applyAlignment="1">
      <alignment horizontal="center" vertical="center"/>
    </xf>
    <xf numFmtId="0" fontId="114" fillId="3" borderId="78" xfId="0" applyFont="1" applyFill="1" applyBorder="1" applyAlignment="1">
      <alignment horizontal="center" vertical="center" wrapText="1"/>
    </xf>
    <xf numFmtId="0" fontId="114" fillId="23" borderId="81" xfId="0" applyFont="1" applyFill="1" applyBorder="1" applyAlignment="1">
      <alignment horizontal="center" vertical="center"/>
    </xf>
    <xf numFmtId="0" fontId="114" fillId="23" borderId="83" xfId="0" applyFont="1" applyFill="1" applyBorder="1" applyAlignment="1">
      <alignment horizontal="center" vertical="center"/>
    </xf>
    <xf numFmtId="0" fontId="114" fillId="23" borderId="12" xfId="0" applyFont="1" applyFill="1" applyBorder="1" applyAlignment="1">
      <alignment horizontal="center" wrapText="1"/>
    </xf>
    <xf numFmtId="0" fontId="55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14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9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9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4" fillId="23" borderId="12" xfId="0" applyFont="1" applyFill="1" applyBorder="1" applyAlignment="1">
      <alignment horizontal="left" vertical="center" wrapText="1"/>
    </xf>
    <xf numFmtId="166" fontId="113" fillId="17" borderId="12" xfId="0" applyNumberFormat="1" applyFont="1" applyFill="1" applyBorder="1" applyAlignment="1">
      <alignment horizontal="center" vertical="center"/>
    </xf>
    <xf numFmtId="1" fontId="113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4" fillId="17" borderId="12" xfId="0" applyFont="1" applyFill="1" applyBorder="1" applyAlignment="1">
      <alignment horizontal="center" vertical="center"/>
    </xf>
    <xf numFmtId="0" fontId="54" fillId="17" borderId="12" xfId="0" applyFont="1" applyFill="1" applyBorder="1" applyAlignment="1">
      <alignment horizontal="left" vertical="center" wrapText="1"/>
    </xf>
    <xf numFmtId="14" fontId="54" fillId="17" borderId="12" xfId="0" applyNumberFormat="1" applyFont="1" applyFill="1" applyBorder="1" applyAlignment="1">
      <alignment horizontal="center" vertical="center"/>
    </xf>
    <xf numFmtId="0" fontId="114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30" fillId="2" borderId="72" xfId="0" applyFont="1" applyFill="1" applyBorder="1" applyAlignment="1">
      <alignment wrapText="1"/>
    </xf>
    <xf numFmtId="1" fontId="141" fillId="2" borderId="71" xfId="0" applyNumberFormat="1" applyFont="1" applyFill="1" applyBorder="1" applyAlignment="1">
      <alignment horizontal="center" vertical="center"/>
    </xf>
    <xf numFmtId="1" fontId="142" fillId="2" borderId="71" xfId="0" applyNumberFormat="1" applyFont="1" applyFill="1" applyBorder="1" applyAlignment="1">
      <alignment horizontal="center" vertical="center"/>
    </xf>
    <xf numFmtId="9" fontId="143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14" fillId="18" borderId="60" xfId="0" applyFont="1" applyFill="1" applyBorder="1" applyAlignment="1">
      <alignment horizontal="center"/>
    </xf>
    <xf numFmtId="0" fontId="114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53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14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14" fillId="19" borderId="12" xfId="0" applyFont="1" applyFill="1" applyBorder="1" applyAlignment="1">
      <alignment horizontal="center" vertical="center"/>
    </xf>
    <xf numFmtId="14" fontId="113" fillId="19" borderId="12" xfId="0" applyNumberFormat="1" applyFont="1" applyFill="1" applyBorder="1" applyAlignment="1">
      <alignment horizontal="center" vertical="center"/>
    </xf>
    <xf numFmtId="0" fontId="114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14" fillId="4" borderId="12" xfId="0" applyNumberFormat="1" applyFont="1" applyFill="1" applyBorder="1" applyAlignment="1">
      <alignment horizontal="center"/>
    </xf>
    <xf numFmtId="14" fontId="53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14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1" fontId="114" fillId="18" borderId="12" xfId="0" applyNumberFormat="1" applyFont="1" applyFill="1" applyBorder="1" applyAlignment="1">
      <alignment horizontal="center"/>
    </xf>
    <xf numFmtId="14" fontId="134" fillId="2" borderId="4" xfId="0" applyNumberFormat="1" applyFont="1" applyFill="1" applyBorder="1" applyAlignment="1">
      <alignment horizontal="center" vertical="center"/>
    </xf>
    <xf numFmtId="14" fontId="52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53" fillId="19" borderId="12" xfId="0" applyFont="1" applyFill="1" applyBorder="1" applyAlignment="1">
      <alignment horizontal="center" vertical="center"/>
    </xf>
    <xf numFmtId="166" fontId="113" fillId="19" borderId="12" xfId="0" applyNumberFormat="1" applyFont="1" applyFill="1" applyBorder="1" applyAlignment="1">
      <alignment horizontal="center" vertical="center"/>
    </xf>
    <xf numFmtId="1" fontId="113" fillId="19" borderId="12" xfId="0" applyNumberFormat="1" applyFont="1" applyFill="1" applyBorder="1" applyAlignment="1">
      <alignment horizontal="center" vertical="center"/>
    </xf>
    <xf numFmtId="0" fontId="52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52" fillId="19" borderId="12" xfId="0" applyFont="1" applyFill="1" applyBorder="1" applyAlignment="1">
      <alignment horizontal="center" vertical="center"/>
    </xf>
    <xf numFmtId="0" fontId="52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9" fillId="24" borderId="12" xfId="0" applyNumberFormat="1" applyFont="1" applyFill="1" applyBorder="1" applyAlignment="1">
      <alignment horizontal="center"/>
    </xf>
    <xf numFmtId="1" fontId="134" fillId="2" borderId="15" xfId="0" applyNumberFormat="1" applyFont="1" applyFill="1" applyBorder="1" applyAlignment="1">
      <alignment horizontal="center" vertical="center"/>
    </xf>
    <xf numFmtId="1" fontId="134" fillId="2" borderId="25" xfId="0" applyNumberFormat="1" applyFont="1" applyFill="1" applyBorder="1" applyAlignment="1">
      <alignment horizontal="center" vertical="center"/>
    </xf>
    <xf numFmtId="0" fontId="134" fillId="2" borderId="5" xfId="0" applyFont="1" applyFill="1" applyBorder="1" applyAlignment="1">
      <alignment vertical="center"/>
    </xf>
    <xf numFmtId="165" fontId="134" fillId="2" borderId="5" xfId="1" applyNumberFormat="1" applyFont="1" applyFill="1" applyBorder="1" applyAlignment="1">
      <alignment horizontal="center" vertical="center"/>
    </xf>
    <xf numFmtId="166" fontId="134" fillId="2" borderId="5" xfId="0" applyNumberFormat="1" applyFont="1" applyFill="1" applyBorder="1" applyAlignment="1">
      <alignment horizontal="center" vertical="center"/>
    </xf>
    <xf numFmtId="9" fontId="134" fillId="2" borderId="5" xfId="2" applyFont="1" applyFill="1" applyBorder="1" applyAlignment="1">
      <alignment horizontal="center" vertical="center"/>
    </xf>
    <xf numFmtId="167" fontId="134" fillId="2" borderId="6" xfId="1" applyNumberFormat="1" applyFont="1" applyFill="1" applyBorder="1" applyAlignment="1">
      <alignment horizontal="center" vertical="center"/>
    </xf>
    <xf numFmtId="0" fontId="134" fillId="2" borderId="6" xfId="0" applyFont="1" applyFill="1" applyBorder="1" applyAlignment="1">
      <alignment horizontal="center" vertical="center"/>
    </xf>
    <xf numFmtId="1" fontId="134" fillId="2" borderId="6" xfId="0" applyNumberFormat="1" applyFont="1" applyFill="1" applyBorder="1" applyAlignment="1">
      <alignment horizontal="center" vertical="center"/>
    </xf>
    <xf numFmtId="1" fontId="134" fillId="2" borderId="5" xfId="0" applyNumberFormat="1" applyFont="1" applyFill="1" applyBorder="1" applyAlignment="1">
      <alignment horizontal="center" vertical="center"/>
    </xf>
    <xf numFmtId="1" fontId="134" fillId="2" borderId="59" xfId="0" applyNumberFormat="1" applyFont="1" applyFill="1" applyBorder="1" applyAlignment="1">
      <alignment horizontal="center" vertical="center"/>
    </xf>
    <xf numFmtId="167" fontId="134" fillId="2" borderId="32" xfId="1" applyNumberFormat="1" applyFont="1" applyFill="1" applyBorder="1" applyAlignment="1">
      <alignment horizontal="center" vertical="center"/>
    </xf>
    <xf numFmtId="0" fontId="134" fillId="2" borderId="32" xfId="0" applyFont="1" applyFill="1" applyBorder="1" applyAlignment="1">
      <alignment horizontal="center" vertical="center"/>
    </xf>
    <xf numFmtId="14" fontId="134" fillId="2" borderId="12" xfId="0" applyNumberFormat="1" applyFont="1" applyFill="1" applyBorder="1" applyAlignment="1">
      <alignment horizontal="center" vertical="center"/>
    </xf>
    <xf numFmtId="0" fontId="134" fillId="2" borderId="12" xfId="0" applyFont="1" applyFill="1" applyBorder="1" applyAlignment="1">
      <alignment vertical="center"/>
    </xf>
    <xf numFmtId="165" fontId="134" fillId="2" borderId="12" xfId="1" applyNumberFormat="1" applyFont="1" applyFill="1" applyBorder="1" applyAlignment="1">
      <alignment horizontal="center" vertical="center"/>
    </xf>
    <xf numFmtId="166" fontId="134" fillId="2" borderId="12" xfId="0" applyNumberFormat="1" applyFont="1" applyFill="1" applyBorder="1" applyAlignment="1">
      <alignment horizontal="center" vertical="center"/>
    </xf>
    <xf numFmtId="9" fontId="134" fillId="2" borderId="12" xfId="2" applyFont="1" applyFill="1" applyBorder="1" applyAlignment="1">
      <alignment horizontal="center" vertical="center"/>
    </xf>
    <xf numFmtId="167" fontId="134" fillId="2" borderId="12" xfId="1" applyNumberFormat="1" applyFont="1" applyFill="1" applyBorder="1" applyAlignment="1">
      <alignment horizontal="center" vertical="center"/>
    </xf>
    <xf numFmtId="0" fontId="134" fillId="2" borderId="12" xfId="0" applyFont="1" applyFill="1" applyBorder="1" applyAlignment="1">
      <alignment horizontal="center" vertical="center"/>
    </xf>
    <xf numFmtId="1" fontId="134" fillId="2" borderId="12" xfId="0" applyNumberFormat="1" applyFont="1" applyFill="1" applyBorder="1" applyAlignment="1">
      <alignment horizontal="center" vertical="center"/>
    </xf>
    <xf numFmtId="0" fontId="51" fillId="19" borderId="12" xfId="0" applyFont="1" applyFill="1" applyBorder="1" applyAlignment="1">
      <alignment horizontal="left" vertical="center" wrapText="1"/>
    </xf>
    <xf numFmtId="0" fontId="51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50" fillId="17" borderId="12" xfId="0" applyFont="1" applyFill="1" applyBorder="1" applyAlignment="1">
      <alignment horizontal="center" vertical="center"/>
    </xf>
    <xf numFmtId="0" fontId="50" fillId="17" borderId="12" xfId="0" applyFont="1" applyFill="1" applyBorder="1" applyAlignment="1">
      <alignment horizontal="left" vertical="center" wrapText="1"/>
    </xf>
    <xf numFmtId="0" fontId="114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50" fillId="19" borderId="12" xfId="0" applyNumberFormat="1" applyFont="1" applyFill="1" applyBorder="1" applyAlignment="1">
      <alignment horizontal="center" vertical="center" wrapText="1"/>
    </xf>
    <xf numFmtId="173" fontId="119" fillId="0" borderId="0" xfId="0" applyNumberFormat="1" applyFont="1" applyAlignment="1">
      <alignment horizontal="center"/>
    </xf>
    <xf numFmtId="173" fontId="119" fillId="0" borderId="49" xfId="0" applyNumberFormat="1" applyFont="1" applyBorder="1" applyAlignment="1">
      <alignment horizontal="center"/>
    </xf>
    <xf numFmtId="174" fontId="119" fillId="0" borderId="47" xfId="0" applyNumberFormat="1" applyFont="1" applyBorder="1" applyAlignment="1">
      <alignment horizontal="center"/>
    </xf>
    <xf numFmtId="176" fontId="119" fillId="0" borderId="47" xfId="0" applyNumberFormat="1" applyFont="1" applyBorder="1" applyAlignment="1">
      <alignment horizontal="center"/>
    </xf>
    <xf numFmtId="1" fontId="119" fillId="21" borderId="28" xfId="0" applyNumberFormat="1" applyFont="1" applyFill="1" applyBorder="1" applyAlignment="1">
      <alignment horizontal="center"/>
    </xf>
    <xf numFmtId="2" fontId="119" fillId="21" borderId="28" xfId="0" applyNumberFormat="1" applyFont="1" applyFill="1" applyBorder="1" applyAlignment="1">
      <alignment horizontal="center"/>
    </xf>
    <xf numFmtId="176" fontId="119" fillId="21" borderId="28" xfId="0" applyNumberFormat="1" applyFont="1" applyFill="1" applyBorder="1" applyAlignment="1">
      <alignment horizontal="center"/>
    </xf>
    <xf numFmtId="9" fontId="119" fillId="21" borderId="28" xfId="0" applyNumberFormat="1" applyFont="1" applyFill="1" applyBorder="1" applyAlignment="1">
      <alignment horizontal="center"/>
    </xf>
    <xf numFmtId="0" fontId="119" fillId="21" borderId="28" xfId="0" applyFont="1" applyFill="1" applyBorder="1" applyAlignment="1">
      <alignment horizontal="center"/>
    </xf>
    <xf numFmtId="176" fontId="119" fillId="0" borderId="12" xfId="0" applyNumberFormat="1" applyFont="1" applyBorder="1" applyAlignment="1">
      <alignment horizontal="center"/>
    </xf>
    <xf numFmtId="9" fontId="119" fillId="22" borderId="48" xfId="2" applyFont="1" applyFill="1" applyBorder="1" applyAlignment="1">
      <alignment horizontal="center" vertical="center"/>
    </xf>
    <xf numFmtId="0" fontId="119" fillId="0" borderId="49" xfId="0" applyFont="1" applyBorder="1"/>
    <xf numFmtId="0" fontId="119" fillId="24" borderId="7" xfId="0" applyFont="1" applyFill="1" applyBorder="1"/>
    <xf numFmtId="0" fontId="119" fillId="0" borderId="7" xfId="0" applyFont="1" applyBorder="1"/>
    <xf numFmtId="0" fontId="119" fillId="0" borderId="30" xfId="0" applyFont="1" applyBorder="1"/>
    <xf numFmtId="0" fontId="119" fillId="24" borderId="8" xfId="0" applyFont="1" applyFill="1" applyBorder="1" applyAlignment="1">
      <alignment horizontal="center"/>
    </xf>
    <xf numFmtId="0" fontId="119" fillId="0" borderId="8" xfId="0" applyFont="1" applyBorder="1" applyAlignment="1">
      <alignment horizontal="center"/>
    </xf>
    <xf numFmtId="0" fontId="119" fillId="0" borderId="31" xfId="0" applyFont="1" applyBorder="1" applyAlignment="1">
      <alignment horizontal="center"/>
    </xf>
    <xf numFmtId="14" fontId="49" fillId="17" borderId="12" xfId="0" applyNumberFormat="1" applyFont="1" applyFill="1" applyBorder="1" applyAlignment="1">
      <alignment horizontal="center" vertical="center"/>
    </xf>
    <xf numFmtId="0" fontId="49" fillId="17" borderId="12" xfId="0" applyFont="1" applyFill="1" applyBorder="1" applyAlignment="1">
      <alignment horizontal="center" vertical="center"/>
    </xf>
    <xf numFmtId="0" fontId="49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9" fillId="4" borderId="28" xfId="0" applyNumberFormat="1" applyFont="1" applyFill="1" applyBorder="1" applyAlignment="1">
      <alignment horizontal="center" vertical="center"/>
    </xf>
    <xf numFmtId="0" fontId="134" fillId="2" borderId="22" xfId="0" applyFont="1" applyFill="1" applyBorder="1" applyAlignment="1">
      <alignment horizontal="center" vertical="center"/>
    </xf>
    <xf numFmtId="1" fontId="134" fillId="2" borderId="21" xfId="0" applyNumberFormat="1" applyFont="1" applyFill="1" applyBorder="1" applyAlignment="1">
      <alignment horizontal="center" vertical="center"/>
    </xf>
    <xf numFmtId="1" fontId="134" fillId="2" borderId="61" xfId="0" applyNumberFormat="1" applyFont="1" applyFill="1" applyBorder="1" applyAlignment="1">
      <alignment horizontal="center" vertical="center"/>
    </xf>
    <xf numFmtId="1" fontId="134" fillId="2" borderId="32" xfId="0" applyNumberFormat="1" applyFont="1" applyFill="1" applyBorder="1" applyAlignment="1">
      <alignment horizontal="center" vertical="center"/>
    </xf>
    <xf numFmtId="165" fontId="134" fillId="2" borderId="28" xfId="0" applyNumberFormat="1" applyFont="1" applyFill="1" applyBorder="1" applyAlignment="1">
      <alignment horizontal="center" vertical="center"/>
    </xf>
    <xf numFmtId="165" fontId="134" fillId="2" borderId="66" xfId="0" applyNumberFormat="1" applyFont="1" applyFill="1" applyBorder="1" applyAlignment="1">
      <alignment horizontal="center" vertical="center"/>
    </xf>
    <xf numFmtId="165" fontId="134" fillId="2" borderId="12" xfId="0" applyNumberFormat="1" applyFont="1" applyFill="1" applyBorder="1" applyAlignment="1">
      <alignment horizontal="center" vertical="center"/>
    </xf>
    <xf numFmtId="14" fontId="134" fillId="2" borderId="33" xfId="0" applyNumberFormat="1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center" vertical="center"/>
    </xf>
    <xf numFmtId="14" fontId="88" fillId="18" borderId="12" xfId="0" applyNumberFormat="1" applyFont="1" applyFill="1" applyBorder="1"/>
    <xf numFmtId="0" fontId="47" fillId="17" borderId="12" xfId="0" applyFont="1" applyFill="1" applyBorder="1" applyAlignment="1">
      <alignment horizontal="left" vertical="center" wrapText="1"/>
    </xf>
    <xf numFmtId="0" fontId="46" fillId="2" borderId="7" xfId="0" applyFont="1" applyFill="1" applyBorder="1" applyAlignment="1">
      <alignment vertical="center"/>
    </xf>
    <xf numFmtId="14" fontId="46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6" fillId="17" borderId="12" xfId="0" applyFont="1" applyFill="1" applyBorder="1" applyAlignment="1">
      <alignment horizontal="center" vertical="center"/>
    </xf>
    <xf numFmtId="166" fontId="46" fillId="17" borderId="12" xfId="0" applyNumberFormat="1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5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5" fillId="17" borderId="12" xfId="0" applyFont="1" applyFill="1" applyBorder="1" applyAlignment="1">
      <alignment horizontal="center" vertical="center"/>
    </xf>
    <xf numFmtId="0" fontId="45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left" vertical="center" wrapText="1"/>
    </xf>
    <xf numFmtId="14" fontId="44" fillId="17" borderId="12" xfId="0" applyNumberFormat="1" applyFont="1" applyFill="1" applyBorder="1" applyAlignment="1">
      <alignment horizontal="center" vertical="center"/>
    </xf>
    <xf numFmtId="174" fontId="137" fillId="2" borderId="12" xfId="0" applyNumberFormat="1" applyFont="1" applyFill="1" applyBorder="1" applyAlignment="1">
      <alignment horizontal="center"/>
    </xf>
    <xf numFmtId="0" fontId="44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14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9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43" fillId="17" borderId="12" xfId="0" applyNumberFormat="1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center" vertical="center"/>
    </xf>
    <xf numFmtId="166" fontId="42" fillId="17" borderId="12" xfId="0" applyNumberFormat="1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/>
    </xf>
    <xf numFmtId="14" fontId="42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42" fillId="2" borderId="7" xfId="0" applyFont="1" applyFill="1" applyBorder="1" applyAlignment="1">
      <alignment vertical="center"/>
    </xf>
    <xf numFmtId="0" fontId="41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41" fillId="19" borderId="12" xfId="0" applyFont="1" applyFill="1" applyBorder="1" applyAlignment="1">
      <alignment horizontal="center" vertical="center"/>
    </xf>
    <xf numFmtId="166" fontId="41" fillId="19" borderId="12" xfId="0" applyNumberFormat="1" applyFont="1" applyFill="1" applyBorder="1" applyAlignment="1">
      <alignment horizontal="center" vertical="center"/>
    </xf>
    <xf numFmtId="0" fontId="41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40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24" fillId="4" borderId="12" xfId="0" applyFont="1" applyFill="1" applyBorder="1" applyAlignment="1">
      <alignment horizontal="center" vertical="center"/>
    </xf>
    <xf numFmtId="0" fontId="124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40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40" fillId="19" borderId="12" xfId="0" applyFont="1" applyFill="1" applyBorder="1" applyAlignment="1">
      <alignment horizontal="center" vertical="center"/>
    </xf>
    <xf numFmtId="0" fontId="40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9" fillId="19" borderId="12" xfId="0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 wrapText="1"/>
    </xf>
    <xf numFmtId="0" fontId="39" fillId="2" borderId="7" xfId="0" applyFont="1" applyFill="1" applyBorder="1" applyAlignment="1">
      <alignment vertical="center"/>
    </xf>
    <xf numFmtId="176" fontId="0" fillId="0" borderId="0" xfId="0" applyNumberFormat="1"/>
    <xf numFmtId="14" fontId="38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14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14" fillId="18" borderId="20" xfId="1" applyFont="1" applyFill="1" applyBorder="1" applyAlignment="1">
      <alignment horizontal="center"/>
    </xf>
    <xf numFmtId="43" fontId="114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14" fillId="19" borderId="12" xfId="0" applyFont="1" applyFill="1" applyBorder="1"/>
    <xf numFmtId="1" fontId="114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7" fillId="2" borderId="7" xfId="0" applyFont="1" applyFill="1" applyBorder="1" applyAlignment="1">
      <alignment vertical="center"/>
    </xf>
    <xf numFmtId="0" fontId="37" fillId="19" borderId="12" xfId="0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/>
    </xf>
    <xf numFmtId="0" fontId="37" fillId="19" borderId="12" xfId="0" applyFont="1" applyFill="1" applyBorder="1" applyAlignment="1">
      <alignment horizontal="left" vertical="center" wrapText="1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 wrapText="1"/>
    </xf>
    <xf numFmtId="0" fontId="37" fillId="17" borderId="12" xfId="0" applyFont="1" applyFill="1" applyBorder="1" applyAlignment="1">
      <alignment horizontal="left" vertical="center"/>
    </xf>
    <xf numFmtId="14" fontId="37" fillId="17" borderId="12" xfId="0" applyNumberFormat="1" applyFont="1" applyFill="1" applyBorder="1" applyAlignment="1">
      <alignment horizontal="center" vertical="center"/>
    </xf>
    <xf numFmtId="14" fontId="36" fillId="17" borderId="12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/>
    </xf>
    <xf numFmtId="0" fontId="36" fillId="17" borderId="12" xfId="0" applyFont="1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/>
    </xf>
    <xf numFmtId="0" fontId="35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4" fillId="19" borderId="12" xfId="0" applyNumberFormat="1" applyFont="1" applyFill="1" applyBorder="1" applyAlignment="1">
      <alignment horizontal="center" vertical="center"/>
    </xf>
    <xf numFmtId="0" fontId="113" fillId="2" borderId="0" xfId="0" applyFont="1" applyFill="1" applyAlignment="1">
      <alignment vertical="center"/>
    </xf>
    <xf numFmtId="0" fontId="129" fillId="4" borderId="12" xfId="0" applyFont="1" applyFill="1" applyBorder="1"/>
    <xf numFmtId="165" fontId="134" fillId="2" borderId="52" xfId="0" applyNumberFormat="1" applyFont="1" applyFill="1" applyBorder="1" applyAlignment="1">
      <alignment horizontal="center" vertical="center"/>
    </xf>
    <xf numFmtId="0" fontId="114" fillId="19" borderId="7" xfId="0" applyFont="1" applyFill="1" applyBorder="1" applyAlignment="1">
      <alignment horizontal="center"/>
    </xf>
    <xf numFmtId="0" fontId="113" fillId="19" borderId="12" xfId="0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34" fillId="2" borderId="28" xfId="0" applyFont="1" applyFill="1" applyBorder="1"/>
    <xf numFmtId="165" fontId="129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2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31" fillId="19" borderId="12" xfId="0" applyFont="1" applyFill="1" applyBorder="1" applyAlignment="1">
      <alignment horizontal="left" vertical="center"/>
    </xf>
    <xf numFmtId="0" fontId="113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30" fillId="17" borderId="12" xfId="0" applyFont="1" applyFill="1" applyBorder="1" applyAlignment="1">
      <alignment horizontal="left" vertical="center"/>
    </xf>
    <xf numFmtId="0" fontId="30" fillId="17" borderId="12" xfId="0" applyFont="1" applyFill="1" applyBorder="1" applyAlignment="1">
      <alignment horizontal="left" vertical="center" wrapText="1"/>
    </xf>
    <xf numFmtId="0" fontId="30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13" fillId="28" borderId="12" xfId="0" applyNumberFormat="1" applyFont="1" applyFill="1" applyBorder="1" applyAlignment="1">
      <alignment horizontal="center" vertical="center"/>
    </xf>
    <xf numFmtId="166" fontId="113" fillId="28" borderId="12" xfId="0" applyNumberFormat="1" applyFont="1" applyFill="1" applyBorder="1" applyAlignment="1">
      <alignment horizontal="center" vertical="center"/>
    </xf>
    <xf numFmtId="1" fontId="113" fillId="28" borderId="12" xfId="0" applyNumberFormat="1" applyFont="1" applyFill="1" applyBorder="1" applyAlignment="1">
      <alignment horizontal="center" vertical="center"/>
    </xf>
    <xf numFmtId="0" fontId="113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9" fillId="28" borderId="12" xfId="0" applyFont="1" applyFill="1" applyBorder="1" applyAlignment="1">
      <alignment horizontal="center" vertical="center"/>
    </xf>
    <xf numFmtId="0" fontId="29" fillId="28" borderId="12" xfId="0" applyFont="1" applyFill="1" applyBorder="1" applyAlignment="1">
      <alignment horizontal="left" vertical="center"/>
    </xf>
    <xf numFmtId="166" fontId="29" fillId="28" borderId="12" xfId="0" applyNumberFormat="1" applyFont="1" applyFill="1" applyBorder="1" applyAlignment="1">
      <alignment horizontal="center" vertical="center"/>
    </xf>
    <xf numFmtId="0" fontId="114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6" fillId="23" borderId="12" xfId="0" applyFont="1" applyFill="1" applyBorder="1" applyAlignment="1">
      <alignment horizontal="center" vertical="center"/>
    </xf>
    <xf numFmtId="0" fontId="136" fillId="2" borderId="12" xfId="0" applyFont="1" applyFill="1" applyBorder="1" applyAlignment="1">
      <alignment horizontal="center" vertical="center"/>
    </xf>
    <xf numFmtId="0" fontId="136" fillId="2" borderId="0" xfId="0" applyFont="1" applyFill="1" applyAlignment="1">
      <alignment horizontal="center" vertical="center"/>
    </xf>
    <xf numFmtId="0" fontId="136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14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14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7" fillId="2" borderId="7" xfId="0" applyFont="1" applyFill="1" applyBorder="1" applyAlignment="1">
      <alignment vertical="center"/>
    </xf>
    <xf numFmtId="0" fontId="114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6" fillId="2" borderId="12" xfId="0" applyFont="1" applyFill="1" applyBorder="1" applyAlignment="1">
      <alignment horizontal="left" vertical="center"/>
    </xf>
    <xf numFmtId="0" fontId="26" fillId="2" borderId="12" xfId="0" applyFon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 wrapText="1"/>
    </xf>
    <xf numFmtId="14" fontId="113" fillId="26" borderId="12" xfId="0" applyNumberFormat="1" applyFont="1" applyFill="1" applyBorder="1" applyAlignment="1">
      <alignment horizontal="center" vertical="center"/>
    </xf>
    <xf numFmtId="0" fontId="113" fillId="26" borderId="12" xfId="0" applyFont="1" applyFill="1" applyBorder="1" applyAlignment="1">
      <alignment horizontal="center" vertical="center"/>
    </xf>
    <xf numFmtId="166" fontId="113" fillId="26" borderId="12" xfId="0" applyNumberFormat="1" applyFont="1" applyFill="1" applyBorder="1" applyAlignment="1">
      <alignment horizontal="center" vertical="center"/>
    </xf>
    <xf numFmtId="1" fontId="113" fillId="26" borderId="12" xfId="0" applyNumberFormat="1" applyFont="1" applyFill="1" applyBorder="1" applyAlignment="1">
      <alignment horizontal="center" vertical="center"/>
    </xf>
    <xf numFmtId="0" fontId="28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0" fontId="26" fillId="26" borderId="12" xfId="0" applyFont="1" applyFill="1" applyBorder="1" applyAlignment="1">
      <alignment horizontal="left" vertical="center" wrapText="1"/>
    </xf>
    <xf numFmtId="0" fontId="26" fillId="19" borderId="12" xfId="0" applyFont="1" applyFill="1" applyBorder="1" applyAlignment="1">
      <alignment horizontal="left" vertical="center"/>
    </xf>
    <xf numFmtId="0" fontId="25" fillId="17" borderId="12" xfId="0" applyFont="1" applyFill="1" applyBorder="1" applyAlignment="1">
      <alignment horizontal="left" vertical="center"/>
    </xf>
    <xf numFmtId="0" fontId="25" fillId="17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left" vertical="center"/>
    </xf>
    <xf numFmtId="0" fontId="24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23" fillId="26" borderId="12" xfId="0" applyFont="1" applyFill="1" applyBorder="1" applyAlignment="1">
      <alignment horizontal="left" vertical="center"/>
    </xf>
    <xf numFmtId="0" fontId="22" fillId="26" borderId="12" xfId="0" applyFont="1" applyFill="1" applyBorder="1" applyAlignment="1">
      <alignment horizontal="left" vertical="center" wrapText="1"/>
    </xf>
    <xf numFmtId="0" fontId="114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21" fillId="26" borderId="12" xfId="0" applyFont="1" applyFill="1" applyBorder="1" applyAlignment="1">
      <alignment horizontal="left" vertical="center"/>
    </xf>
    <xf numFmtId="0" fontId="21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20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9" fillId="0" borderId="28" xfId="0" applyNumberFormat="1" applyFont="1" applyBorder="1" applyAlignment="1">
      <alignment horizontal="center"/>
    </xf>
    <xf numFmtId="1" fontId="119" fillId="0" borderId="21" xfId="0" applyNumberFormat="1" applyFont="1" applyBorder="1" applyAlignment="1">
      <alignment horizontal="center"/>
    </xf>
    <xf numFmtId="174" fontId="119" fillId="0" borderId="28" xfId="0" applyNumberFormat="1" applyFont="1" applyBorder="1" applyAlignment="1">
      <alignment horizontal="center"/>
    </xf>
    <xf numFmtId="0" fontId="119" fillId="0" borderId="28" xfId="0" applyFont="1" applyBorder="1"/>
    <xf numFmtId="176" fontId="119" fillId="0" borderId="28" xfId="0" applyNumberFormat="1" applyFont="1" applyBorder="1" applyAlignment="1">
      <alignment horizontal="center"/>
    </xf>
    <xf numFmtId="9" fontId="119" fillId="0" borderId="28" xfId="0" applyNumberFormat="1" applyFont="1" applyBorder="1" applyAlignment="1">
      <alignment horizontal="center"/>
    </xf>
    <xf numFmtId="9" fontId="119" fillId="0" borderId="0" xfId="0" applyNumberFormat="1" applyFont="1" applyAlignment="1">
      <alignment horizontal="center"/>
    </xf>
    <xf numFmtId="9" fontId="119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9" fillId="17" borderId="12" xfId="0" applyFont="1" applyFill="1" applyBorder="1" applyAlignment="1">
      <alignment horizontal="left" vertical="center"/>
    </xf>
    <xf numFmtId="0" fontId="0" fillId="26" borderId="0" xfId="0" applyFill="1"/>
    <xf numFmtId="0" fontId="18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7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6" fillId="26" borderId="12" xfId="0" applyFont="1" applyFill="1" applyBorder="1" applyAlignment="1">
      <alignment horizontal="left" vertical="center"/>
    </xf>
    <xf numFmtId="0" fontId="15" fillId="26" borderId="12" xfId="0" applyFont="1" applyFill="1" applyBorder="1" applyAlignment="1">
      <alignment horizontal="left" vertical="center"/>
    </xf>
    <xf numFmtId="0" fontId="15" fillId="17" borderId="12" xfId="0" applyFont="1" applyFill="1" applyBorder="1" applyAlignment="1">
      <alignment horizontal="left" vertical="center"/>
    </xf>
    <xf numFmtId="0" fontId="114" fillId="4" borderId="20" xfId="0" applyFont="1" applyFill="1" applyBorder="1"/>
    <xf numFmtId="0" fontId="114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14" fillId="4" borderId="52" xfId="0" applyFont="1" applyFill="1" applyBorder="1" applyAlignment="1">
      <alignment horizontal="center"/>
    </xf>
    <xf numFmtId="0" fontId="0" fillId="2" borderId="86" xfId="0" applyFill="1" applyBorder="1"/>
    <xf numFmtId="0" fontId="114" fillId="18" borderId="15" xfId="0" applyFont="1" applyFill="1" applyBorder="1" applyAlignment="1">
      <alignment horizontal="center"/>
    </xf>
    <xf numFmtId="176" fontId="114" fillId="18" borderId="15" xfId="0" applyNumberFormat="1" applyFont="1" applyFill="1" applyBorder="1" applyAlignment="1">
      <alignment horizontal="center"/>
    </xf>
    <xf numFmtId="176" fontId="114" fillId="18" borderId="62" xfId="0" applyNumberFormat="1" applyFont="1" applyFill="1" applyBorder="1" applyAlignment="1">
      <alignment horizontal="center"/>
    </xf>
    <xf numFmtId="0" fontId="14" fillId="17" borderId="12" xfId="0" applyFont="1" applyFill="1" applyBorder="1" applyAlignment="1">
      <alignment horizontal="left" vertical="center"/>
    </xf>
    <xf numFmtId="0" fontId="113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129" fillId="18" borderId="32" xfId="0" applyFont="1" applyFill="1" applyBorder="1"/>
    <xf numFmtId="0" fontId="129" fillId="18" borderId="53" xfId="0" applyFont="1" applyFill="1" applyBorder="1"/>
    <xf numFmtId="0" fontId="113" fillId="26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12" fillId="17" borderId="12" xfId="0" applyFont="1" applyFill="1" applyBorder="1" applyAlignment="1">
      <alignment horizontal="left" vertical="center"/>
    </xf>
    <xf numFmtId="0" fontId="148" fillId="2" borderId="19" xfId="0" applyFont="1" applyFill="1" applyBorder="1" applyAlignment="1">
      <alignment vertical="center"/>
    </xf>
    <xf numFmtId="14" fontId="113" fillId="2" borderId="7" xfId="0" applyNumberFormat="1" applyFont="1" applyFill="1" applyBorder="1" applyAlignment="1">
      <alignment horizontal="center" vertical="center"/>
    </xf>
    <xf numFmtId="14" fontId="113" fillId="2" borderId="8" xfId="0" applyNumberFormat="1" applyFont="1" applyFill="1" applyBorder="1" applyAlignment="1">
      <alignment horizontal="center" vertical="center"/>
    </xf>
    <xf numFmtId="166" fontId="11" fillId="17" borderId="12" xfId="0" applyNumberFormat="1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0" fontId="148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10" fillId="26" borderId="12" xfId="0" applyFont="1" applyFill="1" applyBorder="1" applyAlignment="1">
      <alignment horizontal="left" vertical="center"/>
    </xf>
    <xf numFmtId="0" fontId="9" fillId="26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34" fillId="2" borderId="22" xfId="0" applyNumberFormat="1" applyFont="1" applyFill="1" applyBorder="1" applyAlignment="1">
      <alignment vertical="center"/>
    </xf>
    <xf numFmtId="14" fontId="134" fillId="2" borderId="19" xfId="0" applyNumberFormat="1" applyFont="1" applyFill="1" applyBorder="1" applyAlignment="1">
      <alignment vertical="center"/>
    </xf>
    <xf numFmtId="14" fontId="134" fillId="2" borderId="32" xfId="0" applyNumberFormat="1" applyFont="1" applyFill="1" applyBorder="1" applyAlignment="1">
      <alignment vertical="center"/>
    </xf>
    <xf numFmtId="14" fontId="134" fillId="2" borderId="33" xfId="0" applyNumberFormat="1" applyFont="1" applyFill="1" applyBorder="1" applyAlignment="1">
      <alignment vertical="center"/>
    </xf>
    <xf numFmtId="165" fontId="135" fillId="2" borderId="0" xfId="1" applyNumberFormat="1" applyFont="1" applyFill="1" applyAlignment="1">
      <alignment horizontal="center" vertical="center"/>
    </xf>
    <xf numFmtId="0" fontId="7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0" fontId="6" fillId="26" borderId="12" xfId="0" applyFont="1" applyFill="1" applyBorder="1" applyAlignment="1">
      <alignment horizontal="left" vertical="center"/>
    </xf>
    <xf numFmtId="0" fontId="0" fillId="29" borderId="21" xfId="0" applyFill="1" applyBorder="1" applyAlignment="1">
      <alignment horizontal="center"/>
    </xf>
    <xf numFmtId="9" fontId="0" fillId="0" borderId="12" xfId="2" applyFont="1" applyBorder="1" applyAlignment="1">
      <alignment horizontal="center"/>
    </xf>
    <xf numFmtId="9" fontId="0" fillId="27" borderId="12" xfId="2" applyFont="1" applyFill="1" applyBorder="1" applyAlignment="1">
      <alignment horizontal="center"/>
    </xf>
    <xf numFmtId="166" fontId="5" fillId="26" borderId="12" xfId="0" applyNumberFormat="1" applyFont="1" applyFill="1" applyBorder="1" applyAlignment="1">
      <alignment horizontal="center" vertical="center"/>
    </xf>
    <xf numFmtId="0" fontId="5" fillId="26" borderId="12" xfId="0" applyFont="1" applyFill="1" applyBorder="1" applyAlignment="1">
      <alignment horizontal="left" vertical="center"/>
    </xf>
    <xf numFmtId="0" fontId="5" fillId="26" borderId="12" xfId="0" applyFont="1" applyFill="1" applyBorder="1" applyAlignment="1">
      <alignment horizontal="left" vertical="center" wrapText="1"/>
    </xf>
    <xf numFmtId="174" fontId="114" fillId="26" borderId="12" xfId="0" applyNumberFormat="1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/>
    </xf>
    <xf numFmtId="43" fontId="0" fillId="17" borderId="12" xfId="0" applyNumberFormat="1" applyFill="1" applyBorder="1" applyAlignment="1">
      <alignment horizontal="center" vertical="center"/>
    </xf>
    <xf numFmtId="0" fontId="155" fillId="2" borderId="0" xfId="0" applyFont="1" applyFill="1" applyAlignment="1">
      <alignment vertical="center"/>
    </xf>
    <xf numFmtId="0" fontId="3" fillId="17" borderId="1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vertical="center"/>
    </xf>
    <xf numFmtId="0" fontId="114" fillId="0" borderId="12" xfId="0" applyFont="1" applyBorder="1" applyAlignment="1">
      <alignment horizontal="center" vertical="center"/>
    </xf>
    <xf numFmtId="20" fontId="114" fillId="36" borderId="12" xfId="0" applyNumberFormat="1" applyFont="1" applyFill="1" applyBorder="1" applyAlignment="1">
      <alignment horizontal="center" vertical="center"/>
    </xf>
    <xf numFmtId="20" fontId="114" fillId="36" borderId="12" xfId="0" applyNumberFormat="1" applyFont="1" applyFill="1" applyBorder="1" applyAlignment="1">
      <alignment vertical="center"/>
    </xf>
    <xf numFmtId="0" fontId="118" fillId="0" borderId="12" xfId="0" applyFont="1" applyBorder="1" applyAlignment="1">
      <alignment horizontal="center" vertical="center"/>
    </xf>
    <xf numFmtId="14" fontId="114" fillId="10" borderId="12" xfId="0" applyNumberFormat="1" applyFont="1" applyFill="1" applyBorder="1" applyAlignment="1">
      <alignment horizontal="center" vertical="center"/>
    </xf>
    <xf numFmtId="0" fontId="114" fillId="10" borderId="0" xfId="0" applyFont="1" applyFill="1"/>
    <xf numFmtId="0" fontId="0" fillId="26" borderId="7" xfId="0" applyFill="1" applyBorder="1"/>
    <xf numFmtId="1" fontId="0" fillId="26" borderId="28" xfId="0" applyNumberFormat="1" applyFill="1" applyBorder="1" applyAlignment="1">
      <alignment horizontal="center" vertical="center"/>
    </xf>
    <xf numFmtId="0" fontId="118" fillId="17" borderId="12" xfId="0" applyFont="1" applyFill="1" applyBorder="1" applyAlignment="1">
      <alignment horizontal="center" vertical="center"/>
    </xf>
    <xf numFmtId="0" fontId="114" fillId="2" borderId="0" xfId="0" applyFont="1" applyFill="1" applyAlignment="1">
      <alignment wrapText="1"/>
    </xf>
    <xf numFmtId="0" fontId="2" fillId="17" borderId="12" xfId="0" applyFont="1" applyFill="1" applyBorder="1" applyAlignment="1">
      <alignment horizontal="left" vertical="center"/>
    </xf>
    <xf numFmtId="166" fontId="2" fillId="26" borderId="12" xfId="0" applyNumberFormat="1" applyFont="1" applyFill="1" applyBorder="1" applyAlignment="1">
      <alignment horizontal="center" vertical="center"/>
    </xf>
    <xf numFmtId="0" fontId="2" fillId="26" borderId="12" xfId="0" applyFont="1" applyFill="1" applyBorder="1" applyAlignment="1">
      <alignment horizontal="left" vertical="center" wrapText="1"/>
    </xf>
    <xf numFmtId="0" fontId="0" fillId="0" borderId="34" xfId="0" applyBorder="1"/>
    <xf numFmtId="0" fontId="0" fillId="0" borderId="28" xfId="0" applyBorder="1" applyAlignment="1">
      <alignment horizontal="center"/>
    </xf>
    <xf numFmtId="0" fontId="0" fillId="0" borderId="28" xfId="0" applyBorder="1"/>
    <xf numFmtId="9" fontId="0" fillId="0" borderId="90" xfId="2" applyFont="1" applyBorder="1" applyAlignment="1">
      <alignment horizontal="center"/>
    </xf>
    <xf numFmtId="9" fontId="0" fillId="0" borderId="89" xfId="0" applyNumberFormat="1" applyBorder="1"/>
    <xf numFmtId="190" fontId="129" fillId="18" borderId="29" xfId="2" applyNumberFormat="1" applyFont="1" applyFill="1" applyBorder="1" applyAlignment="1">
      <alignment horizontal="center" vertical="center"/>
    </xf>
    <xf numFmtId="0" fontId="0" fillId="29" borderId="20" xfId="0" applyFill="1" applyBorder="1"/>
    <xf numFmtId="0" fontId="0" fillId="29" borderId="2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0" fillId="0" borderId="23" xfId="0" applyBorder="1" applyAlignment="1">
      <alignment horizontal="center"/>
    </xf>
    <xf numFmtId="9" fontId="0" fillId="0" borderId="85" xfId="2" applyFont="1" applyBorder="1" applyAlignment="1">
      <alignment horizontal="center"/>
    </xf>
    <xf numFmtId="9" fontId="0" fillId="27" borderId="85" xfId="2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9" fontId="0" fillId="0" borderId="25" xfId="2" applyFont="1" applyBorder="1" applyAlignment="1">
      <alignment horizontal="center"/>
    </xf>
    <xf numFmtId="0" fontId="1" fillId="2" borderId="12" xfId="0" applyFont="1" applyFill="1" applyBorder="1" applyAlignment="1">
      <alignment horizontal="center" vertical="center"/>
    </xf>
    <xf numFmtId="0" fontId="1" fillId="26" borderId="12" xfId="0" applyFont="1" applyFill="1" applyBorder="1" applyAlignment="1">
      <alignment horizontal="left" vertical="center" wrapText="1"/>
    </xf>
    <xf numFmtId="0" fontId="148" fillId="17" borderId="19" xfId="0" applyFont="1" applyFill="1" applyBorder="1" applyAlignment="1">
      <alignment horizontal="center" vertical="center"/>
    </xf>
    <xf numFmtId="0" fontId="148" fillId="26" borderId="19" xfId="0" applyFont="1" applyFill="1" applyBorder="1" applyAlignment="1">
      <alignment horizontal="center" vertical="center"/>
    </xf>
    <xf numFmtId="14" fontId="113" fillId="26" borderId="7" xfId="0" applyNumberFormat="1" applyFont="1" applyFill="1" applyBorder="1" applyAlignment="1">
      <alignment horizontal="center" vertical="center"/>
    </xf>
    <xf numFmtId="14" fontId="113" fillId="26" borderId="8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4" fontId="113" fillId="17" borderId="7" xfId="0" applyNumberFormat="1" applyFont="1" applyFill="1" applyBorder="1" applyAlignment="1">
      <alignment horizontal="center" vertical="center"/>
    </xf>
    <xf numFmtId="14" fontId="113" fillId="17" borderId="8" xfId="0" applyNumberFormat="1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4" fontId="7" fillId="26" borderId="7" xfId="0" applyNumberFormat="1" applyFont="1" applyFill="1" applyBorder="1" applyAlignment="1">
      <alignment horizontal="center" vertical="center"/>
    </xf>
    <xf numFmtId="14" fontId="7" fillId="26" borderId="8" xfId="0" applyNumberFormat="1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4" fontId="113" fillId="2" borderId="7" xfId="0" applyNumberFormat="1" applyFont="1" applyFill="1" applyBorder="1" applyAlignment="1">
      <alignment horizontal="center" vertical="center"/>
    </xf>
    <xf numFmtId="14" fontId="113" fillId="2" borderId="8" xfId="0" applyNumberFormat="1" applyFont="1" applyFill="1" applyBorder="1" applyAlignment="1">
      <alignment horizontal="center" vertical="center"/>
    </xf>
    <xf numFmtId="14" fontId="113" fillId="26" borderId="7" xfId="0" applyNumberFormat="1" applyFont="1" applyFill="1" applyBorder="1" applyAlignment="1">
      <alignment horizontal="center"/>
    </xf>
    <xf numFmtId="14" fontId="113" fillId="26" borderId="8" xfId="0" applyNumberFormat="1" applyFont="1" applyFill="1" applyBorder="1" applyAlignment="1">
      <alignment horizontal="center"/>
    </xf>
    <xf numFmtId="1" fontId="0" fillId="17" borderId="21" xfId="0" applyNumberFormat="1" applyFill="1" applyBorder="1" applyAlignment="1">
      <alignment horizontal="center" vertical="center"/>
    </xf>
    <xf numFmtId="0" fontId="148" fillId="17" borderId="67" xfId="0" applyFont="1" applyFill="1" applyBorder="1" applyAlignment="1">
      <alignment horizontal="center" vertical="center"/>
    </xf>
    <xf numFmtId="0" fontId="136" fillId="17" borderId="67" xfId="0" applyFont="1" applyFill="1" applyBorder="1" applyAlignment="1">
      <alignment horizontal="center" vertical="center"/>
    </xf>
    <xf numFmtId="0" fontId="148" fillId="26" borderId="0" xfId="0" applyFont="1" applyFill="1" applyAlignment="1">
      <alignment horizontal="center" vertical="center"/>
    </xf>
    <xf numFmtId="14" fontId="113" fillId="26" borderId="1" xfId="0" applyNumberFormat="1" applyFont="1" applyFill="1" applyBorder="1" applyAlignment="1">
      <alignment horizontal="center" vertical="center"/>
    </xf>
    <xf numFmtId="14" fontId="113" fillId="26" borderId="4" xfId="0" applyNumberFormat="1" applyFont="1" applyFill="1" applyBorder="1" applyAlignment="1">
      <alignment horizontal="center" vertical="center"/>
    </xf>
    <xf numFmtId="14" fontId="113" fillId="26" borderId="18" xfId="0" applyNumberFormat="1" applyFont="1" applyFill="1" applyBorder="1" applyAlignment="1">
      <alignment horizontal="center" vertical="center"/>
    </xf>
    <xf numFmtId="14" fontId="113" fillId="26" borderId="19" xfId="0" applyNumberFormat="1" applyFont="1" applyFill="1" applyBorder="1" applyAlignment="1">
      <alignment horizontal="center" vertical="center"/>
    </xf>
    <xf numFmtId="0" fontId="147" fillId="26" borderId="87" xfId="0" applyFont="1" applyFill="1" applyBorder="1" applyAlignment="1">
      <alignment horizontal="center" vertical="center"/>
    </xf>
    <xf numFmtId="0" fontId="147" fillId="26" borderId="67" xfId="0" applyFont="1" applyFill="1" applyBorder="1" applyAlignment="1">
      <alignment horizontal="center" vertical="center"/>
    </xf>
    <xf numFmtId="14" fontId="113" fillId="17" borderId="1" xfId="0" applyNumberFormat="1" applyFont="1" applyFill="1" applyBorder="1" applyAlignment="1">
      <alignment horizontal="center" vertical="center"/>
    </xf>
    <xf numFmtId="14" fontId="113" fillId="17" borderId="4" xfId="0" applyNumberFormat="1" applyFont="1" applyFill="1" applyBorder="1" applyAlignment="1">
      <alignment horizontal="center" vertical="center"/>
    </xf>
    <xf numFmtId="14" fontId="113" fillId="17" borderId="13" xfId="0" applyNumberFormat="1" applyFont="1" applyFill="1" applyBorder="1" applyAlignment="1">
      <alignment horizontal="center" vertical="center"/>
    </xf>
    <xf numFmtId="14" fontId="113" fillId="17" borderId="14" xfId="0" applyNumberFormat="1" applyFont="1" applyFill="1" applyBorder="1" applyAlignment="1">
      <alignment horizontal="center" vertical="center"/>
    </xf>
    <xf numFmtId="14" fontId="113" fillId="26" borderId="13" xfId="0" applyNumberFormat="1" applyFont="1" applyFill="1" applyBorder="1" applyAlignment="1">
      <alignment horizontal="center" vertical="center"/>
    </xf>
    <xf numFmtId="14" fontId="113" fillId="26" borderId="14" xfId="0" applyNumberFormat="1" applyFont="1" applyFill="1" applyBorder="1" applyAlignment="1">
      <alignment horizontal="center" vertical="center"/>
    </xf>
    <xf numFmtId="0" fontId="149" fillId="26" borderId="67" xfId="0" applyFont="1" applyFill="1" applyBorder="1" applyAlignment="1">
      <alignment horizontal="center" vertical="center"/>
    </xf>
    <xf numFmtId="0" fontId="149" fillId="17" borderId="67" xfId="0" applyFont="1" applyFill="1" applyBorder="1" applyAlignment="1">
      <alignment horizontal="center" vertical="center"/>
    </xf>
    <xf numFmtId="0" fontId="151" fillId="26" borderId="67" xfId="0" applyFont="1" applyFill="1" applyBorder="1" applyAlignment="1">
      <alignment horizontal="center" vertical="center"/>
    </xf>
    <xf numFmtId="0" fontId="136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13" fillId="28" borderId="1" xfId="0" applyNumberFormat="1" applyFont="1" applyFill="1" applyBorder="1" applyAlignment="1">
      <alignment horizontal="center" vertical="center"/>
    </xf>
    <xf numFmtId="14" fontId="113" fillId="28" borderId="4" xfId="0" applyNumberFormat="1" applyFont="1" applyFill="1" applyBorder="1" applyAlignment="1">
      <alignment horizontal="center" vertical="center"/>
    </xf>
    <xf numFmtId="14" fontId="113" fillId="28" borderId="13" xfId="0" applyNumberFormat="1" applyFont="1" applyFill="1" applyBorder="1" applyAlignment="1">
      <alignment horizontal="center" vertical="center"/>
    </xf>
    <xf numFmtId="14" fontId="113" fillId="28" borderId="14" xfId="0" applyNumberFormat="1" applyFont="1" applyFill="1" applyBorder="1" applyAlignment="1">
      <alignment horizontal="center" vertical="center"/>
    </xf>
    <xf numFmtId="14" fontId="113" fillId="19" borderId="1" xfId="0" applyNumberFormat="1" applyFont="1" applyFill="1" applyBorder="1" applyAlignment="1">
      <alignment horizontal="center" vertical="center"/>
    </xf>
    <xf numFmtId="14" fontId="113" fillId="19" borderId="4" xfId="0" applyNumberFormat="1" applyFont="1" applyFill="1" applyBorder="1" applyAlignment="1">
      <alignment horizontal="center" vertical="center"/>
    </xf>
    <xf numFmtId="14" fontId="113" fillId="19" borderId="13" xfId="0" applyNumberFormat="1" applyFont="1" applyFill="1" applyBorder="1" applyAlignment="1">
      <alignment horizontal="center" vertical="center"/>
    </xf>
    <xf numFmtId="14" fontId="113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4" fontId="113" fillId="2" borderId="1" xfId="0" applyNumberFormat="1" applyFont="1" applyFill="1" applyBorder="1" applyAlignment="1">
      <alignment horizontal="center" vertical="center"/>
    </xf>
    <xf numFmtId="14" fontId="113" fillId="2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13" fillId="29" borderId="1" xfId="0" applyNumberFormat="1" applyFont="1" applyFill="1" applyBorder="1" applyAlignment="1">
      <alignment horizontal="center" vertical="center"/>
    </xf>
    <xf numFmtId="14" fontId="113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113" fillId="2" borderId="13" xfId="0" applyNumberFormat="1" applyFont="1" applyFill="1" applyBorder="1" applyAlignment="1">
      <alignment horizontal="center" vertical="center"/>
    </xf>
    <xf numFmtId="14" fontId="113" fillId="2" borderId="14" xfId="0" applyNumberFormat="1" applyFont="1" applyFill="1" applyBorder="1" applyAlignment="1">
      <alignment horizontal="center" vertical="center"/>
    </xf>
    <xf numFmtId="0" fontId="115" fillId="25" borderId="36" xfId="0" applyFont="1" applyFill="1" applyBorder="1" applyAlignment="1">
      <alignment horizontal="center" vertical="center" wrapText="1"/>
    </xf>
    <xf numFmtId="0" fontId="115" fillId="25" borderId="55" xfId="0" applyFont="1" applyFill="1" applyBorder="1" applyAlignment="1">
      <alignment horizontal="center" vertical="center" wrapText="1"/>
    </xf>
    <xf numFmtId="0" fontId="115" fillId="25" borderId="56" xfId="0" applyFont="1" applyFill="1" applyBorder="1" applyAlignment="1">
      <alignment horizontal="center" vertical="center" wrapText="1"/>
    </xf>
    <xf numFmtId="14" fontId="113" fillId="17" borderId="18" xfId="0" applyNumberFormat="1" applyFont="1" applyFill="1" applyBorder="1" applyAlignment="1">
      <alignment horizontal="center" vertical="center"/>
    </xf>
    <xf numFmtId="14" fontId="113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14" fillId="23" borderId="20" xfId="0" applyNumberFormat="1" applyFont="1" applyFill="1" applyBorder="1" applyAlignment="1">
      <alignment horizontal="center" vertical="center"/>
    </xf>
    <xf numFmtId="1" fontId="114" fillId="23" borderId="21" xfId="0" applyNumberFormat="1" applyFont="1" applyFill="1" applyBorder="1" applyAlignment="1">
      <alignment horizontal="center" vertical="center"/>
    </xf>
    <xf numFmtId="1" fontId="114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14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13" fillId="23" borderId="1" xfId="0" applyNumberFormat="1" applyFont="1" applyFill="1" applyBorder="1" applyAlignment="1">
      <alignment horizontal="center" vertical="center"/>
    </xf>
    <xf numFmtId="14" fontId="113" fillId="23" borderId="4" xfId="0" applyNumberFormat="1" applyFont="1" applyFill="1" applyBorder="1" applyAlignment="1">
      <alignment horizontal="center" vertical="center"/>
    </xf>
    <xf numFmtId="14" fontId="113" fillId="23" borderId="13" xfId="0" applyNumberFormat="1" applyFont="1" applyFill="1" applyBorder="1" applyAlignment="1">
      <alignment horizontal="center" vertical="center"/>
    </xf>
    <xf numFmtId="14" fontId="113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14" fillId="22" borderId="12" xfId="0" applyNumberFormat="1" applyFont="1" applyFill="1" applyBorder="1" applyAlignment="1">
      <alignment horizontal="center" vertical="center"/>
    </xf>
    <xf numFmtId="14" fontId="113" fillId="2" borderId="12" xfId="0" applyNumberFormat="1" applyFont="1" applyFill="1" applyBorder="1" applyAlignment="1">
      <alignment horizontal="center" vertical="center"/>
    </xf>
    <xf numFmtId="14" fontId="113" fillId="22" borderId="1" xfId="0" applyNumberFormat="1" applyFont="1" applyFill="1" applyBorder="1" applyAlignment="1">
      <alignment horizontal="center" vertical="center"/>
    </xf>
    <xf numFmtId="14" fontId="113" fillId="22" borderId="4" xfId="0" applyNumberFormat="1" applyFont="1" applyFill="1" applyBorder="1" applyAlignment="1">
      <alignment horizontal="center" vertical="center"/>
    </xf>
    <xf numFmtId="14" fontId="113" fillId="22" borderId="13" xfId="0" applyNumberFormat="1" applyFont="1" applyFill="1" applyBorder="1" applyAlignment="1">
      <alignment horizontal="center" vertical="center"/>
    </xf>
    <xf numFmtId="14" fontId="113" fillId="22" borderId="14" xfId="0" applyNumberFormat="1" applyFont="1" applyFill="1" applyBorder="1" applyAlignment="1">
      <alignment horizontal="center" vertical="center"/>
    </xf>
    <xf numFmtId="14" fontId="113" fillId="2" borderId="84" xfId="0" applyNumberFormat="1" applyFont="1" applyFill="1" applyBorder="1" applyAlignment="1">
      <alignment horizontal="center" vertical="center"/>
    </xf>
    <xf numFmtId="14" fontId="113" fillId="2" borderId="31" xfId="0" applyNumberFormat="1" applyFont="1" applyFill="1" applyBorder="1" applyAlignment="1">
      <alignment horizontal="center" vertical="center"/>
    </xf>
    <xf numFmtId="14" fontId="113" fillId="22" borderId="84" xfId="0" applyNumberFormat="1" applyFont="1" applyFill="1" applyBorder="1" applyAlignment="1">
      <alignment horizontal="center" vertical="center"/>
    </xf>
    <xf numFmtId="14" fontId="113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13" fillId="23" borderId="12" xfId="0" applyNumberFormat="1" applyFont="1" applyFill="1" applyBorder="1" applyAlignment="1">
      <alignment horizontal="center" vertical="center"/>
    </xf>
    <xf numFmtId="14" fontId="113" fillId="23" borderId="20" xfId="0" applyNumberFormat="1" applyFont="1" applyFill="1" applyBorder="1" applyAlignment="1">
      <alignment horizontal="center" vertical="center"/>
    </xf>
    <xf numFmtId="14" fontId="113" fillId="22" borderId="12" xfId="0" applyNumberFormat="1" applyFont="1" applyFill="1" applyBorder="1" applyAlignment="1">
      <alignment horizontal="center" vertical="center"/>
    </xf>
    <xf numFmtId="14" fontId="113" fillId="0" borderId="28" xfId="0" applyNumberFormat="1" applyFont="1" applyBorder="1" applyAlignment="1">
      <alignment horizontal="center" vertical="center"/>
    </xf>
    <xf numFmtId="0" fontId="114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136" fillId="23" borderId="12" xfId="0" applyFont="1" applyFill="1" applyBorder="1" applyAlignment="1">
      <alignment horizontal="center" vertical="center"/>
    </xf>
    <xf numFmtId="0" fontId="136" fillId="22" borderId="12" xfId="0" applyFont="1" applyFill="1" applyBorder="1" applyAlignment="1">
      <alignment horizontal="center" vertical="center"/>
    </xf>
    <xf numFmtId="14" fontId="113" fillId="23" borderId="73" xfId="0" applyNumberFormat="1" applyFont="1" applyFill="1" applyBorder="1" applyAlignment="1">
      <alignment horizontal="center" vertical="center"/>
    </xf>
    <xf numFmtId="14" fontId="113" fillId="23" borderId="74" xfId="0" applyNumberFormat="1" applyFont="1" applyFill="1" applyBorder="1" applyAlignment="1">
      <alignment horizontal="center" vertical="center"/>
    </xf>
    <xf numFmtId="14" fontId="113" fillId="23" borderId="75" xfId="0" applyNumberFormat="1" applyFont="1" applyFill="1" applyBorder="1" applyAlignment="1">
      <alignment horizontal="center" vertical="center"/>
    </xf>
    <xf numFmtId="14" fontId="113" fillId="23" borderId="76" xfId="0" applyNumberFormat="1" applyFont="1" applyFill="1" applyBorder="1" applyAlignment="1">
      <alignment horizontal="center" vertical="center"/>
    </xf>
    <xf numFmtId="0" fontId="136" fillId="19" borderId="67" xfId="0" applyFont="1" applyFill="1" applyBorder="1" applyAlignment="1">
      <alignment horizontal="center" vertical="center"/>
    </xf>
    <xf numFmtId="0" fontId="114" fillId="4" borderId="0" xfId="0" applyFont="1" applyFill="1" applyAlignment="1">
      <alignment horizontal="center"/>
    </xf>
    <xf numFmtId="0" fontId="114" fillId="3" borderId="30" xfId="0" applyFont="1" applyFill="1" applyBorder="1" applyAlignment="1">
      <alignment horizontal="center" vertical="center"/>
    </xf>
    <xf numFmtId="0" fontId="114" fillId="3" borderId="31" xfId="0" applyFont="1" applyFill="1" applyBorder="1" applyAlignment="1">
      <alignment horizontal="center" vertical="center"/>
    </xf>
    <xf numFmtId="0" fontId="136" fillId="2" borderId="20" xfId="0" applyFont="1" applyFill="1" applyBorder="1" applyAlignment="1">
      <alignment horizontal="center" vertical="center"/>
    </xf>
    <xf numFmtId="0" fontId="136" fillId="2" borderId="28" xfId="0" applyFont="1" applyFill="1" applyBorder="1" applyAlignment="1">
      <alignment horizontal="center" vertical="center"/>
    </xf>
    <xf numFmtId="0" fontId="136" fillId="23" borderId="67" xfId="0" applyFont="1" applyFill="1" applyBorder="1" applyAlignment="1">
      <alignment horizontal="center" vertical="center"/>
    </xf>
    <xf numFmtId="0" fontId="136" fillId="22" borderId="67" xfId="0" applyFont="1" applyFill="1" applyBorder="1" applyAlignment="1">
      <alignment horizontal="center" vertical="center"/>
    </xf>
    <xf numFmtId="14" fontId="82" fillId="23" borderId="74" xfId="0" applyNumberFormat="1" applyFont="1" applyFill="1" applyBorder="1" applyAlignment="1">
      <alignment horizontal="center" vertical="center" wrapText="1"/>
    </xf>
    <xf numFmtId="14" fontId="113" fillId="23" borderId="76" xfId="0" applyNumberFormat="1" applyFont="1" applyFill="1" applyBorder="1" applyAlignment="1">
      <alignment horizontal="center" vertical="center" wrapText="1"/>
    </xf>
    <xf numFmtId="0" fontId="136" fillId="23" borderId="7" xfId="0" applyFont="1" applyFill="1" applyBorder="1" applyAlignment="1">
      <alignment horizontal="center" vertical="center"/>
    </xf>
    <xf numFmtId="14" fontId="113" fillId="2" borderId="18" xfId="0" applyNumberFormat="1" applyFont="1" applyFill="1" applyBorder="1" applyAlignment="1">
      <alignment horizontal="center" vertical="center"/>
    </xf>
    <xf numFmtId="14" fontId="113" fillId="2" borderId="19" xfId="0" applyNumberFormat="1" applyFont="1" applyFill="1" applyBorder="1" applyAlignment="1">
      <alignment horizontal="center" vertical="center"/>
    </xf>
    <xf numFmtId="0" fontId="114" fillId="4" borderId="12" xfId="0" applyFont="1" applyFill="1" applyBorder="1" applyAlignment="1">
      <alignment horizontal="center"/>
    </xf>
    <xf numFmtId="0" fontId="121" fillId="3" borderId="40" xfId="0" applyFont="1" applyFill="1" applyBorder="1" applyAlignment="1">
      <alignment horizontal="center" vertical="center" wrapText="1"/>
    </xf>
    <xf numFmtId="0" fontId="120" fillId="3" borderId="44" xfId="0" applyFont="1" applyFill="1" applyBorder="1" applyAlignment="1">
      <alignment vertical="center"/>
    </xf>
    <xf numFmtId="1" fontId="121" fillId="3" borderId="41" xfId="0" applyNumberFormat="1" applyFont="1" applyFill="1" applyBorder="1" applyAlignment="1">
      <alignment horizontal="center" vertical="center" wrapText="1"/>
    </xf>
    <xf numFmtId="0" fontId="120" fillId="3" borderId="42" xfId="0" applyFont="1" applyFill="1" applyBorder="1" applyAlignment="1">
      <alignment vertical="center"/>
    </xf>
    <xf numFmtId="0" fontId="120" fillId="3" borderId="43" xfId="0" applyFont="1" applyFill="1" applyBorder="1" applyAlignment="1">
      <alignment vertical="center"/>
    </xf>
    <xf numFmtId="1" fontId="121" fillId="3" borderId="40" xfId="0" applyNumberFormat="1" applyFont="1" applyFill="1" applyBorder="1" applyAlignment="1">
      <alignment horizontal="center" vertical="center" wrapText="1"/>
    </xf>
    <xf numFmtId="0" fontId="121" fillId="3" borderId="41" xfId="0" applyFont="1" applyFill="1" applyBorder="1" applyAlignment="1">
      <alignment horizontal="center" vertical="center" wrapText="1"/>
    </xf>
    <xf numFmtId="0" fontId="120" fillId="3" borderId="46" xfId="0" applyFont="1" applyFill="1" applyBorder="1" applyAlignment="1">
      <alignment vertical="center"/>
    </xf>
    <xf numFmtId="1" fontId="121" fillId="3" borderId="44" xfId="0" applyNumberFormat="1" applyFont="1" applyFill="1" applyBorder="1" applyAlignment="1">
      <alignment horizontal="center" vertical="center" wrapText="1"/>
    </xf>
    <xf numFmtId="0" fontId="114" fillId="20" borderId="12" xfId="0" applyFont="1" applyFill="1" applyBorder="1" applyAlignment="1">
      <alignment horizontal="center"/>
    </xf>
    <xf numFmtId="0" fontId="126" fillId="15" borderId="51" xfId="0" applyFont="1" applyFill="1" applyBorder="1" applyAlignment="1">
      <alignment horizontal="center"/>
    </xf>
    <xf numFmtId="0" fontId="127" fillId="15" borderId="0" xfId="0" applyFont="1" applyFill="1" applyAlignment="1">
      <alignment horizontal="center"/>
    </xf>
    <xf numFmtId="0" fontId="131" fillId="3" borderId="42" xfId="0" applyFont="1" applyFill="1" applyBorder="1" applyAlignment="1">
      <alignment horizontal="center" vertical="center"/>
    </xf>
    <xf numFmtId="0" fontId="131" fillId="3" borderId="43" xfId="0" applyFont="1" applyFill="1" applyBorder="1" applyAlignment="1">
      <alignment horizontal="center" vertical="center"/>
    </xf>
    <xf numFmtId="0" fontId="121" fillId="3" borderId="42" xfId="0" applyFont="1" applyFill="1" applyBorder="1" applyAlignment="1">
      <alignment horizontal="center" vertical="center" wrapText="1"/>
    </xf>
    <xf numFmtId="0" fontId="121" fillId="3" borderId="43" xfId="0" applyFont="1" applyFill="1" applyBorder="1" applyAlignment="1">
      <alignment horizontal="center" vertical="center" wrapText="1"/>
    </xf>
    <xf numFmtId="177" fontId="114" fillId="4" borderId="12" xfId="0" applyNumberFormat="1" applyFont="1" applyFill="1" applyBorder="1" applyAlignment="1">
      <alignment horizontal="center"/>
    </xf>
    <xf numFmtId="0" fontId="114" fillId="19" borderId="57" xfId="0" applyFont="1" applyFill="1" applyBorder="1" applyAlignment="1">
      <alignment horizontal="center"/>
    </xf>
    <xf numFmtId="0" fontId="114" fillId="19" borderId="10" xfId="0" applyFont="1" applyFill="1" applyBorder="1" applyAlignment="1">
      <alignment horizontal="center"/>
    </xf>
    <xf numFmtId="177" fontId="114" fillId="19" borderId="10" xfId="0" applyNumberFormat="1" applyFont="1" applyFill="1" applyBorder="1" applyAlignment="1">
      <alignment horizontal="center"/>
    </xf>
    <xf numFmtId="0" fontId="114" fillId="19" borderId="23" xfId="0" applyFont="1" applyFill="1" applyBorder="1" applyAlignment="1">
      <alignment horizontal="center"/>
    </xf>
    <xf numFmtId="0" fontId="129" fillId="18" borderId="0" xfId="0" applyFont="1" applyFill="1" applyAlignment="1">
      <alignment horizontal="center"/>
    </xf>
    <xf numFmtId="0" fontId="114" fillId="3" borderId="7" xfId="0" applyFont="1" applyFill="1" applyBorder="1" applyAlignment="1">
      <alignment horizontal="center"/>
    </xf>
    <xf numFmtId="0" fontId="114" fillId="3" borderId="8" xfId="0" applyFont="1" applyFill="1" applyBorder="1" applyAlignment="1">
      <alignment horizontal="center"/>
    </xf>
    <xf numFmtId="0" fontId="114" fillId="3" borderId="29" xfId="0" applyFont="1" applyFill="1" applyBorder="1" applyAlignment="1">
      <alignment horizontal="center"/>
    </xf>
    <xf numFmtId="0" fontId="114" fillId="3" borderId="53" xfId="0" applyFont="1" applyFill="1" applyBorder="1" applyAlignment="1">
      <alignment horizontal="center"/>
    </xf>
    <xf numFmtId="0" fontId="114" fillId="3" borderId="33" xfId="0" applyFont="1" applyFill="1" applyBorder="1" applyAlignment="1">
      <alignment horizontal="center"/>
    </xf>
    <xf numFmtId="0" fontId="114" fillId="18" borderId="7" xfId="0" applyFont="1" applyFill="1" applyBorder="1" applyAlignment="1">
      <alignment horizontal="center"/>
    </xf>
    <xf numFmtId="0" fontId="114" fillId="18" borderId="29" xfId="0" applyFont="1" applyFill="1" applyBorder="1" applyAlignment="1">
      <alignment horizontal="center"/>
    </xf>
    <xf numFmtId="0" fontId="114" fillId="18" borderId="8" xfId="0" applyFont="1" applyFill="1" applyBorder="1" applyAlignment="1">
      <alignment horizontal="center"/>
    </xf>
    <xf numFmtId="14" fontId="129" fillId="4" borderId="18" xfId="0" applyNumberFormat="1" applyFont="1" applyFill="1" applyBorder="1" applyAlignment="1">
      <alignment horizontal="center" vertical="center"/>
    </xf>
    <xf numFmtId="14" fontId="129" fillId="4" borderId="19" xfId="0" applyNumberFormat="1" applyFont="1" applyFill="1" applyBorder="1" applyAlignment="1">
      <alignment horizontal="center" vertical="center"/>
    </xf>
    <xf numFmtId="0" fontId="129" fillId="4" borderId="24" xfId="0" applyFont="1" applyFill="1" applyBorder="1" applyAlignment="1">
      <alignment horizontal="center"/>
    </xf>
    <xf numFmtId="0" fontId="129" fillId="4" borderId="17" xfId="0" applyFont="1" applyFill="1" applyBorder="1" applyAlignment="1">
      <alignment horizontal="center"/>
    </xf>
    <xf numFmtId="14" fontId="134" fillId="2" borderId="1" xfId="0" applyNumberFormat="1" applyFont="1" applyFill="1" applyBorder="1" applyAlignment="1">
      <alignment horizontal="center" vertical="center"/>
    </xf>
    <xf numFmtId="14" fontId="134" fillId="2" borderId="4" xfId="0" applyNumberFormat="1" applyFont="1" applyFill="1" applyBorder="1" applyAlignment="1">
      <alignment horizontal="center" vertical="center"/>
    </xf>
    <xf numFmtId="14" fontId="134" fillId="2" borderId="13" xfId="0" applyNumberFormat="1" applyFont="1" applyFill="1" applyBorder="1" applyAlignment="1">
      <alignment horizontal="center" vertical="center"/>
    </xf>
    <xf numFmtId="14" fontId="134" fillId="2" borderId="14" xfId="0" applyNumberFormat="1" applyFont="1" applyFill="1" applyBorder="1" applyAlignment="1">
      <alignment horizontal="center" vertical="center"/>
    </xf>
    <xf numFmtId="165" fontId="134" fillId="2" borderId="0" xfId="0" applyNumberFormat="1" applyFont="1" applyFill="1" applyAlignment="1">
      <alignment horizontal="center" vertical="center"/>
    </xf>
    <xf numFmtId="0" fontId="134" fillId="2" borderId="53" xfId="0" applyFont="1" applyFill="1" applyBorder="1" applyAlignment="1">
      <alignment horizontal="center" vertical="center"/>
    </xf>
    <xf numFmtId="165" fontId="134" fillId="2" borderId="63" xfId="0" applyNumberFormat="1" applyFont="1" applyFill="1" applyBorder="1" applyAlignment="1">
      <alignment horizontal="center" vertical="center"/>
    </xf>
    <xf numFmtId="165" fontId="134" fillId="2" borderId="65" xfId="0" applyNumberFormat="1" applyFont="1" applyFill="1" applyBorder="1" applyAlignment="1">
      <alignment horizontal="center" vertical="center"/>
    </xf>
    <xf numFmtId="0" fontId="144" fillId="3" borderId="36" xfId="0" applyFont="1" applyFill="1" applyBorder="1" applyAlignment="1">
      <alignment horizontal="center"/>
    </xf>
    <xf numFmtId="0" fontId="144" fillId="3" borderId="55" xfId="0" applyFont="1" applyFill="1" applyBorder="1" applyAlignment="1">
      <alignment horizontal="center"/>
    </xf>
    <xf numFmtId="0" fontId="144" fillId="3" borderId="56" xfId="0" applyFont="1" applyFill="1" applyBorder="1" applyAlignment="1">
      <alignment horizontal="center"/>
    </xf>
    <xf numFmtId="165" fontId="134" fillId="2" borderId="5" xfId="0" applyNumberFormat="1" applyFont="1" applyFill="1" applyBorder="1" applyAlignment="1">
      <alignment horizontal="center" vertical="center"/>
    </xf>
    <xf numFmtId="165" fontId="134" fillId="2" borderId="15" xfId="0" applyNumberFormat="1" applyFont="1" applyFill="1" applyBorder="1" applyAlignment="1">
      <alignment horizontal="center" vertical="center"/>
    </xf>
    <xf numFmtId="165" fontId="134" fillId="2" borderId="21" xfId="0" applyNumberFormat="1" applyFont="1" applyFill="1" applyBorder="1" applyAlignment="1">
      <alignment horizontal="center" vertical="center"/>
    </xf>
    <xf numFmtId="14" fontId="134" fillId="17" borderId="1" xfId="0" applyNumberFormat="1" applyFont="1" applyFill="1" applyBorder="1" applyAlignment="1">
      <alignment horizontal="center" vertical="center"/>
    </xf>
    <xf numFmtId="14" fontId="134" fillId="17" borderId="4" xfId="0" applyNumberFormat="1" applyFont="1" applyFill="1" applyBorder="1" applyAlignment="1">
      <alignment horizontal="center" vertical="center"/>
    </xf>
    <xf numFmtId="14" fontId="134" fillId="17" borderId="13" xfId="0" applyNumberFormat="1" applyFont="1" applyFill="1" applyBorder="1" applyAlignment="1">
      <alignment horizontal="center" vertical="center"/>
    </xf>
    <xf numFmtId="14" fontId="134" fillId="17" borderId="14" xfId="0" applyNumberFormat="1" applyFont="1" applyFill="1" applyBorder="1" applyAlignment="1">
      <alignment horizontal="center" vertical="center"/>
    </xf>
    <xf numFmtId="165" fontId="134" fillId="17" borderId="5" xfId="0" applyNumberFormat="1" applyFont="1" applyFill="1" applyBorder="1" applyAlignment="1">
      <alignment horizontal="center" vertical="center"/>
    </xf>
    <xf numFmtId="165" fontId="134" fillId="17" borderId="15" xfId="0" applyNumberFormat="1" applyFont="1" applyFill="1" applyBorder="1" applyAlignment="1">
      <alignment horizontal="center" vertical="center"/>
    </xf>
    <xf numFmtId="14" fontId="134" fillId="2" borderId="18" xfId="0" applyNumberFormat="1" applyFont="1" applyFill="1" applyBorder="1" applyAlignment="1">
      <alignment horizontal="center" vertical="center"/>
    </xf>
    <xf numFmtId="14" fontId="134" fillId="2" borderId="19" xfId="0" applyNumberFormat="1" applyFont="1" applyFill="1" applyBorder="1" applyAlignment="1">
      <alignment horizontal="center" vertical="center"/>
    </xf>
    <xf numFmtId="0" fontId="129" fillId="3" borderId="18" xfId="0" applyFont="1" applyFill="1" applyBorder="1" applyAlignment="1">
      <alignment horizontal="center" vertical="center"/>
    </xf>
    <xf numFmtId="0" fontId="129" fillId="3" borderId="19" xfId="0" applyFont="1" applyFill="1" applyBorder="1" applyAlignment="1">
      <alignment horizontal="center" vertical="center"/>
    </xf>
    <xf numFmtId="165" fontId="134" fillId="2" borderId="6" xfId="0" applyNumberFormat="1" applyFont="1" applyFill="1" applyBorder="1" applyAlignment="1">
      <alignment horizontal="center" vertical="center"/>
    </xf>
    <xf numFmtId="0" fontId="134" fillId="2" borderId="16" xfId="0" applyFont="1" applyFill="1" applyBorder="1" applyAlignment="1">
      <alignment horizontal="center" vertical="center"/>
    </xf>
    <xf numFmtId="0" fontId="134" fillId="2" borderId="20" xfId="0" applyFont="1" applyFill="1" applyBorder="1" applyAlignment="1">
      <alignment horizontal="left" wrapText="1"/>
    </xf>
    <xf numFmtId="0" fontId="134" fillId="2" borderId="28" xfId="0" applyFont="1" applyFill="1" applyBorder="1" applyAlignment="1">
      <alignment horizontal="left" wrapText="1"/>
    </xf>
    <xf numFmtId="14" fontId="134" fillId="2" borderId="12" xfId="0" applyNumberFormat="1" applyFont="1" applyFill="1" applyBorder="1" applyAlignment="1">
      <alignment horizontal="center" vertical="center"/>
    </xf>
    <xf numFmtId="165" fontId="134" fillId="2" borderId="20" xfId="0" applyNumberFormat="1" applyFont="1" applyFill="1" applyBorder="1" applyAlignment="1">
      <alignment horizontal="center" vertical="center"/>
    </xf>
    <xf numFmtId="165" fontId="134" fillId="2" borderId="28" xfId="0" applyNumberFormat="1" applyFont="1" applyFill="1" applyBorder="1" applyAlignment="1">
      <alignment horizontal="center" vertical="center"/>
    </xf>
    <xf numFmtId="165" fontId="134" fillId="2" borderId="12" xfId="0" applyNumberFormat="1" applyFont="1" applyFill="1" applyBorder="1" applyAlignment="1">
      <alignment horizontal="center" vertical="center"/>
    </xf>
    <xf numFmtId="165" fontId="134" fillId="2" borderId="64" xfId="0" applyNumberFormat="1" applyFont="1" applyFill="1" applyBorder="1" applyAlignment="1">
      <alignment horizontal="center" vertical="center"/>
    </xf>
    <xf numFmtId="165" fontId="134" fillId="2" borderId="86" xfId="0" applyNumberFormat="1" applyFont="1" applyFill="1" applyBorder="1" applyAlignment="1">
      <alignment horizontal="center" vertical="center"/>
    </xf>
    <xf numFmtId="14" fontId="134" fillId="2" borderId="30" xfId="0" applyNumberFormat="1" applyFont="1" applyFill="1" applyBorder="1" applyAlignment="1">
      <alignment horizontal="center" vertical="center"/>
    </xf>
    <xf numFmtId="14" fontId="134" fillId="2" borderId="31" xfId="0" applyNumberFormat="1" applyFont="1" applyFill="1" applyBorder="1" applyAlignment="1">
      <alignment horizontal="center" vertical="center"/>
    </xf>
    <xf numFmtId="14" fontId="134" fillId="2" borderId="22" xfId="0" applyNumberFormat="1" applyFont="1" applyFill="1" applyBorder="1" applyAlignment="1">
      <alignment horizontal="center" vertical="center"/>
    </xf>
    <xf numFmtId="14" fontId="134" fillId="2" borderId="32" xfId="0" applyNumberFormat="1" applyFont="1" applyFill="1" applyBorder="1" applyAlignment="1">
      <alignment horizontal="center" vertical="center"/>
    </xf>
    <xf numFmtId="14" fontId="134" fillId="2" borderId="33" xfId="0" applyNumberFormat="1" applyFont="1" applyFill="1" applyBorder="1" applyAlignment="1">
      <alignment horizontal="center" vertical="center"/>
    </xf>
    <xf numFmtId="14" fontId="111" fillId="2" borderId="32" xfId="0" applyNumberFormat="1" applyFont="1" applyFill="1" applyBorder="1" applyAlignment="1">
      <alignment horizontal="center" vertical="center"/>
    </xf>
    <xf numFmtId="14" fontId="113" fillId="2" borderId="33" xfId="0" applyNumberFormat="1" applyFont="1" applyFill="1" applyBorder="1" applyAlignment="1">
      <alignment horizontal="center" vertical="center"/>
    </xf>
    <xf numFmtId="0" fontId="124" fillId="20" borderId="7" xfId="0" applyFont="1" applyFill="1" applyBorder="1" applyAlignment="1">
      <alignment horizontal="center"/>
    </xf>
    <xf numFmtId="0" fontId="124" fillId="20" borderId="8" xfId="0" applyFont="1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0" fontId="114" fillId="3" borderId="30" xfId="0" applyFont="1" applyFill="1" applyBorder="1" applyAlignment="1">
      <alignment horizontal="center"/>
    </xf>
    <xf numFmtId="0" fontId="114" fillId="3" borderId="34" xfId="0" applyFont="1" applyFill="1" applyBorder="1" applyAlignment="1">
      <alignment horizontal="center"/>
    </xf>
    <xf numFmtId="0" fontId="114" fillId="3" borderId="31" xfId="0" applyFont="1" applyFill="1" applyBorder="1" applyAlignment="1">
      <alignment horizontal="center"/>
    </xf>
    <xf numFmtId="0" fontId="113" fillId="3" borderId="36" xfId="0" applyFont="1" applyFill="1" applyBorder="1" applyAlignment="1">
      <alignment horizontal="center"/>
    </xf>
    <xf numFmtId="0" fontId="113" fillId="3" borderId="37" xfId="0" applyFont="1" applyFill="1" applyBorder="1" applyAlignment="1">
      <alignment horizontal="center"/>
    </xf>
    <xf numFmtId="0" fontId="129" fillId="2" borderId="0" xfId="0" applyFont="1" applyFill="1" applyAlignment="1">
      <alignment horizontal="center"/>
    </xf>
    <xf numFmtId="0" fontId="138" fillId="2" borderId="18" xfId="0" applyFont="1" applyFill="1" applyBorder="1" applyAlignment="1">
      <alignment horizontal="center"/>
    </xf>
    <xf numFmtId="0" fontId="138" fillId="2" borderId="0" xfId="0" applyFont="1" applyFill="1" applyAlignment="1">
      <alignment horizontal="center"/>
    </xf>
    <xf numFmtId="0" fontId="138" fillId="2" borderId="67" xfId="0" applyFont="1" applyFill="1" applyBorder="1" applyAlignment="1">
      <alignment horizontal="center"/>
    </xf>
    <xf numFmtId="0" fontId="138" fillId="2" borderId="13" xfId="0" applyFont="1" applyFill="1" applyBorder="1" applyAlignment="1">
      <alignment horizontal="center"/>
    </xf>
    <xf numFmtId="0" fontId="138" fillId="2" borderId="51" xfId="0" applyFont="1" applyFill="1" applyBorder="1" applyAlignment="1">
      <alignment horizontal="center"/>
    </xf>
    <xf numFmtId="0" fontId="138" fillId="2" borderId="26" xfId="0" applyFont="1" applyFill="1" applyBorder="1" applyAlignment="1">
      <alignment horizontal="center"/>
    </xf>
    <xf numFmtId="0" fontId="140" fillId="2" borderId="18" xfId="0" applyFont="1" applyFill="1" applyBorder="1" applyAlignment="1">
      <alignment horizontal="center"/>
    </xf>
    <xf numFmtId="0" fontId="140" fillId="2" borderId="0" xfId="0" applyFont="1" applyFill="1" applyAlignment="1">
      <alignment horizontal="center"/>
    </xf>
    <xf numFmtId="0" fontId="140" fillId="2" borderId="67" xfId="0" applyFont="1" applyFill="1" applyBorder="1" applyAlignment="1">
      <alignment horizontal="center"/>
    </xf>
    <xf numFmtId="0" fontId="140" fillId="2" borderId="13" xfId="0" applyFont="1" applyFill="1" applyBorder="1" applyAlignment="1">
      <alignment horizontal="center"/>
    </xf>
    <xf numFmtId="0" fontId="140" fillId="2" borderId="51" xfId="0" applyFont="1" applyFill="1" applyBorder="1" applyAlignment="1">
      <alignment horizontal="center"/>
    </xf>
    <xf numFmtId="0" fontId="140" fillId="2" borderId="26" xfId="0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0" fontId="157" fillId="17" borderId="20" xfId="0" applyFont="1" applyFill="1" applyBorder="1" applyAlignment="1">
      <alignment horizontal="center" vertical="center"/>
    </xf>
    <xf numFmtId="0" fontId="157" fillId="17" borderId="21" xfId="0" applyFont="1" applyFill="1" applyBorder="1" applyAlignment="1">
      <alignment horizontal="center" vertical="center"/>
    </xf>
    <xf numFmtId="0" fontId="157" fillId="17" borderId="28" xfId="0" applyFont="1" applyFill="1" applyBorder="1" applyAlignment="1">
      <alignment horizontal="center" vertical="center"/>
    </xf>
    <xf numFmtId="0" fontId="154" fillId="26" borderId="20" xfId="0" applyFont="1" applyFill="1" applyBorder="1" applyAlignment="1">
      <alignment horizontal="center" vertical="center"/>
    </xf>
    <xf numFmtId="0" fontId="154" fillId="26" borderId="21" xfId="0" applyFont="1" applyFill="1" applyBorder="1" applyAlignment="1">
      <alignment horizontal="center" vertical="center"/>
    </xf>
    <xf numFmtId="0" fontId="154" fillId="26" borderId="28" xfId="0" applyFont="1" applyFill="1" applyBorder="1" applyAlignment="1">
      <alignment horizontal="center" vertical="center"/>
    </xf>
    <xf numFmtId="0" fontId="153" fillId="17" borderId="21" xfId="0" applyFont="1" applyFill="1" applyBorder="1" applyAlignment="1">
      <alignment horizontal="center" vertical="center"/>
    </xf>
    <xf numFmtId="0" fontId="153" fillId="17" borderId="28" xfId="0" applyFont="1" applyFill="1" applyBorder="1" applyAlignment="1">
      <alignment horizontal="center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  <xf numFmtId="0" fontId="153" fillId="17" borderId="20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136" fillId="23" borderId="20" xfId="0" applyFont="1" applyFill="1" applyBorder="1" applyAlignment="1">
      <alignment horizontal="center" vertical="center"/>
    </xf>
    <xf numFmtId="0" fontId="136" fillId="23" borderId="21" xfId="0" applyFont="1" applyFill="1" applyBorder="1" applyAlignment="1">
      <alignment horizontal="center" vertical="center"/>
    </xf>
    <xf numFmtId="0" fontId="136" fillId="23" borderId="28" xfId="0" applyFont="1" applyFill="1" applyBorder="1" applyAlignment="1">
      <alignment horizontal="center" vertical="center"/>
    </xf>
    <xf numFmtId="0" fontId="136" fillId="22" borderId="20" xfId="0" applyFont="1" applyFill="1" applyBorder="1" applyAlignment="1">
      <alignment horizontal="center" vertical="center"/>
    </xf>
    <xf numFmtId="0" fontId="136" fillId="22" borderId="21" xfId="0" applyFont="1" applyFill="1" applyBorder="1" applyAlignment="1">
      <alignment horizontal="center" vertical="center"/>
    </xf>
    <xf numFmtId="0" fontId="136" fillId="22" borderId="28" xfId="0" applyFont="1" applyFill="1" applyBorder="1" applyAlignment="1">
      <alignment horizontal="center" vertical="center"/>
    </xf>
    <xf numFmtId="0" fontId="153" fillId="26" borderId="20" xfId="0" applyFont="1" applyFill="1" applyBorder="1" applyAlignment="1">
      <alignment horizontal="center" vertical="center"/>
    </xf>
    <xf numFmtId="0" fontId="153" fillId="26" borderId="21" xfId="0" applyFont="1" applyFill="1" applyBorder="1" applyAlignment="1">
      <alignment horizontal="center" vertical="center"/>
    </xf>
    <xf numFmtId="0" fontId="133" fillId="17" borderId="20" xfId="0" applyFont="1" applyFill="1" applyBorder="1" applyAlignment="1">
      <alignment horizontal="center" vertical="center"/>
    </xf>
    <xf numFmtId="0" fontId="133" fillId="17" borderId="21" xfId="0" applyFont="1" applyFill="1" applyBorder="1" applyAlignment="1">
      <alignment horizontal="center" vertical="center"/>
    </xf>
    <xf numFmtId="0" fontId="133" fillId="17" borderId="28" xfId="0" applyFont="1" applyFill="1" applyBorder="1" applyAlignment="1">
      <alignment horizontal="center" vertical="center"/>
    </xf>
    <xf numFmtId="0" fontId="129" fillId="22" borderId="20" xfId="0" applyFont="1" applyFill="1" applyBorder="1" applyAlignment="1">
      <alignment horizontal="center" vertical="center"/>
    </xf>
    <xf numFmtId="0" fontId="129" fillId="22" borderId="21" xfId="0" applyFont="1" applyFill="1" applyBorder="1" applyAlignment="1">
      <alignment horizontal="center" vertical="center"/>
    </xf>
    <xf numFmtId="0" fontId="129" fillId="22" borderId="28" xfId="0" applyFont="1" applyFill="1" applyBorder="1" applyAlignment="1">
      <alignment horizontal="center" vertical="center"/>
    </xf>
    <xf numFmtId="0" fontId="150" fillId="26" borderId="20" xfId="0" applyFont="1" applyFill="1" applyBorder="1" applyAlignment="1">
      <alignment horizontal="center" vertical="center"/>
    </xf>
    <xf numFmtId="0" fontId="150" fillId="26" borderId="21" xfId="0" applyFont="1" applyFill="1" applyBorder="1" applyAlignment="1">
      <alignment horizontal="center" vertical="center"/>
    </xf>
    <xf numFmtId="0" fontId="150" fillId="26" borderId="28" xfId="0" applyFont="1" applyFill="1" applyBorder="1" applyAlignment="1">
      <alignment horizontal="center" vertical="center"/>
    </xf>
    <xf numFmtId="0" fontId="133" fillId="26" borderId="20" xfId="0" applyFont="1" applyFill="1" applyBorder="1" applyAlignment="1">
      <alignment horizontal="center" vertical="center"/>
    </xf>
    <xf numFmtId="0" fontId="133" fillId="26" borderId="21" xfId="0" applyFont="1" applyFill="1" applyBorder="1" applyAlignment="1">
      <alignment horizontal="center" vertical="center"/>
    </xf>
    <xf numFmtId="0" fontId="133" fillId="26" borderId="28" xfId="0" applyFont="1" applyFill="1" applyBorder="1" applyAlignment="1">
      <alignment horizontal="center" vertical="center"/>
    </xf>
    <xf numFmtId="0" fontId="150" fillId="17" borderId="20" xfId="0" applyFont="1" applyFill="1" applyBorder="1" applyAlignment="1">
      <alignment horizontal="center" vertical="center"/>
    </xf>
    <xf numFmtId="0" fontId="150" fillId="17" borderId="21" xfId="0" applyFont="1" applyFill="1" applyBorder="1" applyAlignment="1">
      <alignment horizontal="center" vertical="center"/>
    </xf>
    <xf numFmtId="0" fontId="150" fillId="17" borderId="28" xfId="0" applyFont="1" applyFill="1" applyBorder="1" applyAlignment="1">
      <alignment horizontal="center" vertical="center"/>
    </xf>
    <xf numFmtId="0" fontId="129" fillId="17" borderId="20" xfId="0" applyFont="1" applyFill="1" applyBorder="1" applyAlignment="1">
      <alignment horizontal="center" vertical="center"/>
    </xf>
    <xf numFmtId="0" fontId="129" fillId="17" borderId="21" xfId="0" applyFont="1" applyFill="1" applyBorder="1" applyAlignment="1">
      <alignment horizontal="center" vertical="center"/>
    </xf>
    <xf numFmtId="0" fontId="129" fillId="17" borderId="28" xfId="0" applyFont="1" applyFill="1" applyBorder="1" applyAlignment="1">
      <alignment horizontal="center" vertical="center"/>
    </xf>
    <xf numFmtId="0" fontId="153" fillId="26" borderId="28" xfId="0" applyFont="1" applyFill="1" applyBorder="1" applyAlignment="1">
      <alignment horizontal="center" vertical="center"/>
    </xf>
    <xf numFmtId="0" fontId="114" fillId="16" borderId="12" xfId="0" applyFont="1" applyFill="1" applyBorder="1" applyAlignment="1">
      <alignment horizontal="center"/>
    </xf>
    <xf numFmtId="0" fontId="144" fillId="22" borderId="20" xfId="0" applyFont="1" applyFill="1" applyBorder="1" applyAlignment="1">
      <alignment horizontal="center" vertical="center"/>
    </xf>
    <xf numFmtId="0" fontId="144" fillId="22" borderId="21" xfId="0" applyFont="1" applyFill="1" applyBorder="1" applyAlignment="1">
      <alignment horizontal="center" vertical="center"/>
    </xf>
    <xf numFmtId="0" fontId="144" fillId="22" borderId="28" xfId="0" applyFont="1" applyFill="1" applyBorder="1" applyAlignment="1">
      <alignment horizontal="center" vertical="center"/>
    </xf>
    <xf numFmtId="0" fontId="144" fillId="17" borderId="20" xfId="0" applyFont="1" applyFill="1" applyBorder="1" applyAlignment="1">
      <alignment horizontal="center" vertical="center"/>
    </xf>
    <xf numFmtId="0" fontId="144" fillId="17" borderId="21" xfId="0" applyFont="1" applyFill="1" applyBorder="1" applyAlignment="1">
      <alignment horizontal="center" vertical="center"/>
    </xf>
    <xf numFmtId="0" fontId="144" fillId="17" borderId="28" xfId="0" applyFont="1" applyFill="1" applyBorder="1" applyAlignment="1">
      <alignment horizontal="center" vertical="center"/>
    </xf>
    <xf numFmtId="0" fontId="114" fillId="18" borderId="0" xfId="0" applyFont="1" applyFill="1" applyAlignment="1">
      <alignment horizont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96" fillId="26" borderId="12" xfId="0" applyNumberFormat="1" applyFont="1" applyFill="1" applyBorder="1" applyAlignment="1">
      <alignment horizontal="center" vertical="center"/>
    </xf>
    <xf numFmtId="14" fontId="113" fillId="26" borderId="12" xfId="0" applyNumberFormat="1" applyFont="1" applyFill="1" applyBorder="1" applyAlignment="1">
      <alignment horizontal="center" vertical="center"/>
    </xf>
    <xf numFmtId="14" fontId="96" fillId="17" borderId="12" xfId="0" applyNumberFormat="1" applyFont="1" applyFill="1" applyBorder="1" applyAlignment="1">
      <alignment horizontal="center" vertical="center"/>
    </xf>
    <xf numFmtId="14" fontId="113" fillId="17" borderId="12" xfId="0" applyNumberFormat="1" applyFont="1" applyFill="1" applyBorder="1" applyAlignment="1">
      <alignment horizontal="center" vertical="center"/>
    </xf>
    <xf numFmtId="0" fontId="147" fillId="17" borderId="20" xfId="0" applyFont="1" applyFill="1" applyBorder="1" applyAlignment="1">
      <alignment horizontal="center" vertical="center"/>
    </xf>
    <xf numFmtId="0" fontId="147" fillId="17" borderId="21" xfId="0" applyFont="1" applyFill="1" applyBorder="1" applyAlignment="1">
      <alignment horizontal="center" vertical="center"/>
    </xf>
    <xf numFmtId="0" fontId="147" fillId="26" borderId="21" xfId="0" applyFont="1" applyFill="1" applyBorder="1" applyAlignment="1">
      <alignment horizontal="center" vertical="center"/>
    </xf>
    <xf numFmtId="0" fontId="147" fillId="26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14" fontId="96" fillId="28" borderId="12" xfId="0" applyNumberFormat="1" applyFont="1" applyFill="1" applyBorder="1" applyAlignment="1">
      <alignment horizontal="center" vertical="center"/>
    </xf>
    <xf numFmtId="14" fontId="113" fillId="28" borderId="12" xfId="0" applyNumberFormat="1" applyFont="1" applyFill="1" applyBorder="1" applyAlignment="1">
      <alignment horizontal="center" vertical="center"/>
    </xf>
    <xf numFmtId="14" fontId="96" fillId="2" borderId="12" xfId="0" applyNumberFormat="1" applyFont="1" applyFill="1" applyBorder="1" applyAlignment="1">
      <alignment horizontal="center" vertical="center"/>
    </xf>
    <xf numFmtId="0" fontId="136" fillId="28" borderId="20" xfId="0" applyFont="1" applyFill="1" applyBorder="1" applyAlignment="1">
      <alignment horizontal="center" vertical="center"/>
    </xf>
    <xf numFmtId="0" fontId="136" fillId="28" borderId="21" xfId="0" applyFont="1" applyFill="1" applyBorder="1" applyAlignment="1">
      <alignment horizontal="center" vertical="center"/>
    </xf>
    <xf numFmtId="0" fontId="136" fillId="28" borderId="28" xfId="0" applyFont="1" applyFill="1" applyBorder="1" applyAlignment="1">
      <alignment horizontal="center" vertical="center"/>
    </xf>
    <xf numFmtId="14" fontId="96" fillId="19" borderId="12" xfId="0" applyNumberFormat="1" applyFont="1" applyFill="1" applyBorder="1" applyAlignment="1">
      <alignment horizontal="center" vertical="center"/>
    </xf>
    <xf numFmtId="14" fontId="113" fillId="19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0" fontId="147" fillId="26" borderId="20" xfId="0" applyFont="1" applyFill="1" applyBorder="1" applyAlignment="1">
      <alignment horizontal="center" vertical="center"/>
    </xf>
    <xf numFmtId="14" fontId="96" fillId="17" borderId="7" xfId="0" applyNumberFormat="1" applyFont="1" applyFill="1" applyBorder="1" applyAlignment="1">
      <alignment horizontal="center" vertical="center"/>
    </xf>
    <xf numFmtId="14" fontId="96" fillId="17" borderId="8" xfId="0" applyNumberFormat="1" applyFont="1" applyFill="1" applyBorder="1" applyAlignment="1">
      <alignment horizontal="center" vertical="center"/>
    </xf>
    <xf numFmtId="0" fontId="136" fillId="17" borderId="20" xfId="0" applyFont="1" applyFill="1" applyBorder="1" applyAlignment="1">
      <alignment horizontal="center" vertical="center"/>
    </xf>
    <xf numFmtId="0" fontId="136" fillId="17" borderId="21" xfId="0" applyFont="1" applyFill="1" applyBorder="1" applyAlignment="1">
      <alignment horizontal="center" vertical="center"/>
    </xf>
    <xf numFmtId="0" fontId="136" fillId="17" borderId="28" xfId="0" applyFont="1" applyFill="1" applyBorder="1" applyAlignment="1">
      <alignment horizontal="center" vertical="center"/>
    </xf>
    <xf numFmtId="0" fontId="136" fillId="19" borderId="20" xfId="0" applyFont="1" applyFill="1" applyBorder="1" applyAlignment="1">
      <alignment horizontal="center" vertical="center"/>
    </xf>
    <xf numFmtId="0" fontId="136" fillId="19" borderId="21" xfId="0" applyFont="1" applyFill="1" applyBorder="1" applyAlignment="1">
      <alignment horizontal="center" vertical="center"/>
    </xf>
    <xf numFmtId="0" fontId="136" fillId="19" borderId="28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0" fontId="136" fillId="26" borderId="20" xfId="0" applyFont="1" applyFill="1" applyBorder="1" applyAlignment="1">
      <alignment horizontal="center" vertical="center"/>
    </xf>
    <xf numFmtId="0" fontId="136" fillId="26" borderId="21" xfId="0" applyFont="1" applyFill="1" applyBorder="1" applyAlignment="1">
      <alignment horizontal="center" vertical="center"/>
    </xf>
    <xf numFmtId="0" fontId="136" fillId="26" borderId="28" xfId="0" applyFont="1" applyFill="1" applyBorder="1" applyAlignment="1">
      <alignment horizontal="center" vertical="center"/>
    </xf>
    <xf numFmtId="0" fontId="136" fillId="22" borderId="80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36" fillId="23" borderId="20" xfId="0" applyFont="1" applyFill="1" applyBorder="1" applyAlignment="1">
      <alignment horizontal="center" vertical="center" wrapText="1"/>
    </xf>
    <xf numFmtId="0" fontId="136" fillId="23" borderId="21" xfId="0" applyFont="1" applyFill="1" applyBorder="1" applyAlignment="1">
      <alignment horizontal="center" vertical="center" wrapText="1"/>
    </xf>
    <xf numFmtId="0" fontId="136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36" fillId="23" borderId="34" xfId="0" applyFont="1" applyFill="1" applyBorder="1" applyAlignment="1">
      <alignment horizontal="center" vertical="center"/>
    </xf>
    <xf numFmtId="0" fontId="136" fillId="23" borderId="0" xfId="0" applyFont="1" applyFill="1" applyAlignment="1">
      <alignment horizontal="center" vertical="center"/>
    </xf>
    <xf numFmtId="0" fontId="136" fillId="23" borderId="77" xfId="0" applyFont="1" applyFill="1" applyBorder="1" applyAlignment="1">
      <alignment horizontal="center" vertical="center"/>
    </xf>
    <xf numFmtId="9" fontId="114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114" fillId="19" borderId="12" xfId="2" applyFont="1" applyFill="1" applyBorder="1" applyAlignment="1">
      <alignment horizontal="center" vertical="center"/>
    </xf>
    <xf numFmtId="14" fontId="96" fillId="23" borderId="12" xfId="0" applyNumberFormat="1" applyFont="1" applyFill="1" applyBorder="1" applyAlignment="1">
      <alignment horizontal="center" vertical="center"/>
    </xf>
    <xf numFmtId="14" fontId="96" fillId="22" borderId="12" xfId="0" applyNumberFormat="1" applyFont="1" applyFill="1" applyBorder="1" applyAlignment="1">
      <alignment horizontal="center" vertical="center"/>
    </xf>
    <xf numFmtId="0" fontId="114" fillId="3" borderId="22" xfId="0" applyFont="1" applyFill="1" applyBorder="1" applyAlignment="1">
      <alignment horizontal="center"/>
    </xf>
    <xf numFmtId="0" fontId="114" fillId="3" borderId="0" xfId="0" applyFont="1" applyFill="1" applyAlignment="1">
      <alignment horizontal="center"/>
    </xf>
    <xf numFmtId="14" fontId="96" fillId="22" borderId="28" xfId="0" applyNumberFormat="1" applyFont="1" applyFill="1" applyBorder="1" applyAlignment="1">
      <alignment horizontal="center" vertical="center"/>
    </xf>
    <xf numFmtId="14" fontId="113" fillId="22" borderId="28" xfId="0" applyNumberFormat="1" applyFont="1" applyFill="1" applyBorder="1" applyAlignment="1">
      <alignment horizontal="center" vertical="center"/>
    </xf>
    <xf numFmtId="0" fontId="114" fillId="3" borderId="12" xfId="0" applyFont="1" applyFill="1" applyBorder="1" applyAlignment="1">
      <alignment horizontal="center" vertical="center"/>
    </xf>
    <xf numFmtId="0" fontId="136" fillId="23" borderId="30" xfId="0" applyFont="1" applyFill="1" applyBorder="1" applyAlignment="1">
      <alignment horizontal="center" vertical="center"/>
    </xf>
    <xf numFmtId="0" fontId="136" fillId="23" borderId="22" xfId="0" applyFont="1" applyFill="1" applyBorder="1" applyAlignment="1">
      <alignment horizontal="center" vertical="center"/>
    </xf>
    <xf numFmtId="0" fontId="136" fillId="23" borderId="32" xfId="0" applyFont="1" applyFill="1" applyBorder="1" applyAlignment="1">
      <alignment horizontal="center" vertical="center"/>
    </xf>
    <xf numFmtId="0" fontId="136" fillId="22" borderId="30" xfId="0" applyFont="1" applyFill="1" applyBorder="1" applyAlignment="1">
      <alignment horizontal="center" vertical="center"/>
    </xf>
    <xf numFmtId="0" fontId="136" fillId="22" borderId="22" xfId="0" applyFont="1" applyFill="1" applyBorder="1" applyAlignment="1">
      <alignment horizontal="center" vertical="center"/>
    </xf>
    <xf numFmtId="0" fontId="136" fillId="22" borderId="53" xfId="0" applyFont="1" applyFill="1" applyBorder="1" applyAlignment="1">
      <alignment horizontal="center" vertical="center"/>
    </xf>
    <xf numFmtId="14" fontId="96" fillId="23" borderId="69" xfId="0" applyNumberFormat="1" applyFont="1" applyFill="1" applyBorder="1" applyAlignment="1">
      <alignment horizontal="center" vertical="center"/>
    </xf>
    <xf numFmtId="14" fontId="113" fillId="23" borderId="70" xfId="0" applyNumberFormat="1" applyFont="1" applyFill="1" applyBorder="1" applyAlignment="1">
      <alignment horizontal="center" vertical="center"/>
    </xf>
    <xf numFmtId="14" fontId="96" fillId="23" borderId="28" xfId="0" applyNumberFormat="1" applyFont="1" applyFill="1" applyBorder="1" applyAlignment="1">
      <alignment horizontal="center" vertical="center"/>
    </xf>
    <xf numFmtId="14" fontId="113" fillId="23" borderId="28" xfId="0" applyNumberFormat="1" applyFont="1" applyFill="1" applyBorder="1" applyAlignment="1">
      <alignment horizontal="center" vertical="center"/>
    </xf>
    <xf numFmtId="14" fontId="96" fillId="23" borderId="20" xfId="0" applyNumberFormat="1" applyFont="1" applyFill="1" applyBorder="1" applyAlignment="1">
      <alignment horizontal="center" vertical="center"/>
    </xf>
    <xf numFmtId="14" fontId="96" fillId="23" borderId="73" xfId="0" applyNumberFormat="1" applyFont="1" applyFill="1" applyBorder="1" applyAlignment="1">
      <alignment horizontal="center" vertical="center"/>
    </xf>
    <xf numFmtId="14" fontId="96" fillId="23" borderId="75" xfId="0" applyNumberFormat="1" applyFont="1" applyFill="1" applyBorder="1" applyAlignment="1">
      <alignment horizontal="center" vertical="center"/>
    </xf>
    <xf numFmtId="0" fontId="155" fillId="17" borderId="20" xfId="0" applyFont="1" applyFill="1" applyBorder="1" applyAlignment="1">
      <alignment horizontal="center" vertical="center"/>
    </xf>
    <xf numFmtId="0" fontId="155" fillId="17" borderId="21" xfId="0" applyFont="1" applyFill="1" applyBorder="1" applyAlignment="1">
      <alignment horizontal="center" vertical="center"/>
    </xf>
    <xf numFmtId="0" fontId="155" fillId="17" borderId="28" xfId="0" applyFont="1" applyFill="1" applyBorder="1" applyAlignment="1">
      <alignment horizontal="center" vertical="center"/>
    </xf>
    <xf numFmtId="0" fontId="155" fillId="26" borderId="20" xfId="0" applyFont="1" applyFill="1" applyBorder="1" applyAlignment="1">
      <alignment horizontal="center" vertical="center"/>
    </xf>
    <xf numFmtId="0" fontId="155" fillId="26" borderId="21" xfId="0" applyFont="1" applyFill="1" applyBorder="1" applyAlignment="1">
      <alignment horizontal="center" vertical="center"/>
    </xf>
    <xf numFmtId="0" fontId="155" fillId="26" borderId="28" xfId="0" applyFont="1" applyFill="1" applyBorder="1" applyAlignment="1">
      <alignment horizontal="center" vertical="center"/>
    </xf>
    <xf numFmtId="0" fontId="154" fillId="17" borderId="20" xfId="0" applyFont="1" applyFill="1" applyBorder="1" applyAlignment="1">
      <alignment horizontal="center" vertical="center"/>
    </xf>
    <xf numFmtId="0" fontId="154" fillId="17" borderId="21" xfId="0" applyFont="1" applyFill="1" applyBorder="1" applyAlignment="1">
      <alignment horizontal="center" vertical="center"/>
    </xf>
    <xf numFmtId="0" fontId="154" fillId="17" borderId="28" xfId="0" applyFont="1" applyFill="1" applyBorder="1" applyAlignment="1">
      <alignment horizontal="center" vertical="center"/>
    </xf>
    <xf numFmtId="0" fontId="152" fillId="26" borderId="20" xfId="0" applyFont="1" applyFill="1" applyBorder="1" applyAlignment="1">
      <alignment horizontal="center" vertical="center"/>
    </xf>
    <xf numFmtId="0" fontId="152" fillId="26" borderId="21" xfId="0" applyFont="1" applyFill="1" applyBorder="1" applyAlignment="1">
      <alignment horizontal="center" vertical="center"/>
    </xf>
    <xf numFmtId="0" fontId="152" fillId="26" borderId="28" xfId="0" applyFont="1" applyFill="1" applyBorder="1" applyAlignment="1">
      <alignment horizontal="center" vertical="center"/>
    </xf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0" fontId="136" fillId="22" borderId="5" xfId="0" applyFont="1" applyFill="1" applyBorder="1" applyAlignment="1">
      <alignment horizontal="center" vertical="center"/>
    </xf>
    <xf numFmtId="0" fontId="114" fillId="18" borderId="20" xfId="0" applyFont="1" applyFill="1" applyBorder="1" applyAlignment="1">
      <alignment horizontal="center" vertical="center"/>
    </xf>
    <xf numFmtId="0" fontId="114" fillId="18" borderId="21" xfId="0" applyFont="1" applyFill="1" applyBorder="1" applyAlignment="1">
      <alignment horizontal="center" vertical="center"/>
    </xf>
    <xf numFmtId="0" fontId="114" fillId="18" borderId="28" xfId="0" applyFont="1" applyFill="1" applyBorder="1" applyAlignment="1">
      <alignment horizontal="center" vertical="center"/>
    </xf>
    <xf numFmtId="0" fontId="114" fillId="18" borderId="12" xfId="0" applyFont="1" applyFill="1" applyBorder="1" applyAlignment="1">
      <alignment horizontal="center" vertical="center"/>
    </xf>
    <xf numFmtId="0" fontId="114" fillId="18" borderId="57" xfId="0" applyFont="1" applyFill="1" applyBorder="1" applyAlignment="1">
      <alignment horizontal="center"/>
    </xf>
    <xf numFmtId="0" fontId="114" fillId="18" borderId="10" xfId="0" applyFont="1" applyFill="1" applyBorder="1" applyAlignment="1">
      <alignment horizontal="center"/>
    </xf>
    <xf numFmtId="0" fontId="114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9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24" fillId="16" borderId="36" xfId="0" applyFont="1" applyFill="1" applyBorder="1" applyAlignment="1">
      <alignment horizontal="center"/>
    </xf>
    <xf numFmtId="0" fontId="124" fillId="16" borderId="55" xfId="0" applyFont="1" applyFill="1" applyBorder="1" applyAlignment="1">
      <alignment horizontal="center"/>
    </xf>
    <xf numFmtId="0" fontId="124" fillId="16" borderId="56" xfId="0" applyFont="1" applyFill="1" applyBorder="1" applyAlignment="1">
      <alignment horizontal="center"/>
    </xf>
    <xf numFmtId="0" fontId="114" fillId="4" borderId="18" xfId="0" applyFont="1" applyFill="1" applyBorder="1" applyAlignment="1">
      <alignment horizontal="center"/>
    </xf>
    <xf numFmtId="0" fontId="114" fillId="4" borderId="67" xfId="0" applyFont="1" applyFill="1" applyBorder="1" applyAlignment="1">
      <alignment horizontal="center"/>
    </xf>
    <xf numFmtId="0" fontId="129" fillId="4" borderId="0" xfId="0" applyFont="1" applyFill="1" applyAlignment="1">
      <alignment horizontal="center"/>
    </xf>
    <xf numFmtId="14" fontId="113" fillId="2" borderId="32" xfId="0" applyNumberFormat="1" applyFont="1" applyFill="1" applyBorder="1" applyAlignment="1">
      <alignment horizontal="center" vertical="center"/>
    </xf>
    <xf numFmtId="0" fontId="114" fillId="18" borderId="12" xfId="0" applyFont="1" applyFill="1" applyBorder="1" applyAlignment="1">
      <alignment horizontal="center"/>
    </xf>
    <xf numFmtId="178" fontId="114" fillId="18" borderId="7" xfId="0" applyNumberFormat="1" applyFont="1" applyFill="1" applyBorder="1" applyAlignment="1">
      <alignment horizontal="center"/>
    </xf>
    <xf numFmtId="178" fontId="114" fillId="18" borderId="29" xfId="0" applyNumberFormat="1" applyFont="1" applyFill="1" applyBorder="1" applyAlignment="1">
      <alignment horizontal="center"/>
    </xf>
    <xf numFmtId="178" fontId="114" fillId="18" borderId="8" xfId="0" applyNumberFormat="1" applyFont="1" applyFill="1" applyBorder="1" applyAlignment="1">
      <alignment horizontal="center"/>
    </xf>
    <xf numFmtId="0" fontId="114" fillId="19" borderId="7" xfId="0" applyFont="1" applyFill="1" applyBorder="1" applyAlignment="1">
      <alignment horizontal="center"/>
    </xf>
    <xf numFmtId="0" fontId="114" fillId="19" borderId="29" xfId="0" applyFont="1" applyFill="1" applyBorder="1" applyAlignment="1">
      <alignment horizontal="center"/>
    </xf>
    <xf numFmtId="0" fontId="114" fillId="19" borderId="8" xfId="0" applyFont="1" applyFill="1" applyBorder="1" applyAlignment="1">
      <alignment horizontal="center"/>
    </xf>
    <xf numFmtId="0" fontId="114" fillId="18" borderId="30" xfId="0" applyFont="1" applyFill="1" applyBorder="1" applyAlignment="1">
      <alignment horizontal="center" vertical="center"/>
    </xf>
    <xf numFmtId="0" fontId="114" fillId="18" borderId="34" xfId="0" applyFont="1" applyFill="1" applyBorder="1" applyAlignment="1">
      <alignment horizontal="center" vertical="center"/>
    </xf>
    <xf numFmtId="0" fontId="114" fillId="18" borderId="31" xfId="0" applyFont="1" applyFill="1" applyBorder="1" applyAlignment="1">
      <alignment horizontal="center" vertical="center"/>
    </xf>
    <xf numFmtId="0" fontId="114" fillId="18" borderId="32" xfId="0" applyFont="1" applyFill="1" applyBorder="1" applyAlignment="1">
      <alignment horizontal="center" vertical="center"/>
    </xf>
    <xf numFmtId="0" fontId="114" fillId="18" borderId="53" xfId="0" applyFont="1" applyFill="1" applyBorder="1" applyAlignment="1">
      <alignment horizontal="center" vertical="center"/>
    </xf>
    <xf numFmtId="0" fontId="114" fillId="18" borderId="33" xfId="0" applyFont="1" applyFill="1" applyBorder="1" applyAlignment="1">
      <alignment horizontal="center" vertical="center"/>
    </xf>
    <xf numFmtId="43" fontId="114" fillId="18" borderId="20" xfId="1" applyFont="1" applyFill="1" applyBorder="1" applyAlignment="1">
      <alignment horizontal="center" vertical="center"/>
    </xf>
    <xf numFmtId="43" fontId="114" fillId="18" borderId="21" xfId="1" applyFont="1" applyFill="1" applyBorder="1" applyAlignment="1">
      <alignment horizontal="center" vertical="center"/>
    </xf>
    <xf numFmtId="43" fontId="114" fillId="18" borderId="28" xfId="1" applyFont="1" applyFill="1" applyBorder="1" applyAlignment="1">
      <alignment horizontal="center" vertical="center"/>
    </xf>
    <xf numFmtId="0" fontId="144" fillId="2" borderId="57" xfId="0" applyFont="1" applyFill="1" applyBorder="1" applyAlignment="1">
      <alignment horizontal="center" vertical="center" textRotation="135"/>
    </xf>
    <xf numFmtId="0" fontId="144" fillId="2" borderId="60" xfId="0" applyFont="1" applyFill="1" applyBorder="1" applyAlignment="1">
      <alignment horizontal="center" vertical="center" textRotation="135"/>
    </xf>
    <xf numFmtId="0" fontId="144" fillId="2" borderId="24" xfId="0" applyFont="1" applyFill="1" applyBorder="1" applyAlignment="1">
      <alignment horizontal="center" vertical="center" textRotation="135"/>
    </xf>
    <xf numFmtId="1" fontId="144" fillId="4" borderId="88" xfId="0" applyNumberFormat="1" applyFont="1" applyFill="1" applyBorder="1" applyAlignment="1">
      <alignment horizontal="center"/>
    </xf>
    <xf numFmtId="1" fontId="144" fillId="4" borderId="64" xfId="0" applyNumberFormat="1" applyFont="1" applyFill="1" applyBorder="1" applyAlignment="1">
      <alignment horizontal="center"/>
    </xf>
    <xf numFmtId="0" fontId="133" fillId="4" borderId="36" xfId="0" applyFont="1" applyFill="1" applyBorder="1" applyAlignment="1">
      <alignment horizontal="center"/>
    </xf>
    <xf numFmtId="0" fontId="133" fillId="4" borderId="55" xfId="0" applyFont="1" applyFill="1" applyBorder="1" applyAlignment="1">
      <alignment horizontal="center"/>
    </xf>
    <xf numFmtId="0" fontId="133" fillId="4" borderId="56" xfId="0" applyFont="1" applyFill="1" applyBorder="1" applyAlignment="1">
      <alignment horizontal="center"/>
    </xf>
    <xf numFmtId="0" fontId="114" fillId="18" borderId="12" xfId="0" applyFont="1" applyFill="1" applyBorder="1" applyAlignment="1">
      <alignment horizontal="center" vertical="center" wrapText="1"/>
    </xf>
    <xf numFmtId="17" fontId="133" fillId="4" borderId="36" xfId="0" applyNumberFormat="1" applyFont="1" applyFill="1" applyBorder="1" applyAlignment="1">
      <alignment horizontal="center"/>
    </xf>
    <xf numFmtId="17" fontId="133" fillId="4" borderId="55" xfId="0" applyNumberFormat="1" applyFont="1" applyFill="1" applyBorder="1" applyAlignment="1">
      <alignment horizontal="center"/>
    </xf>
    <xf numFmtId="17" fontId="133" fillId="4" borderId="56" xfId="0" applyNumberFormat="1" applyFont="1" applyFill="1" applyBorder="1" applyAlignment="1">
      <alignment horizontal="center"/>
    </xf>
    <xf numFmtId="0" fontId="0" fillId="17" borderId="53" xfId="0" applyFill="1" applyBorder="1" applyAlignment="1">
      <alignment horizontal="center"/>
    </xf>
    <xf numFmtId="0" fontId="114" fillId="18" borderId="20" xfId="0" applyFont="1" applyFill="1" applyBorder="1" applyAlignment="1">
      <alignment horizontal="center" wrapText="1"/>
    </xf>
    <xf numFmtId="0" fontId="114" fillId="18" borderId="28" xfId="0" applyFont="1" applyFill="1" applyBorder="1" applyAlignment="1">
      <alignment horizontal="center" wrapText="1"/>
    </xf>
    <xf numFmtId="0" fontId="114" fillId="4" borderId="10" xfId="0" applyFont="1" applyFill="1" applyBorder="1" applyAlignment="1">
      <alignment horizontal="center"/>
    </xf>
    <xf numFmtId="0" fontId="114" fillId="4" borderId="23" xfId="0" applyFont="1" applyFill="1" applyBorder="1" applyAlignment="1">
      <alignment horizontal="center"/>
    </xf>
    <xf numFmtId="0" fontId="114" fillId="4" borderId="5" xfId="0" applyFont="1" applyFill="1" applyBorder="1" applyAlignment="1">
      <alignment horizontal="center" vertical="center"/>
    </xf>
    <xf numFmtId="0" fontId="114" fillId="4" borderId="21" xfId="0" applyFont="1" applyFill="1" applyBorder="1" applyAlignment="1">
      <alignment horizontal="center" vertical="center"/>
    </xf>
    <xf numFmtId="17" fontId="144" fillId="2" borderId="88" xfId="0" applyNumberFormat="1" applyFont="1" applyFill="1" applyBorder="1" applyAlignment="1">
      <alignment horizontal="center" vertical="center" textRotation="135"/>
    </xf>
    <xf numFmtId="17" fontId="144" fillId="2" borderId="64" xfId="0" applyNumberFormat="1" applyFont="1" applyFill="1" applyBorder="1" applyAlignment="1">
      <alignment horizontal="center" vertical="center" textRotation="135"/>
    </xf>
    <xf numFmtId="0" fontId="114" fillId="18" borderId="20" xfId="0" applyFont="1" applyFill="1" applyBorder="1" applyAlignment="1">
      <alignment horizontal="center" vertical="center" wrapText="1"/>
    </xf>
    <xf numFmtId="0" fontId="114" fillId="18" borderId="21" xfId="0" applyFont="1" applyFill="1" applyBorder="1" applyAlignment="1">
      <alignment horizontal="center" vertical="center" wrapText="1"/>
    </xf>
    <xf numFmtId="0" fontId="114" fillId="18" borderId="28" xfId="0" applyFont="1" applyFill="1" applyBorder="1" applyAlignment="1">
      <alignment horizontal="center" vertical="center" wrapText="1"/>
    </xf>
    <xf numFmtId="1" fontId="0" fillId="4" borderId="20" xfId="0" applyNumberFormat="1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1" fontId="114" fillId="4" borderId="12" xfId="0" applyNumberFormat="1" applyFont="1" applyFill="1" applyBorder="1" applyAlignment="1">
      <alignment horizontal="center" vertical="center"/>
    </xf>
    <xf numFmtId="0" fontId="114" fillId="4" borderId="12" xfId="0" applyFont="1" applyFill="1" applyBorder="1" applyAlignment="1">
      <alignment horizontal="center" vertical="center"/>
    </xf>
    <xf numFmtId="0" fontId="118" fillId="18" borderId="20" xfId="0" applyFont="1" applyFill="1" applyBorder="1" applyAlignment="1">
      <alignment horizontal="center" vertical="center"/>
    </xf>
    <xf numFmtId="0" fontId="118" fillId="18" borderId="21" xfId="0" applyFont="1" applyFill="1" applyBorder="1" applyAlignment="1">
      <alignment horizontal="center" vertical="center"/>
    </xf>
    <xf numFmtId="0" fontId="118" fillId="18" borderId="28" xfId="0" applyFont="1" applyFill="1" applyBorder="1" applyAlignment="1">
      <alignment horizontal="center" vertical="center"/>
    </xf>
    <xf numFmtId="0" fontId="118" fillId="18" borderId="12" xfId="0" applyFont="1" applyFill="1" applyBorder="1" applyAlignment="1">
      <alignment horizontal="center" vertical="center"/>
    </xf>
    <xf numFmtId="0" fontId="118" fillId="18" borderId="12" xfId="0" applyFont="1" applyFill="1" applyBorder="1" applyAlignment="1">
      <alignment horizontal="center" vertical="center" wrapText="1"/>
    </xf>
    <xf numFmtId="0" fontId="114" fillId="4" borderId="20" xfId="0" applyFont="1" applyFill="1" applyBorder="1" applyAlignment="1">
      <alignment horizontal="center"/>
    </xf>
    <xf numFmtId="0" fontId="114" fillId="4" borderId="28" xfId="0" applyFon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174" fontId="0" fillId="4" borderId="20" xfId="0" applyNumberFormat="1" applyFill="1" applyBorder="1" applyAlignment="1">
      <alignment horizontal="center" vertical="center"/>
    </xf>
    <xf numFmtId="174" fontId="0" fillId="4" borderId="28" xfId="0" applyNumberFormat="1" applyFill="1" applyBorder="1" applyAlignment="1">
      <alignment horizontal="center" vertical="center"/>
    </xf>
    <xf numFmtId="0" fontId="114" fillId="18" borderId="30" xfId="0" applyFont="1" applyFill="1" applyBorder="1" applyAlignment="1">
      <alignment horizontal="center" vertical="center" wrapText="1"/>
    </xf>
    <xf numFmtId="0" fontId="114" fillId="18" borderId="34" xfId="0" applyFont="1" applyFill="1" applyBorder="1" applyAlignment="1">
      <alignment horizontal="center" vertical="center" wrapText="1"/>
    </xf>
    <xf numFmtId="0" fontId="114" fillId="18" borderId="31" xfId="0" applyFont="1" applyFill="1" applyBorder="1" applyAlignment="1">
      <alignment horizontal="center" vertical="center" wrapText="1"/>
    </xf>
    <xf numFmtId="0" fontId="114" fillId="18" borderId="32" xfId="0" applyFont="1" applyFill="1" applyBorder="1" applyAlignment="1">
      <alignment horizontal="center" vertical="center" wrapText="1"/>
    </xf>
    <xf numFmtId="0" fontId="114" fillId="18" borderId="53" xfId="0" applyFont="1" applyFill="1" applyBorder="1" applyAlignment="1">
      <alignment horizontal="center" vertical="center" wrapText="1"/>
    </xf>
    <xf numFmtId="0" fontId="114" fillId="18" borderId="33" xfId="0" applyFont="1" applyFill="1" applyBorder="1" applyAlignment="1">
      <alignment horizontal="center" vertical="center" wrapText="1"/>
    </xf>
    <xf numFmtId="176" fontId="114" fillId="4" borderId="20" xfId="0" applyNumberFormat="1" applyFont="1" applyFill="1" applyBorder="1" applyAlignment="1">
      <alignment horizontal="center" vertical="center"/>
    </xf>
    <xf numFmtId="176" fontId="114" fillId="4" borderId="21" xfId="0" applyNumberFormat="1" applyFont="1" applyFill="1" applyBorder="1" applyAlignment="1">
      <alignment horizontal="center" vertical="center"/>
    </xf>
    <xf numFmtId="176" fontId="114" fillId="4" borderId="28" xfId="0" applyNumberFormat="1" applyFont="1" applyFill="1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88" xfId="0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86" xfId="0" applyBorder="1" applyAlignment="1">
      <alignment horizontal="center"/>
    </xf>
    <xf numFmtId="9" fontId="136" fillId="0" borderId="78" xfId="0" applyNumberFormat="1" applyFont="1" applyBorder="1" applyAlignment="1">
      <alignment horizontal="center" vertical="center"/>
    </xf>
    <xf numFmtId="9" fontId="136" fillId="0" borderId="91" xfId="0" applyNumberFormat="1" applyFont="1" applyBorder="1" applyAlignment="1">
      <alignment horizontal="center" vertical="center"/>
    </xf>
    <xf numFmtId="9" fontId="136" fillId="0" borderId="72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14" fillId="10" borderId="22" xfId="0" applyFont="1" applyFill="1" applyBorder="1" applyAlignment="1">
      <alignment horizontal="center" vertical="center"/>
    </xf>
    <xf numFmtId="0" fontId="114" fillId="10" borderId="32" xfId="0" applyFont="1" applyFill="1" applyBorder="1" applyAlignment="1">
      <alignment horizontal="center" vertical="center"/>
    </xf>
    <xf numFmtId="0" fontId="156" fillId="29" borderId="0" xfId="0" applyFont="1" applyFill="1" applyAlignment="1">
      <alignment horizontal="left" vertical="top" wrapText="1"/>
    </xf>
    <xf numFmtId="0" fontId="133" fillId="42" borderId="12" xfId="0" applyFont="1" applyFill="1" applyBorder="1" applyAlignment="1">
      <alignment horizontal="center" vertical="center"/>
    </xf>
    <xf numFmtId="0" fontId="153" fillId="10" borderId="0" xfId="0" applyFont="1" applyFill="1" applyAlignment="1">
      <alignment horizontal="center" vertical="center"/>
    </xf>
    <xf numFmtId="0" fontId="114" fillId="36" borderId="20" xfId="0" applyFont="1" applyFill="1" applyBorder="1" applyAlignment="1">
      <alignment horizontal="center" vertical="center"/>
    </xf>
    <xf numFmtId="0" fontId="114" fillId="36" borderId="21" xfId="0" applyFont="1" applyFill="1" applyBorder="1" applyAlignment="1">
      <alignment horizontal="center" vertical="center"/>
    </xf>
    <xf numFmtId="0" fontId="114" fillId="36" borderId="28" xfId="0" applyFont="1" applyFill="1" applyBorder="1" applyAlignment="1">
      <alignment horizontal="center" vertical="center"/>
    </xf>
    <xf numFmtId="0" fontId="114" fillId="36" borderId="12" xfId="0" applyFont="1" applyFill="1" applyBorder="1" applyAlignment="1">
      <alignment horizontal="center" vertical="center"/>
    </xf>
    <xf numFmtId="0" fontId="133" fillId="10" borderId="0" xfId="0" applyFont="1" applyFill="1" applyAlignment="1">
      <alignment horizontal="center" vertical="center"/>
    </xf>
    <xf numFmtId="0" fontId="133" fillId="10" borderId="53" xfId="0" applyFont="1" applyFill="1" applyBorder="1" applyAlignment="1">
      <alignment horizontal="center" vertical="center"/>
    </xf>
    <xf numFmtId="0" fontId="114" fillId="36" borderId="30" xfId="0" applyFont="1" applyFill="1" applyBorder="1" applyAlignment="1">
      <alignment horizontal="center" vertical="center"/>
    </xf>
    <xf numFmtId="0" fontId="114" fillId="36" borderId="34" xfId="0" applyFont="1" applyFill="1" applyBorder="1" applyAlignment="1">
      <alignment horizontal="center" vertical="center"/>
    </xf>
    <xf numFmtId="0" fontId="114" fillId="36" borderId="31" xfId="0" applyFont="1" applyFill="1" applyBorder="1" applyAlignment="1">
      <alignment horizontal="center" vertical="center"/>
    </xf>
    <xf numFmtId="0" fontId="114" fillId="36" borderId="32" xfId="0" applyFont="1" applyFill="1" applyBorder="1" applyAlignment="1">
      <alignment horizontal="center" vertical="center"/>
    </xf>
    <xf numFmtId="0" fontId="114" fillId="36" borderId="53" xfId="0" applyFont="1" applyFill="1" applyBorder="1" applyAlignment="1">
      <alignment horizontal="center" vertical="center"/>
    </xf>
    <xf numFmtId="0" fontId="114" fillId="36" borderId="33" xfId="0" applyFont="1" applyFill="1" applyBorder="1" applyAlignment="1">
      <alignment horizontal="center" vertical="center"/>
    </xf>
    <xf numFmtId="0" fontId="128" fillId="4" borderId="1" xfId="0" applyFont="1" applyFill="1" applyBorder="1" applyAlignment="1">
      <alignment horizontal="center" vertical="center"/>
    </xf>
    <xf numFmtId="0" fontId="128" fillId="4" borderId="2" xfId="0" applyFont="1" applyFill="1" applyBorder="1" applyAlignment="1">
      <alignment horizontal="center" vertical="center"/>
    </xf>
    <xf numFmtId="0" fontId="128" fillId="4" borderId="3" xfId="0" applyFont="1" applyFill="1" applyBorder="1" applyAlignment="1">
      <alignment horizontal="center" vertical="center"/>
    </xf>
    <xf numFmtId="0" fontId="128" fillId="4" borderId="13" xfId="0" applyFont="1" applyFill="1" applyBorder="1" applyAlignment="1">
      <alignment horizontal="center" vertical="center"/>
    </xf>
    <xf numFmtId="0" fontId="128" fillId="4" borderId="51" xfId="0" applyFont="1" applyFill="1" applyBorder="1" applyAlignment="1">
      <alignment horizontal="center" vertical="center"/>
    </xf>
    <xf numFmtId="0" fontId="128" fillId="4" borderId="26" xfId="0" applyFont="1" applyFill="1" applyBorder="1" applyAlignment="1">
      <alignment horizontal="center" vertical="center"/>
    </xf>
    <xf numFmtId="20" fontId="121" fillId="11" borderId="7" xfId="0" applyNumberFormat="1" applyFont="1" applyFill="1" applyBorder="1" applyAlignment="1">
      <alignment horizontal="center" vertical="center"/>
    </xf>
    <xf numFmtId="20" fontId="121" fillId="11" borderId="29" xfId="0" applyNumberFormat="1" applyFont="1" applyFill="1" applyBorder="1" applyAlignment="1">
      <alignment horizontal="center" vertical="center"/>
    </xf>
    <xf numFmtId="20" fontId="121" fillId="11" borderId="8" xfId="0" applyNumberFormat="1" applyFont="1" applyFill="1" applyBorder="1" applyAlignment="1">
      <alignment horizontal="center" vertical="center"/>
    </xf>
    <xf numFmtId="20" fontId="123" fillId="10" borderId="7" xfId="0" applyNumberFormat="1" applyFont="1" applyFill="1" applyBorder="1" applyAlignment="1">
      <alignment horizontal="center"/>
    </xf>
    <xf numFmtId="20" fontId="123" fillId="10" borderId="29" xfId="0" applyNumberFormat="1" applyFont="1" applyFill="1" applyBorder="1" applyAlignment="1">
      <alignment horizontal="center"/>
    </xf>
    <xf numFmtId="20" fontId="123" fillId="10" borderId="8" xfId="0" applyNumberFormat="1" applyFont="1" applyFill="1" applyBorder="1" applyAlignment="1">
      <alignment horizontal="center"/>
    </xf>
    <xf numFmtId="0" fontId="121" fillId="11" borderId="29" xfId="0" applyFont="1" applyFill="1" applyBorder="1" applyAlignment="1">
      <alignment horizontal="center" vertical="center"/>
    </xf>
    <xf numFmtId="0" fontId="121" fillId="11" borderId="8" xfId="0" applyFont="1" applyFill="1" applyBorder="1" applyAlignment="1">
      <alignment horizontal="center" vertical="center"/>
    </xf>
    <xf numFmtId="0" fontId="121" fillId="11" borderId="7" xfId="0" applyFont="1" applyFill="1" applyBorder="1" applyAlignment="1">
      <alignment horizontal="center" vertical="center"/>
    </xf>
    <xf numFmtId="14" fontId="119" fillId="7" borderId="5" xfId="0" applyNumberFormat="1" applyFont="1" applyFill="1" applyBorder="1" applyAlignment="1">
      <alignment horizontal="center" vertical="center"/>
    </xf>
    <xf numFmtId="14" fontId="119" fillId="7" borderId="21" xfId="0" applyNumberFormat="1" applyFont="1" applyFill="1" applyBorder="1" applyAlignment="1">
      <alignment horizontal="center" vertical="center"/>
    </xf>
    <xf numFmtId="0" fontId="120" fillId="2" borderId="20" xfId="0" applyFont="1" applyFill="1" applyBorder="1" applyAlignment="1">
      <alignment horizontal="center"/>
    </xf>
    <xf numFmtId="0" fontId="120" fillId="2" borderId="21" xfId="0" applyFont="1" applyFill="1" applyBorder="1" applyAlignment="1">
      <alignment horizontal="center"/>
    </xf>
    <xf numFmtId="0" fontId="120" fillId="2" borderId="28" xfId="0" applyFont="1" applyFill="1" applyBorder="1" applyAlignment="1">
      <alignment horizontal="center"/>
    </xf>
    <xf numFmtId="0" fontId="120" fillId="2" borderId="20" xfId="0" applyFont="1" applyFill="1" applyBorder="1" applyAlignment="1">
      <alignment horizontal="center" vertical="center"/>
    </xf>
    <xf numFmtId="0" fontId="120" fillId="2" borderId="21" xfId="0" applyFont="1" applyFill="1" applyBorder="1" applyAlignment="1">
      <alignment horizontal="center" vertical="center"/>
    </xf>
    <xf numFmtId="0" fontId="120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4" fillId="10" borderId="12" xfId="0" applyFont="1" applyFill="1" applyBorder="1" applyAlignment="1">
      <alignment horizontal="center" vertical="center"/>
    </xf>
    <xf numFmtId="14" fontId="119" fillId="7" borderId="20" xfId="0" applyNumberFormat="1" applyFont="1" applyFill="1" applyBorder="1" applyAlignment="1">
      <alignment horizontal="center" vertical="center"/>
    </xf>
    <xf numFmtId="0" fontId="114" fillId="10" borderId="12" xfId="0" applyFont="1" applyFill="1" applyBorder="1" applyAlignment="1">
      <alignment horizontal="center"/>
    </xf>
    <xf numFmtId="14" fontId="119" fillId="7" borderId="57" xfId="0" applyNumberFormat="1" applyFont="1" applyFill="1" applyBorder="1" applyAlignment="1">
      <alignment horizontal="center" vertical="center"/>
    </xf>
    <xf numFmtId="14" fontId="119" fillId="7" borderId="60" xfId="0" applyNumberFormat="1" applyFont="1" applyFill="1" applyBorder="1" applyAlignment="1">
      <alignment horizontal="center" vertical="center"/>
    </xf>
    <xf numFmtId="14" fontId="119" fillId="7" borderId="24" xfId="0" applyNumberFormat="1" applyFont="1" applyFill="1" applyBorder="1" applyAlignment="1">
      <alignment horizontal="center" vertical="center"/>
    </xf>
    <xf numFmtId="14" fontId="119" fillId="7" borderId="12" xfId="0" applyNumberFormat="1" applyFont="1" applyFill="1" applyBorder="1" applyAlignment="1">
      <alignment horizontal="center" vertical="center"/>
    </xf>
    <xf numFmtId="14" fontId="119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20" fillId="2" borderId="12" xfId="0" applyFont="1" applyFill="1" applyBorder="1"/>
    <xf numFmtId="14" fontId="119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19" fillId="2" borderId="12" xfId="0" applyFont="1" applyFill="1" applyBorder="1" applyAlignment="1">
      <alignment horizontal="left" vertical="top" wrapText="1"/>
    </xf>
    <xf numFmtId="0" fontId="119" fillId="8" borderId="12" xfId="0" applyFont="1" applyFill="1" applyBorder="1" applyAlignment="1">
      <alignment horizontal="center" vertical="center"/>
    </xf>
    <xf numFmtId="0" fontId="119" fillId="8" borderId="20" xfId="0" applyFont="1" applyFill="1" applyBorder="1" applyAlignment="1">
      <alignment horizontal="center" vertical="center"/>
    </xf>
    <xf numFmtId="0" fontId="119" fillId="8" borderId="21" xfId="0" applyFont="1" applyFill="1" applyBorder="1" applyAlignment="1">
      <alignment horizontal="center" vertical="center"/>
    </xf>
    <xf numFmtId="0" fontId="119" fillId="8" borderId="28" xfId="0" applyFont="1" applyFill="1" applyBorder="1" applyAlignment="1">
      <alignment horizontal="center" vertical="center"/>
    </xf>
    <xf numFmtId="0" fontId="119" fillId="2" borderId="59" xfId="0" applyFont="1" applyFill="1" applyBorder="1" applyAlignment="1">
      <alignment horizontal="center" vertical="top" wrapText="1"/>
    </xf>
    <xf numFmtId="0" fontId="119" fillId="2" borderId="61" xfId="0" applyFont="1" applyFill="1" applyBorder="1" applyAlignment="1">
      <alignment horizontal="center" vertical="top" wrapText="1"/>
    </xf>
    <xf numFmtId="0" fontId="119" fillId="2" borderId="62" xfId="0" applyFont="1" applyFill="1" applyBorder="1" applyAlignment="1">
      <alignment horizontal="center" vertical="top" wrapText="1"/>
    </xf>
    <xf numFmtId="0" fontId="119" fillId="2" borderId="63" xfId="0" applyFont="1" applyFill="1" applyBorder="1" applyAlignment="1">
      <alignment horizontal="center" vertical="top" wrapText="1"/>
    </xf>
    <xf numFmtId="0" fontId="119" fillId="2" borderId="64" xfId="0" applyFont="1" applyFill="1" applyBorder="1" applyAlignment="1">
      <alignment horizontal="center" vertical="top" wrapText="1"/>
    </xf>
    <xf numFmtId="0" fontId="119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13" fillId="23" borderId="18" xfId="0" applyNumberFormat="1" applyFont="1" applyFill="1" applyBorder="1" applyAlignment="1">
      <alignment horizontal="center" vertical="center"/>
    </xf>
    <xf numFmtId="14" fontId="113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13" fillId="23" borderId="36" xfId="0" applyNumberFormat="1" applyFont="1" applyFill="1" applyBorder="1" applyAlignment="1">
      <alignment horizontal="center" vertical="center"/>
    </xf>
    <xf numFmtId="14" fontId="113" fillId="23" borderId="37" xfId="0" applyNumberFormat="1" applyFont="1" applyFill="1" applyBorder="1" applyAlignment="1">
      <alignment horizontal="center" vertical="center"/>
    </xf>
    <xf numFmtId="14" fontId="113" fillId="0" borderId="30" xfId="0" applyNumberFormat="1" applyFont="1" applyBorder="1" applyAlignment="1">
      <alignment horizontal="center" vertical="center"/>
    </xf>
    <xf numFmtId="14" fontId="113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82" fillId="23" borderId="5" xfId="0" applyNumberFormat="1" applyFont="1" applyFill="1" applyBorder="1" applyAlignment="1">
      <alignment horizontal="center" vertical="center" wrapText="1"/>
    </xf>
    <xf numFmtId="14" fontId="113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14" fillId="22" borderId="67" xfId="0" applyFont="1" applyFill="1" applyBorder="1" applyAlignment="1">
      <alignment horizontal="center" vertical="center"/>
    </xf>
    <xf numFmtId="0" fontId="114" fillId="23" borderId="67" xfId="0" applyFont="1" applyFill="1" applyBorder="1" applyAlignment="1">
      <alignment horizontal="center" vertical="center"/>
    </xf>
    <xf numFmtId="0" fontId="114" fillId="22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12850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1.4174516300047992</c:v>
                </c:pt>
                <c:pt idx="1">
                  <c:v>0.45777620735563551</c:v>
                </c:pt>
                <c:pt idx="2">
                  <c:v>0.5515375992236573</c:v>
                </c:pt>
                <c:pt idx="3">
                  <c:v>5.7359910319260354E-2</c:v>
                </c:pt>
                <c:pt idx="4">
                  <c:v>2.4819191965064578E-2</c:v>
                </c:pt>
                <c:pt idx="5">
                  <c:v>2.3164579167393607E-2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Hours'!$O$49:$O$65</c:f>
              <c:numCache>
                <c:formatCode>m/d/yyyy</c:formatCode>
                <c:ptCount val="17"/>
                <c:pt idx="0">
                  <c:v>46309</c:v>
                </c:pt>
                <c:pt idx="1">
                  <c:v>46310</c:v>
                </c:pt>
                <c:pt idx="2">
                  <c:v>46311</c:v>
                </c:pt>
                <c:pt idx="3">
                  <c:v>46312</c:v>
                </c:pt>
                <c:pt idx="4">
                  <c:v>46313</c:v>
                </c:pt>
                <c:pt idx="5">
                  <c:v>46314</c:v>
                </c:pt>
                <c:pt idx="6">
                  <c:v>46315</c:v>
                </c:pt>
                <c:pt idx="7">
                  <c:v>46316</c:v>
                </c:pt>
                <c:pt idx="8">
                  <c:v>46317</c:v>
                </c:pt>
                <c:pt idx="9">
                  <c:v>46318</c:v>
                </c:pt>
                <c:pt idx="10">
                  <c:v>46319</c:v>
                </c:pt>
                <c:pt idx="11">
                  <c:v>46320</c:v>
                </c:pt>
                <c:pt idx="12">
                  <c:v>46321</c:v>
                </c:pt>
                <c:pt idx="13">
                  <c:v>46322</c:v>
                </c:pt>
                <c:pt idx="14">
                  <c:v>46323</c:v>
                </c:pt>
                <c:pt idx="15">
                  <c:v>46324</c:v>
                </c:pt>
                <c:pt idx="16">
                  <c:v>46325</c:v>
                </c:pt>
              </c:numCache>
            </c:numRef>
          </c:cat>
          <c:val>
            <c:numRef>
              <c:f>'Milling Down Time Hours'!$Q$49:$Q$65</c:f>
              <c:numCache>
                <c:formatCode>0</c:formatCode>
                <c:ptCount val="17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16.083333333333332</c:v>
                </c:pt>
                <c:pt idx="5">
                  <c:v>22.516666666666666</c:v>
                </c:pt>
                <c:pt idx="6">
                  <c:v>19.666666666666668</c:v>
                </c:pt>
                <c:pt idx="7">
                  <c:v>19</c:v>
                </c:pt>
                <c:pt idx="8">
                  <c:v>22.666666666666668</c:v>
                </c:pt>
                <c:pt idx="9">
                  <c:v>13.516666666666667</c:v>
                </c:pt>
                <c:pt idx="10">
                  <c:v>24</c:v>
                </c:pt>
                <c:pt idx="11">
                  <c:v>19.5</c:v>
                </c:pt>
                <c:pt idx="12">
                  <c:v>12</c:v>
                </c:pt>
                <c:pt idx="13">
                  <c:v>24</c:v>
                </c:pt>
                <c:pt idx="14">
                  <c:v>22.5</c:v>
                </c:pt>
                <c:pt idx="15">
                  <c:v>17.25</c:v>
                </c:pt>
                <c:pt idx="16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Hours'!$O$49:$O$65</c:f>
              <c:numCache>
                <c:formatCode>m/d/yyyy</c:formatCode>
                <c:ptCount val="17"/>
                <c:pt idx="0">
                  <c:v>46309</c:v>
                </c:pt>
                <c:pt idx="1">
                  <c:v>46310</c:v>
                </c:pt>
                <c:pt idx="2">
                  <c:v>46311</c:v>
                </c:pt>
                <c:pt idx="3">
                  <c:v>46312</c:v>
                </c:pt>
                <c:pt idx="4">
                  <c:v>46313</c:v>
                </c:pt>
                <c:pt idx="5">
                  <c:v>46314</c:v>
                </c:pt>
                <c:pt idx="6">
                  <c:v>46315</c:v>
                </c:pt>
                <c:pt idx="7">
                  <c:v>46316</c:v>
                </c:pt>
                <c:pt idx="8">
                  <c:v>46317</c:v>
                </c:pt>
                <c:pt idx="9">
                  <c:v>46318</c:v>
                </c:pt>
                <c:pt idx="10">
                  <c:v>46319</c:v>
                </c:pt>
                <c:pt idx="11">
                  <c:v>46320</c:v>
                </c:pt>
                <c:pt idx="12">
                  <c:v>46321</c:v>
                </c:pt>
                <c:pt idx="13">
                  <c:v>46322</c:v>
                </c:pt>
                <c:pt idx="14">
                  <c:v>46323</c:v>
                </c:pt>
                <c:pt idx="15">
                  <c:v>46324</c:v>
                </c:pt>
                <c:pt idx="16">
                  <c:v>46325</c:v>
                </c:pt>
              </c:numCache>
            </c:numRef>
          </c:cat>
          <c:val>
            <c:numRef>
              <c:f>'Milling Down Time Hours'!$S$49:$S$65</c:f>
              <c:numCache>
                <c:formatCode>0</c:formatCode>
                <c:ptCount val="17"/>
                <c:pt idx="0">
                  <c:v>6.6613381477509392E-16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7.916666666666667</c:v>
                </c:pt>
                <c:pt idx="5">
                  <c:v>1.4833333333333334</c:v>
                </c:pt>
                <c:pt idx="6">
                  <c:v>4.3333333333333339</c:v>
                </c:pt>
                <c:pt idx="7">
                  <c:v>5</c:v>
                </c:pt>
                <c:pt idx="8">
                  <c:v>1.3333333333333337</c:v>
                </c:pt>
                <c:pt idx="9">
                  <c:v>10.483333333333333</c:v>
                </c:pt>
                <c:pt idx="10">
                  <c:v>0</c:v>
                </c:pt>
                <c:pt idx="11">
                  <c:v>4.5</c:v>
                </c:pt>
                <c:pt idx="12">
                  <c:v>12</c:v>
                </c:pt>
                <c:pt idx="13">
                  <c:v>0</c:v>
                </c:pt>
                <c:pt idx="14">
                  <c:v>1.5</c:v>
                </c:pt>
                <c:pt idx="15">
                  <c:v>6.75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250768</xdr:colOff>
      <xdr:row>15</xdr:row>
      <xdr:rowOff>127942</xdr:rowOff>
    </xdr:from>
    <xdr:to>
      <xdr:col>45</xdr:col>
      <xdr:colOff>204382</xdr:colOff>
      <xdr:row>31</xdr:row>
      <xdr:rowOff>131840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47551" y="3429942"/>
          <a:ext cx="9053440" cy="4123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hamxi/Documents/Zeta_Edit/Production%20Report%20June%202026_DYAN%20New%20Anjim%20Sekaliiii%20-%20Copy.xlsx" TargetMode="External"/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/Users/hamxi/Documents/Zeta_Edit/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G10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40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592" t="s">
        <v>335</v>
      </c>
      <c r="D3" s="1592"/>
      <c r="E3" s="1592"/>
      <c r="F3" s="1592"/>
      <c r="G3" s="1592"/>
      <c r="H3" s="1592"/>
      <c r="L3" s="1592" t="s">
        <v>335</v>
      </c>
      <c r="M3" s="1592"/>
      <c r="N3" s="1592"/>
      <c r="O3" s="1592"/>
      <c r="P3" s="1592"/>
      <c r="Q3" s="1592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603" t="s">
        <v>124</v>
      </c>
      <c r="I1" s="1603"/>
      <c r="J1" s="1603"/>
      <c r="K1" s="1603"/>
      <c r="L1" s="1603"/>
      <c r="M1" s="1603"/>
      <c r="N1" s="1603"/>
      <c r="O1" s="1603"/>
      <c r="P1" s="1603"/>
      <c r="Q1" s="1603"/>
      <c r="R1" s="1603"/>
      <c r="S1" s="1603"/>
      <c r="T1" s="1603"/>
      <c r="U1" s="1603"/>
      <c r="V1" s="1603"/>
      <c r="W1" s="1603"/>
      <c r="X1" s="1603"/>
      <c r="Y1" s="1603"/>
      <c r="Z1" s="1603"/>
      <c r="AA1" s="1603"/>
      <c r="AB1" s="1603"/>
      <c r="AC1" s="1603"/>
      <c r="AD1" s="1603"/>
      <c r="AE1" s="1603"/>
      <c r="AF1" s="1603"/>
      <c r="AG1" s="1603"/>
      <c r="AH1" s="1603"/>
      <c r="AI1" s="1603"/>
      <c r="AJ1" s="1603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604" t="s">
        <v>125</v>
      </c>
      <c r="I2" s="1604"/>
      <c r="J2" s="1604"/>
      <c r="K2" s="1604"/>
      <c r="L2" s="1604"/>
      <c r="M2" s="1604"/>
      <c r="N2" s="1604"/>
      <c r="O2" s="1604"/>
      <c r="P2" s="1604"/>
      <c r="Q2" s="1604"/>
      <c r="R2" s="1604"/>
      <c r="S2" s="1604"/>
      <c r="T2" s="1604"/>
      <c r="U2" s="1604"/>
      <c r="V2" s="1604"/>
      <c r="W2" s="1604"/>
      <c r="X2" s="1604"/>
      <c r="Y2" s="1604"/>
      <c r="Z2" s="1604"/>
      <c r="AA2" s="1604"/>
      <c r="AB2" s="1604"/>
      <c r="AC2" s="1604"/>
      <c r="AD2" s="1604"/>
      <c r="AE2" s="1604"/>
      <c r="AF2" s="1604"/>
      <c r="AG2" s="1604"/>
      <c r="AH2" s="1604"/>
      <c r="AI2" s="1604"/>
      <c r="AJ2" s="1604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593" t="s">
        <v>72</v>
      </c>
      <c r="C5" s="1595" t="s">
        <v>73</v>
      </c>
      <c r="D5" s="1596"/>
      <c r="E5" s="1596"/>
      <c r="F5" s="1596"/>
      <c r="G5" s="1596"/>
      <c r="H5" s="1597"/>
      <c r="I5" s="1598" t="s">
        <v>429</v>
      </c>
      <c r="J5" s="1598" t="s">
        <v>319</v>
      </c>
      <c r="K5" s="1599" t="s">
        <v>74</v>
      </c>
      <c r="L5" s="1596"/>
      <c r="M5" s="1596"/>
      <c r="N5" s="1593" t="s">
        <v>75</v>
      </c>
      <c r="O5" s="1605" t="s">
        <v>177</v>
      </c>
      <c r="P5" s="1605"/>
      <c r="Q5" s="1605"/>
      <c r="R5" s="1605"/>
      <c r="S5" s="1605"/>
      <c r="T5" s="1605"/>
      <c r="U5" s="1605"/>
      <c r="V5" s="1605"/>
      <c r="W5" s="1605"/>
      <c r="X5" s="1605"/>
      <c r="Y5" s="1606"/>
      <c r="Z5" s="1599" t="s">
        <v>76</v>
      </c>
      <c r="AA5" s="1607"/>
      <c r="AB5" s="1607"/>
      <c r="AC5" s="1607"/>
      <c r="AD5" s="1607"/>
      <c r="AE5" s="1607"/>
      <c r="AF5" s="1607"/>
      <c r="AG5" s="1608"/>
      <c r="AH5" s="1599" t="s">
        <v>77</v>
      </c>
      <c r="AI5" s="1597"/>
      <c r="AJ5" s="1599" t="s">
        <v>78</v>
      </c>
      <c r="AK5" s="1596"/>
      <c r="AL5" s="1596"/>
      <c r="AM5" s="1596"/>
      <c r="AN5" s="1596"/>
      <c r="AO5" s="1597"/>
      <c r="AP5" s="1599" t="s">
        <v>79</v>
      </c>
      <c r="AQ5" s="1597"/>
      <c r="AR5" s="74"/>
      <c r="AS5" s="84" t="s">
        <v>80</v>
      </c>
    </row>
    <row r="6" spans="1:45" ht="29.4" thickBot="1" x14ac:dyDescent="0.35">
      <c r="A6" s="83"/>
      <c r="B6" s="1594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594"/>
      <c r="J6" s="1601"/>
      <c r="K6" s="85" t="s">
        <v>86</v>
      </c>
      <c r="L6" s="85" t="s">
        <v>87</v>
      </c>
      <c r="M6" s="85" t="s">
        <v>126</v>
      </c>
      <c r="N6" s="1600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5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5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5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5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5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5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5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5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5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5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5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5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5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5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5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5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5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5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5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5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5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5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5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5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5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5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5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5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5" t="str">
        <f t="shared" si="4"/>
        <v/>
      </c>
      <c r="V35" s="90"/>
      <c r="W35" s="90"/>
      <c r="X35" s="90"/>
      <c r="Y35" s="1046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5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8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5" t="str">
        <f t="shared" si="4"/>
        <v/>
      </c>
      <c r="V37" s="650"/>
      <c r="W37" s="650"/>
      <c r="X37" s="650"/>
      <c r="Y37" s="1047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0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5" t="str">
        <f t="shared" si="4"/>
        <v/>
      </c>
      <c r="V38" s="94"/>
      <c r="W38" s="94"/>
      <c r="X38" s="94"/>
      <c r="Y38" s="1048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1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5" t="str">
        <f t="shared" si="4"/>
        <v/>
      </c>
      <c r="V39" s="94"/>
      <c r="W39" s="94"/>
      <c r="X39" s="94"/>
      <c r="Y39" s="1048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1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5" t="str">
        <f t="shared" si="4"/>
        <v/>
      </c>
      <c r="V40" s="94"/>
      <c r="W40" s="94"/>
      <c r="X40" s="94"/>
      <c r="Y40" s="1048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1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5" t="str">
        <f t="shared" si="4"/>
        <v/>
      </c>
      <c r="V41" s="94"/>
      <c r="W41" s="94"/>
      <c r="X41" s="94"/>
      <c r="Y41" s="1048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1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4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5" t="str">
        <f t="shared" si="4"/>
        <v/>
      </c>
      <c r="V42" s="94"/>
      <c r="W42" s="94"/>
      <c r="X42" s="94"/>
      <c r="Y42" s="1048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1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4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5" t="str">
        <f t="shared" si="4"/>
        <v/>
      </c>
      <c r="V43" s="94"/>
      <c r="W43" s="94"/>
      <c r="X43" s="94"/>
      <c r="Y43" s="1048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1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4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5" t="str">
        <f t="shared" si="4"/>
        <v/>
      </c>
      <c r="V44" s="94"/>
      <c r="W44" s="94"/>
      <c r="X44" s="94"/>
      <c r="Y44" s="1048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1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4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5" t="str">
        <f t="shared" si="4"/>
        <v/>
      </c>
      <c r="V45" s="94"/>
      <c r="W45" s="94"/>
      <c r="X45" s="94"/>
      <c r="Y45" s="1048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1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4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5" t="str">
        <f t="shared" si="4"/>
        <v/>
      </c>
      <c r="V46" s="94"/>
      <c r="W46" s="94"/>
      <c r="X46" s="94"/>
      <c r="Y46" s="1048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1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4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5" t="str">
        <f t="shared" si="4"/>
        <v/>
      </c>
      <c r="V47" s="94"/>
      <c r="W47" s="94"/>
      <c r="X47" s="94"/>
      <c r="Y47" s="1048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1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4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5" t="str">
        <f t="shared" si="4"/>
        <v/>
      </c>
      <c r="V48" s="94"/>
      <c r="W48" s="94"/>
      <c r="X48" s="94"/>
      <c r="Y48" s="1048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1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7">
        <f t="shared" si="12"/>
        <v>0</v>
      </c>
      <c r="F49" s="402"/>
      <c r="G49" s="211">
        <f t="shared" si="10"/>
        <v>0</v>
      </c>
      <c r="H49" s="1038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5" t="str">
        <f t="shared" si="4"/>
        <v/>
      </c>
      <c r="V49" s="402"/>
      <c r="W49" s="402"/>
      <c r="X49" s="402"/>
      <c r="Y49" s="1049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2"/>
      <c r="AQ49" s="402"/>
      <c r="AR49" s="74"/>
      <c r="AS49" s="74"/>
    </row>
    <row r="50" spans="1:45" ht="14.4" x14ac:dyDescent="0.3">
      <c r="A50" s="74"/>
      <c r="B50" s="1036">
        <v>46291</v>
      </c>
      <c r="C50" s="212"/>
      <c r="D50" s="401">
        <f>D49+C50</f>
        <v>5182.1435200000005</v>
      </c>
      <c r="E50" s="213"/>
      <c r="F50" s="94"/>
      <c r="G50" s="212"/>
      <c r="H50" s="1044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5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6">
        <v>46292</v>
      </c>
      <c r="C51" s="212"/>
      <c r="D51" s="401">
        <f t="shared" si="14"/>
        <v>5182.1435200000005</v>
      </c>
      <c r="E51" s="213"/>
      <c r="F51" s="94"/>
      <c r="G51" s="212"/>
      <c r="H51" s="1044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5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5">
        <v>46293</v>
      </c>
      <c r="C52" s="212"/>
      <c r="D52" s="401">
        <f t="shared" si="14"/>
        <v>5182.1435200000005</v>
      </c>
      <c r="E52" s="213"/>
      <c r="F52" s="94"/>
      <c r="G52" s="212"/>
      <c r="H52" s="1044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5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6">
        <v>46294</v>
      </c>
      <c r="C53" s="212"/>
      <c r="D53" s="401">
        <f t="shared" si="14"/>
        <v>5182.1435200000005</v>
      </c>
      <c r="E53" s="213"/>
      <c r="F53" s="94"/>
      <c r="G53" s="212"/>
      <c r="H53" s="1044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5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6">
        <v>46295</v>
      </c>
      <c r="C54" s="212"/>
      <c r="D54" s="401">
        <f t="shared" si="14"/>
        <v>5182.1435200000005</v>
      </c>
      <c r="E54" s="213"/>
      <c r="F54" s="94"/>
      <c r="G54" s="212"/>
      <c r="H54" s="1044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5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6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4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5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6">
        <v>46297</v>
      </c>
      <c r="C56" s="1329">
        <f>Crushing!N106</f>
        <v>241.2345</v>
      </c>
      <c r="D56" s="401">
        <f>D55+C56</f>
        <v>5718.41302</v>
      </c>
      <c r="E56" s="1331"/>
      <c r="F56" s="1332"/>
      <c r="G56" s="1329"/>
      <c r="H56" s="1333"/>
      <c r="I56" s="75"/>
      <c r="J56" s="1329"/>
      <c r="K56" s="1334"/>
      <c r="L56" s="1335"/>
      <c r="M56" s="1335"/>
      <c r="N56" s="1335"/>
      <c r="O56" s="1332"/>
      <c r="P56" s="1332"/>
      <c r="Q56" s="402"/>
      <c r="R56" s="402"/>
      <c r="S56" s="402"/>
      <c r="T56" s="404"/>
      <c r="U56" s="1336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6">
        <v>46298</v>
      </c>
      <c r="C57" s="1329">
        <f>Crushing!N110</f>
        <v>464.91899999999998</v>
      </c>
      <c r="D57" s="401">
        <f t="shared" ref="D57:D65" si="15">D56+C57</f>
        <v>6183.3320199999998</v>
      </c>
      <c r="E57" s="1331"/>
      <c r="F57" s="1332"/>
      <c r="G57" s="1329"/>
      <c r="H57" s="1333"/>
      <c r="I57" s="75"/>
      <c r="J57" s="1329"/>
      <c r="K57" s="1334"/>
      <c r="L57" s="1335"/>
      <c r="M57" s="1335"/>
      <c r="N57" s="1335"/>
      <c r="O57" s="1332"/>
      <c r="P57" s="1332"/>
      <c r="Q57" s="402"/>
      <c r="R57" s="402"/>
      <c r="S57" s="402"/>
      <c r="T57" s="404"/>
      <c r="U57" s="1336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6">
        <v>46299</v>
      </c>
      <c r="C58" s="1329">
        <f>Crushing!N112</f>
        <v>5.5249999999999995</v>
      </c>
      <c r="D58" s="401">
        <f t="shared" si="15"/>
        <v>6188.8570199999995</v>
      </c>
      <c r="E58" s="1331"/>
      <c r="F58" s="1332"/>
      <c r="G58" s="1329"/>
      <c r="H58" s="1333"/>
      <c r="I58" s="75"/>
      <c r="J58" s="1329"/>
      <c r="K58" s="1334"/>
      <c r="L58" s="1335"/>
      <c r="M58" s="1335"/>
      <c r="N58" s="1335"/>
      <c r="O58" s="1332"/>
      <c r="P58" s="1332"/>
      <c r="Q58" s="402"/>
      <c r="R58" s="402"/>
      <c r="S58" s="402"/>
      <c r="T58" s="404"/>
      <c r="U58" s="1336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6">
        <v>46300</v>
      </c>
      <c r="C59" s="1329">
        <f>Crushing!N114</f>
        <v>19.655999999999999</v>
      </c>
      <c r="D59" s="401">
        <f t="shared" si="15"/>
        <v>6208.5130199999994</v>
      </c>
      <c r="E59" s="1331"/>
      <c r="F59" s="1332"/>
      <c r="G59" s="1329"/>
      <c r="H59" s="1333"/>
      <c r="I59" s="75"/>
      <c r="J59" s="1329"/>
      <c r="K59" s="1334"/>
      <c r="L59" s="1335"/>
      <c r="M59" s="1335"/>
      <c r="N59" s="1335"/>
      <c r="O59" s="1332"/>
      <c r="P59" s="1332"/>
      <c r="Q59" s="402"/>
      <c r="R59" s="402"/>
      <c r="S59" s="402"/>
      <c r="T59" s="404"/>
      <c r="U59" s="1336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6">
        <v>46301</v>
      </c>
      <c r="C60" s="1329">
        <f>Crushing!N116</f>
        <v>94.77</v>
      </c>
      <c r="D60" s="401">
        <f t="shared" si="15"/>
        <v>6303.2830199999999</v>
      </c>
      <c r="E60" s="1331"/>
      <c r="F60" s="1332"/>
      <c r="G60" s="1329"/>
      <c r="H60" s="1333"/>
      <c r="I60" s="75"/>
      <c r="J60" s="1329"/>
      <c r="K60" s="1334"/>
      <c r="L60" s="1335"/>
      <c r="M60" s="1335"/>
      <c r="N60" s="1335"/>
      <c r="O60" s="1332"/>
      <c r="P60" s="1332"/>
      <c r="Q60" s="402"/>
      <c r="R60" s="402"/>
      <c r="S60" s="402"/>
      <c r="T60" s="404"/>
      <c r="U60" s="1336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6">
        <v>46302</v>
      </c>
      <c r="C61" s="1329">
        <f>Crushing!N118</f>
        <v>192.62879999999998</v>
      </c>
      <c r="D61" s="401">
        <f t="shared" si="15"/>
        <v>6495.9118200000003</v>
      </c>
      <c r="E61" s="1331"/>
      <c r="F61" s="1332"/>
      <c r="G61" s="1329"/>
      <c r="H61" s="1333"/>
      <c r="I61" s="75"/>
      <c r="J61" s="1329"/>
      <c r="K61" s="1334"/>
      <c r="L61" s="1335"/>
      <c r="M61" s="1335"/>
      <c r="N61" s="1335"/>
      <c r="O61" s="1332"/>
      <c r="P61" s="1332"/>
      <c r="Q61" s="402"/>
      <c r="R61" s="402"/>
      <c r="S61" s="402"/>
      <c r="T61" s="404"/>
      <c r="U61" s="1336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6">
        <v>46303</v>
      </c>
      <c r="C62" s="1329">
        <f>Crushing!N120</f>
        <v>450.49095</v>
      </c>
      <c r="D62" s="401">
        <f t="shared" si="15"/>
        <v>6946.4027700000006</v>
      </c>
      <c r="E62" s="1331"/>
      <c r="F62" s="1332"/>
      <c r="G62" s="1329"/>
      <c r="H62" s="1333"/>
      <c r="I62" s="75"/>
      <c r="J62" s="1329"/>
      <c r="K62" s="1334"/>
      <c r="L62" s="1335"/>
      <c r="M62" s="1335"/>
      <c r="N62" s="1335"/>
      <c r="O62" s="1332"/>
      <c r="P62" s="1332"/>
      <c r="Q62" s="402"/>
      <c r="R62" s="402"/>
      <c r="S62" s="402"/>
      <c r="T62" s="404"/>
      <c r="U62" s="1336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6">
        <v>46304</v>
      </c>
      <c r="C63" s="1329"/>
      <c r="D63" s="401">
        <f t="shared" si="15"/>
        <v>6946.4027700000006</v>
      </c>
      <c r="E63" s="1331"/>
      <c r="F63" s="1332"/>
      <c r="G63" s="1329"/>
      <c r="H63" s="1333"/>
      <c r="I63" s="75"/>
      <c r="J63" s="1329"/>
      <c r="K63" s="1334"/>
      <c r="L63" s="1335"/>
      <c r="M63" s="1335"/>
      <c r="N63" s="1335"/>
      <c r="O63" s="1332"/>
      <c r="P63" s="1332"/>
      <c r="Q63" s="402"/>
      <c r="R63" s="402"/>
      <c r="S63" s="402"/>
      <c r="T63" s="404"/>
      <c r="U63" s="1336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6">
        <v>46305</v>
      </c>
      <c r="C64" s="1329"/>
      <c r="D64" s="401">
        <f t="shared" si="15"/>
        <v>6946.4027700000006</v>
      </c>
      <c r="E64" s="1331"/>
      <c r="F64" s="1332"/>
      <c r="G64" s="1329"/>
      <c r="H64" s="1333"/>
      <c r="I64" s="75"/>
      <c r="J64" s="1329"/>
      <c r="K64" s="1334"/>
      <c r="L64" s="1335"/>
      <c r="M64" s="1335"/>
      <c r="N64" s="1335"/>
      <c r="O64" s="1332"/>
      <c r="P64" s="1332"/>
      <c r="Q64" s="402"/>
      <c r="R64" s="402"/>
      <c r="S64" s="402"/>
      <c r="T64" s="404"/>
      <c r="U64" s="1336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6">
        <v>46306</v>
      </c>
      <c r="C65" s="1329"/>
      <c r="D65" s="401">
        <f t="shared" si="15"/>
        <v>6946.4027700000006</v>
      </c>
      <c r="E65" s="1331"/>
      <c r="F65" s="1332"/>
      <c r="G65" s="1329"/>
      <c r="H65" s="1333"/>
      <c r="I65" s="75"/>
      <c r="J65" s="1329"/>
      <c r="K65" s="1334"/>
      <c r="L65" s="1335"/>
      <c r="M65" s="1335"/>
      <c r="N65" s="1335"/>
      <c r="O65" s="1332"/>
      <c r="P65" s="1332"/>
      <c r="Q65" s="402"/>
      <c r="R65" s="402"/>
      <c r="S65" s="402"/>
      <c r="T65" s="404"/>
      <c r="U65" s="1336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6">
        <v>46307</v>
      </c>
      <c r="C66" s="1329">
        <f>Crushing!N124</f>
        <v>324.32400000000007</v>
      </c>
      <c r="D66" s="401">
        <f>D65+C66</f>
        <v>7270.7267700000011</v>
      </c>
      <c r="E66" s="1331"/>
      <c r="F66" s="1332"/>
      <c r="G66" s="1329"/>
      <c r="H66" s="1333"/>
      <c r="I66" s="75"/>
      <c r="J66" s="1329"/>
      <c r="K66" s="1334"/>
      <c r="L66" s="1335"/>
      <c r="M66" s="1335"/>
      <c r="N66" s="1335"/>
      <c r="O66" s="1332"/>
      <c r="P66" s="1332"/>
      <c r="Q66" s="402"/>
      <c r="R66" s="402"/>
      <c r="S66" s="402"/>
      <c r="T66" s="404"/>
      <c r="U66" s="1336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6">
        <v>46308</v>
      </c>
      <c r="C67" s="1329"/>
      <c r="D67" s="1330"/>
      <c r="E67" s="1331"/>
      <c r="F67" s="1332"/>
      <c r="G67" s="1329"/>
      <c r="H67" s="1333"/>
      <c r="I67" s="75"/>
      <c r="J67" s="1329"/>
      <c r="K67" s="1334"/>
      <c r="L67" s="1335"/>
      <c r="M67" s="1335"/>
      <c r="N67" s="1335"/>
      <c r="O67" s="1332"/>
      <c r="P67" s="1332"/>
      <c r="Q67" s="402"/>
      <c r="R67" s="402"/>
      <c r="S67" s="402"/>
      <c r="T67" s="404"/>
      <c r="U67" s="1336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6">
        <v>46309</v>
      </c>
      <c r="C68" s="1329"/>
      <c r="D68" s="1330"/>
      <c r="E68" s="1331"/>
      <c r="F68" s="1332"/>
      <c r="G68" s="1329"/>
      <c r="H68" s="1333"/>
      <c r="I68" s="75"/>
      <c r="J68" s="1329"/>
      <c r="K68" s="1334"/>
      <c r="L68" s="1335"/>
      <c r="M68" s="1335"/>
      <c r="N68" s="1335"/>
      <c r="O68" s="1332"/>
      <c r="P68" s="1332"/>
      <c r="Q68" s="402"/>
      <c r="R68" s="402"/>
      <c r="S68" s="402"/>
      <c r="T68" s="404"/>
      <c r="U68" s="1336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6">
        <v>46310</v>
      </c>
      <c r="C69" s="1329"/>
      <c r="D69" s="1330"/>
      <c r="E69" s="1331"/>
      <c r="F69" s="1332"/>
      <c r="G69" s="1329"/>
      <c r="H69" s="1333"/>
      <c r="I69" s="75"/>
      <c r="J69" s="1329"/>
      <c r="K69" s="1334"/>
      <c r="L69" s="1335"/>
      <c r="M69" s="1335"/>
      <c r="N69" s="1335"/>
      <c r="O69" s="1332"/>
      <c r="P69" s="1332"/>
      <c r="Q69" s="402"/>
      <c r="R69" s="402"/>
      <c r="S69" s="402"/>
      <c r="T69" s="404"/>
      <c r="U69" s="1336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6">
        <v>46311</v>
      </c>
      <c r="C70" s="1329"/>
      <c r="D70" s="1330"/>
      <c r="E70" s="1331"/>
      <c r="F70" s="1332"/>
      <c r="G70" s="1329"/>
      <c r="H70" s="1333"/>
      <c r="I70" s="75"/>
      <c r="J70" s="1329"/>
      <c r="K70" s="1334"/>
      <c r="L70" s="1335"/>
      <c r="M70" s="1335"/>
      <c r="N70" s="1335"/>
      <c r="O70" s="1332"/>
      <c r="P70" s="1332"/>
      <c r="Q70" s="402"/>
      <c r="R70" s="402"/>
      <c r="S70" s="402"/>
      <c r="T70" s="404"/>
      <c r="U70" s="1336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6">
        <v>46312</v>
      </c>
      <c r="C71" s="1329"/>
      <c r="D71" s="1330"/>
      <c r="E71" s="1331"/>
      <c r="F71" s="1332"/>
      <c r="G71" s="1329"/>
      <c r="H71" s="1333"/>
      <c r="I71" s="75"/>
      <c r="J71" s="1329"/>
      <c r="K71" s="1334"/>
      <c r="L71" s="1335"/>
      <c r="M71" s="1335"/>
      <c r="N71" s="1335"/>
      <c r="O71" s="1332"/>
      <c r="P71" s="1332"/>
      <c r="Q71" s="402"/>
      <c r="R71" s="402"/>
      <c r="S71" s="402"/>
      <c r="T71" s="404"/>
      <c r="U71" s="1336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6">
        <v>46313</v>
      </c>
      <c r="C72" s="1329"/>
      <c r="D72" s="1330"/>
      <c r="E72" s="1331"/>
      <c r="F72" s="1332"/>
      <c r="G72" s="1329"/>
      <c r="H72" s="1333"/>
      <c r="I72" s="75"/>
      <c r="J72" s="1329"/>
      <c r="K72" s="1334"/>
      <c r="L72" s="1335"/>
      <c r="M72" s="1335"/>
      <c r="N72" s="1335"/>
      <c r="O72" s="1332"/>
      <c r="P72" s="1332"/>
      <c r="Q72" s="402"/>
      <c r="R72" s="402"/>
      <c r="S72" s="402"/>
      <c r="T72" s="404"/>
      <c r="U72" s="1336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6">
        <v>46314</v>
      </c>
      <c r="C73" s="1329"/>
      <c r="D73" s="1330"/>
      <c r="E73" s="1331"/>
      <c r="F73" s="1332"/>
      <c r="G73" s="1329"/>
      <c r="H73" s="1333"/>
      <c r="I73" s="75"/>
      <c r="J73" s="1329"/>
      <c r="K73" s="1334"/>
      <c r="L73" s="1335"/>
      <c r="M73" s="1335"/>
      <c r="N73" s="1335"/>
      <c r="O73" s="1332"/>
      <c r="P73" s="1332"/>
      <c r="Q73" s="402"/>
      <c r="R73" s="402"/>
      <c r="S73" s="402"/>
      <c r="T73" s="404"/>
      <c r="U73" s="1336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6">
        <v>46315</v>
      </c>
      <c r="C74" s="1329"/>
      <c r="D74" s="1330"/>
      <c r="E74" s="1331"/>
      <c r="F74" s="1332"/>
      <c r="G74" s="1329"/>
      <c r="H74" s="1333"/>
      <c r="I74" s="75"/>
      <c r="J74" s="1329"/>
      <c r="K74" s="1334"/>
      <c r="L74" s="1335"/>
      <c r="M74" s="1335"/>
      <c r="N74" s="1335"/>
      <c r="O74" s="1332"/>
      <c r="P74" s="1332"/>
      <c r="Q74" s="402"/>
      <c r="R74" s="402"/>
      <c r="S74" s="402"/>
      <c r="T74" s="404"/>
      <c r="U74" s="1336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6">
        <v>46316</v>
      </c>
      <c r="C75" s="1329"/>
      <c r="D75" s="1330"/>
      <c r="E75" s="1331"/>
      <c r="F75" s="1332"/>
      <c r="G75" s="1329"/>
      <c r="H75" s="1333"/>
      <c r="I75" s="75"/>
      <c r="J75" s="1329"/>
      <c r="K75" s="1334"/>
      <c r="L75" s="1335"/>
      <c r="M75" s="1335"/>
      <c r="N75" s="1335"/>
      <c r="O75" s="1332"/>
      <c r="P75" s="1332"/>
      <c r="Q75" s="402"/>
      <c r="R75" s="402"/>
      <c r="S75" s="402"/>
      <c r="T75" s="404"/>
      <c r="U75" s="1336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39">
        <f>SUM(C7:C49)</f>
        <v>5182.1435200000005</v>
      </c>
      <c r="D76" s="1040"/>
      <c r="E76" s="1040"/>
      <c r="F76" s="1040"/>
      <c r="G76" s="1039">
        <f>SUM(G7:G49)</f>
        <v>3692.870629488591</v>
      </c>
      <c r="H76" s="1041">
        <f>SUM(H7:H37)</f>
        <v>2.3887301624121209</v>
      </c>
      <c r="I76" s="416">
        <f>'Crushing Down Time Hours'!L45</f>
        <v>0</v>
      </c>
      <c r="J76" s="1039"/>
      <c r="K76" s="1042"/>
      <c r="L76" s="1043"/>
      <c r="M76" s="1043"/>
      <c r="N76" s="1042"/>
      <c r="O76" s="1043">
        <f t="shared" ref="O76:Y76" si="16">SUM(O7:O36)</f>
        <v>0</v>
      </c>
      <c r="P76" s="1043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602" t="s">
        <v>203</v>
      </c>
      <c r="X80" s="1602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1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1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602" t="s">
        <v>205</v>
      </c>
      <c r="X86" s="1602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80" activePane="bottomRight" state="frozen"/>
      <selection pane="topRight" activeCell="B1" sqref="B1"/>
      <selection pane="bottomLeft" activeCell="A2" sqref="A2"/>
      <selection pane="bottomRight" activeCell="D89" sqref="D8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614" t="s">
        <v>278</v>
      </c>
      <c r="C1" s="1614"/>
      <c r="D1" s="1614"/>
      <c r="E1" s="1614"/>
      <c r="F1" s="1614"/>
      <c r="G1" s="1614"/>
      <c r="H1" s="1614"/>
      <c r="I1" s="1614"/>
      <c r="J1" s="1614"/>
      <c r="K1" s="1614"/>
      <c r="L1" s="1614"/>
      <c r="M1" s="1614"/>
      <c r="N1" s="1614"/>
      <c r="O1" s="1614"/>
      <c r="P1" s="1614"/>
      <c r="Q1" s="1614"/>
      <c r="R1" s="1614"/>
      <c r="S1" s="1614"/>
    </row>
    <row r="2" spans="1:42" ht="18" x14ac:dyDescent="0.35">
      <c r="B2" s="1614" t="s">
        <v>279</v>
      </c>
      <c r="C2" s="1614"/>
      <c r="D2" s="1614"/>
      <c r="E2" s="1614"/>
      <c r="F2" s="1614"/>
      <c r="G2" s="1614"/>
      <c r="H2" s="1614"/>
      <c r="I2" s="1614"/>
      <c r="J2" s="1614"/>
      <c r="K2" s="1614"/>
      <c r="L2" s="1614"/>
      <c r="M2" s="1614"/>
      <c r="N2" s="1614"/>
      <c r="O2" s="1614"/>
      <c r="P2" s="1614"/>
      <c r="Q2" s="1614"/>
      <c r="R2" s="1614"/>
      <c r="S2" s="1614"/>
    </row>
    <row r="3" spans="1:42" ht="18" x14ac:dyDescent="0.35">
      <c r="B3" s="1614" t="s">
        <v>280</v>
      </c>
      <c r="C3" s="1614"/>
      <c r="D3" s="1614"/>
      <c r="E3" s="1614"/>
      <c r="F3" s="1614"/>
      <c r="G3" s="1614"/>
      <c r="H3" s="1614"/>
      <c r="I3" s="1614"/>
      <c r="J3" s="1614"/>
      <c r="K3" s="1614"/>
      <c r="L3" s="1614"/>
      <c r="M3" s="1614"/>
      <c r="N3" s="1614"/>
      <c r="O3" s="1614"/>
      <c r="P3" s="1614"/>
      <c r="Q3" s="1614"/>
      <c r="R3" s="1614"/>
      <c r="S3" s="1614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615"/>
      <c r="C5" s="1616"/>
      <c r="D5" s="1615" t="s">
        <v>24</v>
      </c>
      <c r="E5" s="1617"/>
      <c r="F5" s="1616"/>
      <c r="G5" s="1615" t="s">
        <v>25</v>
      </c>
      <c r="H5" s="1617"/>
      <c r="I5" s="1616"/>
      <c r="J5" s="1615" t="s">
        <v>318</v>
      </c>
      <c r="K5" s="1616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618" t="s">
        <v>162</v>
      </c>
      <c r="Y6" s="1618"/>
      <c r="Z6" s="1618"/>
      <c r="AA6" s="1618"/>
      <c r="AB6" s="1618"/>
      <c r="AC6" s="1618"/>
      <c r="AD6" s="1619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3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12850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0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620" t="s">
        <v>331</v>
      </c>
      <c r="Y10" s="1621"/>
      <c r="Z10" s="1621"/>
      <c r="AA10" s="1621"/>
      <c r="AB10" s="1621"/>
      <c r="AC10" s="1621"/>
      <c r="AD10" s="1622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1.4174516300047992</v>
      </c>
      <c r="Y11" s="123">
        <f>Y8/'Au Cal Leaching Tank'!$N$61</f>
        <v>0.45777620735563551</v>
      </c>
      <c r="Z11" s="123">
        <f>Z8/'Au Cal Leaching Tank'!$N$61</f>
        <v>0.5515375992236573</v>
      </c>
      <c r="AA11" s="123">
        <f>AA8/'Au Cal Leaching Tank'!$N$61</f>
        <v>5.7359910319260354E-2</v>
      </c>
      <c r="AB11" s="123">
        <f>AB8/'Au Cal Leaching Tank'!$N$61</f>
        <v>2.4819191965064578E-2</v>
      </c>
      <c r="AC11" s="123">
        <f>(AC8*30)/'Au Cal Leaching Tank'!$N$61</f>
        <v>2.3164579167393607E-2</v>
      </c>
      <c r="AD11" s="1191">
        <f>AD8/'Au Cal Leaching Tank'!$N$61</f>
        <v>7.1699887899075443E-3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592" t="s">
        <v>576</v>
      </c>
      <c r="Y20" s="1592"/>
      <c r="Z20" s="1592"/>
      <c r="AA20" s="1592"/>
      <c r="AB20" s="1592"/>
      <c r="AC20" s="1592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609" t="s">
        <v>575</v>
      </c>
      <c r="Y24" s="1609"/>
      <c r="Z24" s="1609"/>
      <c r="AA24" s="1609"/>
      <c r="AB24" s="1609"/>
      <c r="AC24" s="1609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873800000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610" t="s">
        <v>575</v>
      </c>
      <c r="Y27" s="1611"/>
      <c r="Z27" s="1612">
        <f>SUM(X26:AC26)</f>
        <v>1128395000</v>
      </c>
      <c r="AA27" s="1611"/>
      <c r="AB27" s="1611"/>
      <c r="AC27" s="1613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0.7743742217929005</v>
      </c>
      <c r="Y28" s="684">
        <f t="shared" ref="Y28:AC28" si="10">Y26/$Z$27</f>
        <v>8.4589173117569638E-3</v>
      </c>
      <c r="Z28" s="684">
        <f t="shared" si="10"/>
        <v>0.19496718790848949</v>
      </c>
      <c r="AA28" s="684">
        <f t="shared" si="10"/>
        <v>1.3824946051692891E-2</v>
      </c>
      <c r="AB28" s="684">
        <f t="shared" si="10"/>
        <v>5.5831512901067448E-3</v>
      </c>
      <c r="AC28" s="685">
        <f t="shared" si="10"/>
        <v>2.7915756450533724E-3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0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6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6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6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6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3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3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4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4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0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5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69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69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69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350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275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8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350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12850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>
        <v>350</v>
      </c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 t="s">
        <v>1007</v>
      </c>
      <c r="C87" s="18"/>
      <c r="D87" s="120">
        <v>275</v>
      </c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 t="s">
        <v>1007</v>
      </c>
      <c r="C88" s="18"/>
      <c r="D88" s="120">
        <v>350</v>
      </c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42" zoomScaleNormal="44" zoomScaleSheetLayoutView="42" workbookViewId="0">
      <pane ySplit="5" topLeftCell="A97" activePane="bottomLeft" state="frozen"/>
      <selection pane="bottomLeft" activeCell="T116" sqref="T11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16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635" t="s">
        <v>663</v>
      </c>
      <c r="C4" s="1636"/>
      <c r="D4" s="1636"/>
      <c r="E4" s="1636"/>
      <c r="F4" s="1636"/>
      <c r="G4" s="1636"/>
      <c r="H4" s="1636"/>
      <c r="I4" s="1636"/>
      <c r="J4" s="1636"/>
      <c r="K4" s="1636"/>
      <c r="L4" s="1636"/>
      <c r="M4" s="1636"/>
      <c r="N4" s="1636"/>
      <c r="O4" s="1637"/>
    </row>
    <row r="5" spans="2:27" ht="75.599999999999994" customHeight="1" thickBot="1" x14ac:dyDescent="0.35">
      <c r="B5" s="1649" t="s">
        <v>0</v>
      </c>
      <c r="C5" s="1650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615" t="s">
        <v>11</v>
      </c>
      <c r="T5" s="1616"/>
      <c r="W5" s="1592" t="s">
        <v>18</v>
      </c>
      <c r="X5" s="1592"/>
      <c r="Y5" s="1592"/>
      <c r="Z5" s="1592"/>
      <c r="AA5" s="1592"/>
    </row>
    <row r="6" spans="2:27" ht="13.95" customHeight="1" thickBot="1" x14ac:dyDescent="0.4">
      <c r="B6" s="1627">
        <v>46174</v>
      </c>
      <c r="C6" s="1628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651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629"/>
      <c r="C7" s="1630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652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641">
        <v>46175</v>
      </c>
      <c r="C8" s="1642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645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643"/>
      <c r="C9" s="1644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646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627">
        <v>46176</v>
      </c>
      <c r="C10" s="1628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638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629"/>
      <c r="C11" s="1630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639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641">
        <v>46177</v>
      </c>
      <c r="C12" s="1642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645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643"/>
      <c r="C13" s="1644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646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627">
        <v>46252</v>
      </c>
      <c r="C14" s="1628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638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629"/>
      <c r="C15" s="1630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639"/>
      <c r="O15" s="284"/>
    </row>
    <row r="16" spans="2:27" ht="18.600000000000001" thickBot="1" x14ac:dyDescent="0.4">
      <c r="B16" s="1641">
        <v>46253</v>
      </c>
      <c r="C16" s="1642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645">
        <f>SUM(L16:L17)</f>
        <v>339.80495999999999</v>
      </c>
      <c r="O16" s="346" t="s">
        <v>405</v>
      </c>
    </row>
    <row r="17" spans="2:23" ht="18.600000000000001" thickBot="1" x14ac:dyDescent="0.4">
      <c r="B17" s="1643"/>
      <c r="C17" s="1644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646"/>
      <c r="O17" s="346" t="s">
        <v>384</v>
      </c>
    </row>
    <row r="18" spans="2:23" ht="18.600000000000001" thickBot="1" x14ac:dyDescent="0.4">
      <c r="B18" s="1627">
        <v>46254</v>
      </c>
      <c r="C18" s="1628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638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629"/>
      <c r="C19" s="1630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640"/>
      <c r="O19" s="284" t="s">
        <v>406</v>
      </c>
      <c r="T19" s="109"/>
    </row>
    <row r="20" spans="2:23" ht="18.600000000000001" thickBot="1" x14ac:dyDescent="0.4">
      <c r="B20" s="1627">
        <v>46255</v>
      </c>
      <c r="C20" s="1628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638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629"/>
      <c r="C21" s="1630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640"/>
      <c r="O21" s="284"/>
      <c r="S21" s="2"/>
      <c r="T21" s="110"/>
    </row>
    <row r="22" spans="2:23" ht="18.600000000000001" thickBot="1" x14ac:dyDescent="0.4">
      <c r="B22" s="1627">
        <v>46256</v>
      </c>
      <c r="C22" s="1628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638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629"/>
      <c r="C23" s="1630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639"/>
      <c r="O23" s="284"/>
      <c r="P23" s="8"/>
      <c r="T23" s="109"/>
    </row>
    <row r="24" spans="2:23" ht="18.600000000000001" thickBot="1" x14ac:dyDescent="0.4">
      <c r="B24" s="1627">
        <v>46257</v>
      </c>
      <c r="C24" s="1628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638">
        <f>SUM(L24:L25)</f>
        <v>0</v>
      </c>
      <c r="O24" s="284"/>
    </row>
    <row r="25" spans="2:23" ht="18.600000000000001" thickBot="1" x14ac:dyDescent="0.4">
      <c r="B25" s="1629"/>
      <c r="C25" s="1630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639"/>
      <c r="O25" s="284"/>
      <c r="T25" s="3"/>
    </row>
    <row r="26" spans="2:23" ht="18.600000000000001" thickBot="1" x14ac:dyDescent="0.4">
      <c r="B26" s="1627">
        <v>46258</v>
      </c>
      <c r="C26" s="1628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638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629"/>
      <c r="C27" s="1630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639"/>
      <c r="O27" s="284"/>
    </row>
    <row r="28" spans="2:23" ht="18.600000000000001" thickBot="1" x14ac:dyDescent="0.4">
      <c r="B28" s="1627">
        <v>46259</v>
      </c>
      <c r="C28" s="1628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638">
        <f>SUM(L28:L29)</f>
        <v>0</v>
      </c>
      <c r="O28" s="284"/>
    </row>
    <row r="29" spans="2:23" ht="18.600000000000001" thickBot="1" x14ac:dyDescent="0.4">
      <c r="B29" s="1629"/>
      <c r="C29" s="1630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639"/>
      <c r="O29" s="284"/>
      <c r="P29" s="8"/>
    </row>
    <row r="30" spans="2:23" ht="18.600000000000001" thickBot="1" x14ac:dyDescent="0.4">
      <c r="B30" s="1627">
        <v>46260</v>
      </c>
      <c r="C30" s="1628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638">
        <f t="shared" ref="N30" si="13">SUM(L30:L31)</f>
        <v>0</v>
      </c>
      <c r="O30" s="284"/>
    </row>
    <row r="31" spans="2:23" ht="18.600000000000001" thickBot="1" x14ac:dyDescent="0.4">
      <c r="B31" s="1629"/>
      <c r="C31" s="1630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639"/>
      <c r="O31" s="284"/>
    </row>
    <row r="32" spans="2:23" ht="54.6" thickBot="1" x14ac:dyDescent="0.4">
      <c r="B32" s="1627">
        <v>46261</v>
      </c>
      <c r="C32" s="1628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651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629"/>
      <c r="C33" s="1630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652"/>
      <c r="O33" s="284"/>
    </row>
    <row r="34" spans="2:24" ht="18.600000000000001" thickBot="1" x14ac:dyDescent="0.4">
      <c r="B34" s="1627">
        <v>46262</v>
      </c>
      <c r="C34" s="1628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651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629"/>
      <c r="C35" s="1630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652"/>
      <c r="O35" s="284"/>
    </row>
    <row r="36" spans="2:24" ht="18.600000000000001" thickBot="1" x14ac:dyDescent="0.35">
      <c r="B36" s="1627">
        <v>46263</v>
      </c>
      <c r="C36" s="1628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651">
        <f>SUM(L36:L37)</f>
        <v>288.52199999999999</v>
      </c>
      <c r="O36" s="1653" t="str">
        <f>'Crushing Down Time Hours'!G17</f>
        <v>istirahat jam 12-13, 14:00-15:00 ada loading material dari mining</v>
      </c>
    </row>
    <row r="37" spans="2:24" ht="18.600000000000001" thickBot="1" x14ac:dyDescent="0.35">
      <c r="B37" s="1629"/>
      <c r="C37" s="1630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652"/>
      <c r="O37" s="1654"/>
    </row>
    <row r="38" spans="2:24" ht="18.600000000000001" thickBot="1" x14ac:dyDescent="0.4">
      <c r="B38" s="1627">
        <v>46264</v>
      </c>
      <c r="C38" s="1628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651">
        <f t="shared" ref="N38" si="15">SUM(L38:L39)</f>
        <v>64.583999999999989</v>
      </c>
      <c r="O38" s="284"/>
      <c r="Q38" s="4"/>
    </row>
    <row r="39" spans="2:24" ht="18.600000000000001" thickBot="1" x14ac:dyDescent="0.4">
      <c r="B39" s="1629"/>
      <c r="C39" s="1630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652"/>
      <c r="O39" s="284"/>
    </row>
    <row r="40" spans="2:24" ht="18.600000000000001" hidden="1" thickBot="1" x14ac:dyDescent="0.4">
      <c r="B40" s="1627">
        <v>46265</v>
      </c>
      <c r="C40" s="1628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638">
        <f>SUM(L40:L41)</f>
        <v>0</v>
      </c>
      <c r="O40" s="284"/>
    </row>
    <row r="41" spans="2:24" ht="18.600000000000001" hidden="1" thickBot="1" x14ac:dyDescent="0.4">
      <c r="B41" s="1629"/>
      <c r="C41" s="1630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639"/>
      <c r="O41" s="284"/>
    </row>
    <row r="42" spans="2:24" ht="18.600000000000001" hidden="1" thickBot="1" x14ac:dyDescent="0.4">
      <c r="B42" s="1627">
        <v>46266</v>
      </c>
      <c r="C42" s="1628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638">
        <f t="shared" ref="N42" si="16">SUM(L42:L43)</f>
        <v>0</v>
      </c>
      <c r="O42" s="284"/>
    </row>
    <row r="43" spans="2:24" ht="18.600000000000001" hidden="1" thickBot="1" x14ac:dyDescent="0.4">
      <c r="B43" s="1629"/>
      <c r="C43" s="1630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639"/>
      <c r="O43" s="284"/>
    </row>
    <row r="44" spans="2:24" ht="18.600000000000001" hidden="1" thickBot="1" x14ac:dyDescent="0.4">
      <c r="B44" s="1627">
        <v>46267</v>
      </c>
      <c r="C44" s="1628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638">
        <f t="shared" ref="N44" si="17">SUM(L44:L45)</f>
        <v>0</v>
      </c>
      <c r="O44" s="284"/>
    </row>
    <row r="45" spans="2:24" ht="18.600000000000001" hidden="1" thickBot="1" x14ac:dyDescent="0.4">
      <c r="B45" s="1629"/>
      <c r="C45" s="1630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639"/>
      <c r="O45" s="284"/>
    </row>
    <row r="46" spans="2:24" ht="18.600000000000001" hidden="1" thickBot="1" x14ac:dyDescent="0.4">
      <c r="B46" s="1627">
        <v>46268</v>
      </c>
      <c r="C46" s="1628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638">
        <f t="shared" ref="N46:N58" si="18">SUM(L46:L47)</f>
        <v>0</v>
      </c>
      <c r="O46" s="284"/>
    </row>
    <row r="47" spans="2:24" ht="18.600000000000001" hidden="1" thickBot="1" x14ac:dyDescent="0.4">
      <c r="B47" s="1629"/>
      <c r="C47" s="1630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639"/>
      <c r="O47" s="284"/>
    </row>
    <row r="48" spans="2:24" ht="18.600000000000001" hidden="1" thickBot="1" x14ac:dyDescent="0.4">
      <c r="B48" s="1627">
        <v>46269</v>
      </c>
      <c r="C48" s="1628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638">
        <f t="shared" si="18"/>
        <v>0</v>
      </c>
      <c r="O48" s="284"/>
    </row>
    <row r="49" spans="2:22" ht="18.600000000000001" hidden="1" thickBot="1" x14ac:dyDescent="0.4">
      <c r="B49" s="1629"/>
      <c r="C49" s="1630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639"/>
      <c r="O49" s="284"/>
    </row>
    <row r="50" spans="2:22" ht="18.600000000000001" hidden="1" thickBot="1" x14ac:dyDescent="0.4">
      <c r="B50" s="1627">
        <v>46270</v>
      </c>
      <c r="C50" s="1628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638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629"/>
      <c r="C51" s="1630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639"/>
      <c r="O51" s="284"/>
      <c r="P51" s="4"/>
    </row>
    <row r="52" spans="2:22" ht="18.600000000000001" hidden="1" thickBot="1" x14ac:dyDescent="0.4">
      <c r="B52" s="1627">
        <v>46271</v>
      </c>
      <c r="C52" s="1628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638">
        <f t="shared" si="18"/>
        <v>0</v>
      </c>
      <c r="O52" s="284"/>
    </row>
    <row r="53" spans="2:22" ht="18.600000000000001" hidden="1" thickBot="1" x14ac:dyDescent="0.4">
      <c r="B53" s="1629"/>
      <c r="C53" s="1630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639"/>
      <c r="O53" s="284"/>
      <c r="R53" s="1">
        <f>R50*4</f>
        <v>60</v>
      </c>
    </row>
    <row r="54" spans="2:22" ht="18.600000000000001" hidden="1" thickBot="1" x14ac:dyDescent="0.4">
      <c r="B54" s="1627">
        <v>46272</v>
      </c>
      <c r="C54" s="1628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638">
        <f t="shared" si="18"/>
        <v>0</v>
      </c>
      <c r="O54" s="284"/>
    </row>
    <row r="55" spans="2:22" ht="18.600000000000001" hidden="1" thickBot="1" x14ac:dyDescent="0.4">
      <c r="B55" s="1629"/>
      <c r="C55" s="1630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639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627">
        <v>46273</v>
      </c>
      <c r="C56" s="1628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638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629"/>
      <c r="C57" s="1630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639"/>
      <c r="O57" s="284"/>
      <c r="Q57" s="4"/>
      <c r="R57" s="4"/>
      <c r="S57" s="1">
        <v>1190</v>
      </c>
    </row>
    <row r="58" spans="2:22" ht="18.600000000000001" hidden="1" thickBot="1" x14ac:dyDescent="0.4">
      <c r="B58" s="1627">
        <v>46274</v>
      </c>
      <c r="C58" s="1628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638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629"/>
      <c r="C59" s="1630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639"/>
      <c r="O59" s="284"/>
      <c r="P59" s="4"/>
      <c r="S59" s="2">
        <f>(S55-S58)/S55</f>
        <v>0.10083594566353186</v>
      </c>
    </row>
    <row r="60" spans="2:22" ht="18.600000000000001" thickBot="1" x14ac:dyDescent="0.4">
      <c r="B60" s="1627">
        <v>46275</v>
      </c>
      <c r="C60" s="1628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631">
        <f>SUM(L60:L61)</f>
        <v>86.346000000000004</v>
      </c>
      <c r="O60" s="284"/>
      <c r="P60" s="8"/>
    </row>
    <row r="61" spans="2:22" ht="18.600000000000001" thickBot="1" x14ac:dyDescent="0.4">
      <c r="B61" s="1629"/>
      <c r="C61" s="1630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632"/>
      <c r="O61" s="284"/>
      <c r="P61" s="8"/>
    </row>
    <row r="62" spans="2:22" ht="18.600000000000001" thickBot="1" x14ac:dyDescent="0.4">
      <c r="B62" s="1627">
        <v>46276</v>
      </c>
      <c r="C62" s="1628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631">
        <f>SUM(L62:L63)</f>
        <v>0</v>
      </c>
      <c r="O62" s="284"/>
      <c r="P62" s="8"/>
    </row>
    <row r="63" spans="2:22" ht="18.600000000000001" thickBot="1" x14ac:dyDescent="0.4">
      <c r="B63" s="1629"/>
      <c r="C63" s="1630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632"/>
      <c r="O63" s="284"/>
      <c r="P63" s="8"/>
    </row>
    <row r="64" spans="2:22" ht="18.600000000000001" thickBot="1" x14ac:dyDescent="0.4">
      <c r="B64" s="1627">
        <v>46277</v>
      </c>
      <c r="C64" s="1628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631">
        <f>SUM(L64:L65)</f>
        <v>394.524</v>
      </c>
      <c r="O64" s="284"/>
      <c r="P64" s="8"/>
    </row>
    <row r="65" spans="2:16" ht="18.600000000000001" thickBot="1" x14ac:dyDescent="0.4">
      <c r="B65" s="1629"/>
      <c r="C65" s="1630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632"/>
      <c r="O65" s="284"/>
      <c r="P65" s="8"/>
    </row>
    <row r="66" spans="2:16" ht="18.600000000000001" thickBot="1" x14ac:dyDescent="0.4">
      <c r="B66" s="1627">
        <v>46278</v>
      </c>
      <c r="C66" s="1628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631">
        <f>SUM(L66:L67)</f>
        <v>315.19799999999998</v>
      </c>
      <c r="O66" s="284"/>
      <c r="P66" s="8"/>
    </row>
    <row r="67" spans="2:16" ht="18.600000000000001" thickBot="1" x14ac:dyDescent="0.4">
      <c r="B67" s="1629"/>
      <c r="C67" s="1630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632"/>
      <c r="O67" s="284"/>
      <c r="P67" s="8"/>
    </row>
    <row r="68" spans="2:16" ht="18.600000000000001" hidden="1" thickBot="1" x14ac:dyDescent="0.4">
      <c r="B68" s="1627">
        <v>46279</v>
      </c>
      <c r="C68" s="1628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633">
        <f t="shared" ref="N68" si="31">SUM(L68:L69)</f>
        <v>0</v>
      </c>
      <c r="O68" s="284"/>
      <c r="P68" s="8"/>
    </row>
    <row r="69" spans="2:16" ht="18.600000000000001" hidden="1" thickBot="1" x14ac:dyDescent="0.4">
      <c r="B69" s="1629"/>
      <c r="C69" s="1630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634"/>
      <c r="O69" s="284"/>
      <c r="P69" s="8"/>
    </row>
    <row r="70" spans="2:16" ht="18.600000000000001" hidden="1" thickBot="1" x14ac:dyDescent="0.4">
      <c r="B70" s="1627">
        <v>46280</v>
      </c>
      <c r="C70" s="1628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633">
        <f t="shared" ref="N70" si="32">SUM(L70:L71)</f>
        <v>0</v>
      </c>
      <c r="O70" s="284"/>
      <c r="P70" s="8"/>
    </row>
    <row r="71" spans="2:16" ht="18.600000000000001" hidden="1" thickBot="1" x14ac:dyDescent="0.4">
      <c r="B71" s="1629"/>
      <c r="C71" s="1630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634"/>
      <c r="O71" s="284"/>
      <c r="P71" s="8"/>
    </row>
    <row r="72" spans="2:16" ht="18.600000000000001" hidden="1" thickBot="1" x14ac:dyDescent="0.4">
      <c r="B72" s="1627">
        <v>46281</v>
      </c>
      <c r="C72" s="1628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633">
        <f t="shared" ref="N72" si="33">SUM(L72:L73)</f>
        <v>0</v>
      </c>
      <c r="O72" s="284"/>
      <c r="P72" s="8"/>
    </row>
    <row r="73" spans="2:16" ht="18.600000000000001" hidden="1" thickBot="1" x14ac:dyDescent="0.4">
      <c r="B73" s="1629"/>
      <c r="C73" s="1630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634"/>
      <c r="O73" s="284"/>
      <c r="P73" s="8"/>
    </row>
    <row r="74" spans="2:16" ht="18.600000000000001" hidden="1" thickBot="1" x14ac:dyDescent="0.4">
      <c r="B74" s="1627">
        <v>46282</v>
      </c>
      <c r="C74" s="1628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633">
        <f t="shared" ref="N74" si="34">SUM(L74:L75)</f>
        <v>0</v>
      </c>
      <c r="O74" s="284"/>
      <c r="P74" s="8"/>
    </row>
    <row r="75" spans="2:16" ht="18.600000000000001" hidden="1" thickBot="1" x14ac:dyDescent="0.4">
      <c r="B75" s="1629"/>
      <c r="C75" s="1630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634"/>
      <c r="O75" s="284"/>
      <c r="P75" s="8"/>
    </row>
    <row r="76" spans="2:16" ht="18.600000000000001" thickBot="1" x14ac:dyDescent="0.4">
      <c r="B76" s="1627">
        <v>46283</v>
      </c>
      <c r="C76" s="1628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633">
        <f>SUM(L76:L77)</f>
        <v>241.488</v>
      </c>
      <c r="O76" s="284" t="s">
        <v>637</v>
      </c>
      <c r="P76" s="8"/>
    </row>
    <row r="77" spans="2:16" ht="18.600000000000001" thickBot="1" x14ac:dyDescent="0.4">
      <c r="B77" s="1629"/>
      <c r="C77" s="1630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999">
        <f t="shared" si="29"/>
        <v>241.488</v>
      </c>
      <c r="M77" s="1000">
        <f t="shared" ref="M77:M80" si="36">IFERROR((K77/12),"")</f>
        <v>23.400000000000002</v>
      </c>
      <c r="N77" s="1634"/>
      <c r="O77" s="284" t="s">
        <v>638</v>
      </c>
      <c r="P77" s="8"/>
    </row>
    <row r="78" spans="2:16" ht="18" x14ac:dyDescent="0.35">
      <c r="B78" s="1627">
        <v>46284</v>
      </c>
      <c r="C78" s="1628"/>
      <c r="D78" s="981" t="s">
        <v>12</v>
      </c>
      <c r="E78" s="1001" t="s">
        <v>169</v>
      </c>
      <c r="F78" s="1002">
        <v>178</v>
      </c>
      <c r="G78" s="1003" t="s">
        <v>14</v>
      </c>
      <c r="H78" s="1004">
        <v>0.13</v>
      </c>
      <c r="I78" s="1005">
        <f t="shared" si="4"/>
        <v>0.7</v>
      </c>
      <c r="J78" s="1006">
        <v>1.3</v>
      </c>
      <c r="K78" s="1007">
        <f t="shared" si="35"/>
        <v>161.97999999999999</v>
      </c>
      <c r="L78" s="1008">
        <f t="shared" ref="L78:L80" si="37">IFERROR(((F78*I78)*J78)*(1-H78),"")</f>
        <v>140.92259999999999</v>
      </c>
      <c r="M78" s="1009">
        <f t="shared" si="36"/>
        <v>13.498333333333333</v>
      </c>
      <c r="N78" s="1631">
        <f>SUM(L78:L80)</f>
        <v>353.78460000000001</v>
      </c>
      <c r="O78" s="284" t="s">
        <v>637</v>
      </c>
      <c r="P78" s="8"/>
    </row>
    <row r="79" spans="2:16" ht="18" x14ac:dyDescent="0.35">
      <c r="B79" s="1647"/>
      <c r="C79" s="1648"/>
      <c r="D79" s="1012" t="s">
        <v>12</v>
      </c>
      <c r="E79" s="1013" t="s">
        <v>169</v>
      </c>
      <c r="F79" s="1014">
        <v>10</v>
      </c>
      <c r="G79" s="1015" t="s">
        <v>15</v>
      </c>
      <c r="H79" s="1016">
        <v>9.1999999999999998E-2</v>
      </c>
      <c r="I79" s="1017">
        <f t="shared" ref="I79" si="38">IFERROR((VLOOKUP(G79,S$6:T$8,2,FALSE)),"")</f>
        <v>3</v>
      </c>
      <c r="J79" s="1018">
        <v>1.3</v>
      </c>
      <c r="K79" s="1019">
        <f t="shared" ref="K79" si="39">IFERROR((F79*I79*J79),"")</f>
        <v>39</v>
      </c>
      <c r="L79" s="1019">
        <f t="shared" ref="L79" si="40">IFERROR(((F79*I79)*J79)*(1-H79),"")</f>
        <v>35.411999999999999</v>
      </c>
      <c r="M79" s="1019">
        <f t="shared" ref="M79" si="41">IFERROR((K79/12),"")</f>
        <v>3.25</v>
      </c>
      <c r="N79" s="1631"/>
      <c r="O79" s="284"/>
      <c r="P79" s="8"/>
    </row>
    <row r="80" spans="2:16" ht="18.600000000000001" thickBot="1" x14ac:dyDescent="0.4">
      <c r="B80" s="1629"/>
      <c r="C80" s="1630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59">
        <v>1.3</v>
      </c>
      <c r="K80" s="305">
        <f t="shared" si="35"/>
        <v>195</v>
      </c>
      <c r="L80" s="1060">
        <f t="shared" si="37"/>
        <v>177.45000000000002</v>
      </c>
      <c r="M80" s="1061">
        <f t="shared" si="36"/>
        <v>16.25</v>
      </c>
      <c r="N80" s="1632"/>
      <c r="O80" s="284"/>
      <c r="P80" s="8"/>
    </row>
    <row r="81" spans="2:16" ht="18.600000000000001" thickBot="1" x14ac:dyDescent="0.4">
      <c r="B81" s="1627">
        <v>46285</v>
      </c>
      <c r="C81" s="1628"/>
      <c r="D81" s="1012" t="s">
        <v>12</v>
      </c>
      <c r="E81" s="311" t="s">
        <v>169</v>
      </c>
      <c r="F81" s="312">
        <v>50</v>
      </c>
      <c r="G81" s="1015" t="s">
        <v>14</v>
      </c>
      <c r="H81" s="1016">
        <v>0.1</v>
      </c>
      <c r="I81" s="1017">
        <f t="shared" si="4"/>
        <v>0.7</v>
      </c>
      <c r="J81" s="1018">
        <v>1.3</v>
      </c>
      <c r="K81" s="1019">
        <f t="shared" ref="K81:K85" si="42">IFERROR((F81*I81*J81),"")</f>
        <v>45.5</v>
      </c>
      <c r="L81" s="1065">
        <f t="shared" ref="L81:L85" si="43">IFERROR(((F81*I81)*J81)*(1-H81),"")</f>
        <v>40.950000000000003</v>
      </c>
      <c r="M81" s="1065">
        <f t="shared" ref="M81:M85" si="44">IFERROR((K81/12),"")</f>
        <v>3.7916666666666665</v>
      </c>
      <c r="N81" s="1631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647"/>
      <c r="C82" s="1648"/>
      <c r="D82" s="1012" t="s">
        <v>12</v>
      </c>
      <c r="E82" s="286" t="s">
        <v>169</v>
      </c>
      <c r="F82" s="287">
        <v>20</v>
      </c>
      <c r="G82" s="1015" t="s">
        <v>426</v>
      </c>
      <c r="H82" s="1016">
        <v>0.1</v>
      </c>
      <c r="I82" s="1017">
        <f t="shared" si="4"/>
        <v>0.6</v>
      </c>
      <c r="J82" s="1018">
        <v>1.3</v>
      </c>
      <c r="K82" s="1019">
        <f t="shared" si="42"/>
        <v>15.600000000000001</v>
      </c>
      <c r="L82" s="1065">
        <f t="shared" si="43"/>
        <v>14.040000000000001</v>
      </c>
      <c r="M82" s="1065">
        <f t="shared" si="44"/>
        <v>1.3</v>
      </c>
      <c r="N82" s="1631"/>
      <c r="O82" s="284"/>
      <c r="P82" s="8"/>
    </row>
    <row r="83" spans="2:16" ht="18.600000000000001" thickBot="1" x14ac:dyDescent="0.4">
      <c r="B83" s="1629"/>
      <c r="C83" s="1630"/>
      <c r="D83" s="1012" t="s">
        <v>13</v>
      </c>
      <c r="E83" s="297" t="s">
        <v>551</v>
      </c>
      <c r="F83" s="290">
        <v>190</v>
      </c>
      <c r="G83" s="1015" t="s">
        <v>14</v>
      </c>
      <c r="H83" s="1016">
        <v>0.09</v>
      </c>
      <c r="I83" s="1017">
        <f t="shared" si="4"/>
        <v>0.7</v>
      </c>
      <c r="J83" s="1018">
        <v>1.3</v>
      </c>
      <c r="K83" s="1019">
        <f t="shared" si="42"/>
        <v>172.9</v>
      </c>
      <c r="L83" s="1065">
        <f t="shared" si="43"/>
        <v>157.339</v>
      </c>
      <c r="M83" s="1065">
        <f t="shared" si="44"/>
        <v>14.408333333333333</v>
      </c>
      <c r="N83" s="1632"/>
      <c r="O83" s="284"/>
      <c r="P83" s="8"/>
    </row>
    <row r="84" spans="2:16" ht="18.600000000000001" thickBot="1" x14ac:dyDescent="0.4">
      <c r="B84" s="1627">
        <v>46286</v>
      </c>
      <c r="C84" s="1628"/>
      <c r="D84" s="1066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0">
        <f t="shared" si="4"/>
        <v>0.7</v>
      </c>
      <c r="J84" s="1011">
        <v>1.3</v>
      </c>
      <c r="K84" s="1062">
        <f t="shared" si="42"/>
        <v>273</v>
      </c>
      <c r="L84" s="1063">
        <f t="shared" si="43"/>
        <v>248.43</v>
      </c>
      <c r="M84" s="1064">
        <f t="shared" si="44"/>
        <v>22.75</v>
      </c>
      <c r="N84" s="1633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629"/>
      <c r="C85" s="1630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634"/>
      <c r="O85" s="284"/>
      <c r="P85" s="8"/>
    </row>
    <row r="86" spans="2:16" ht="18.600000000000001" thickBot="1" x14ac:dyDescent="0.4">
      <c r="B86" s="1627">
        <v>46287</v>
      </c>
      <c r="C86" s="1628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633">
        <f t="shared" ref="N86" si="50">SUM(L86:L87)</f>
        <v>133.38000000000002</v>
      </c>
      <c r="O86" s="284"/>
      <c r="P86" s="8"/>
    </row>
    <row r="87" spans="2:16" ht="18.600000000000001" thickBot="1" x14ac:dyDescent="0.4">
      <c r="B87" s="1629"/>
      <c r="C87" s="1630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634"/>
      <c r="O87" s="284"/>
      <c r="P87" s="8"/>
    </row>
    <row r="88" spans="2:16" ht="18.600000000000001" thickBot="1" x14ac:dyDescent="0.4">
      <c r="B88" s="1627">
        <v>46288</v>
      </c>
      <c r="C88" s="1628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633">
        <f>SUM(L88:L89)</f>
        <v>402.63600000000008</v>
      </c>
      <c r="O88" s="284"/>
      <c r="P88" s="8"/>
    </row>
    <row r="89" spans="2:16" ht="18.600000000000001" thickBot="1" x14ac:dyDescent="0.4">
      <c r="B89" s="1629"/>
      <c r="C89" s="1630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634"/>
      <c r="O89" s="284"/>
      <c r="P89" s="8"/>
    </row>
    <row r="90" spans="2:16" ht="18.600000000000001" thickBot="1" x14ac:dyDescent="0.4">
      <c r="B90" s="1627">
        <v>46289</v>
      </c>
      <c r="C90" s="1628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633">
        <f t="shared" ref="N90" si="59">SUM(L90:L91)</f>
        <v>219.92100000000002</v>
      </c>
      <c r="O90" s="284"/>
      <c r="P90" s="8"/>
    </row>
    <row r="91" spans="2:16" ht="18.600000000000001" thickBot="1" x14ac:dyDescent="0.4">
      <c r="B91" s="1629"/>
      <c r="C91" s="1630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634"/>
      <c r="O91" s="284"/>
      <c r="P91" s="8"/>
    </row>
    <row r="92" spans="2:16" ht="18.600000000000001" thickBot="1" x14ac:dyDescent="0.4">
      <c r="B92" s="1627">
        <v>46290</v>
      </c>
      <c r="C92" s="1628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633">
        <f t="shared" ref="N92" si="64">SUM(L92:L93)</f>
        <v>217.62</v>
      </c>
      <c r="O92" s="284"/>
      <c r="P92" s="8"/>
    </row>
    <row r="93" spans="2:16" ht="18.600000000000001" thickBot="1" x14ac:dyDescent="0.4">
      <c r="B93" s="1629"/>
      <c r="C93" s="1630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634"/>
      <c r="O93" s="284"/>
      <c r="P93" s="8"/>
    </row>
    <row r="94" spans="2:16" ht="18.600000000000001" thickBot="1" x14ac:dyDescent="0.4">
      <c r="B94" s="1627">
        <v>46291</v>
      </c>
      <c r="C94" s="1628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633">
        <f t="shared" ref="N94" si="69">SUM(L94:L95)</f>
        <v>253.77300000000002</v>
      </c>
      <c r="O94" s="284"/>
      <c r="P94" s="8"/>
    </row>
    <row r="95" spans="2:16" ht="18.600000000000001" thickBot="1" x14ac:dyDescent="0.4">
      <c r="B95" s="1629"/>
      <c r="C95" s="1630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634"/>
      <c r="O95" s="284"/>
      <c r="P95" s="8"/>
    </row>
    <row r="96" spans="2:16" ht="18.600000000000001" thickBot="1" x14ac:dyDescent="0.4">
      <c r="B96" s="1627">
        <v>46292</v>
      </c>
      <c r="C96" s="1628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633">
        <f t="shared" ref="N96" si="70">SUM(L96:L97)</f>
        <v>0</v>
      </c>
      <c r="O96" s="284"/>
      <c r="P96" s="8"/>
    </row>
    <row r="97" spans="2:16" ht="18.600000000000001" thickBot="1" x14ac:dyDescent="0.4">
      <c r="B97" s="1629"/>
      <c r="C97" s="1630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634"/>
      <c r="O97" s="284"/>
      <c r="P97" s="8"/>
    </row>
    <row r="98" spans="2:16" ht="18.600000000000001" thickBot="1" x14ac:dyDescent="0.4">
      <c r="B98" s="1627">
        <v>46293</v>
      </c>
      <c r="C98" s="1628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633">
        <f t="shared" ref="N98" si="75">SUM(L98:L99)</f>
        <v>182.988</v>
      </c>
      <c r="O98" s="284"/>
      <c r="P98" s="8"/>
    </row>
    <row r="99" spans="2:16" ht="18.600000000000001" thickBot="1" x14ac:dyDescent="0.4">
      <c r="B99" s="1629"/>
      <c r="C99" s="1630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634"/>
      <c r="O99" s="284"/>
      <c r="P99" s="8"/>
    </row>
    <row r="100" spans="2:16" ht="18.600000000000001" thickBot="1" x14ac:dyDescent="0.4">
      <c r="B100" s="1627">
        <v>46294</v>
      </c>
      <c r="C100" s="1628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633">
        <f t="shared" ref="N100" si="76">SUM(L100:L101)</f>
        <v>0</v>
      </c>
      <c r="O100" s="284"/>
      <c r="P100" s="8"/>
    </row>
    <row r="101" spans="2:16" ht="18.600000000000001" thickBot="1" x14ac:dyDescent="0.4">
      <c r="B101" s="1629"/>
      <c r="C101" s="1630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634"/>
      <c r="O101" s="284"/>
      <c r="P101" s="8"/>
    </row>
    <row r="102" spans="2:16" ht="18.600000000000001" thickBot="1" x14ac:dyDescent="0.4">
      <c r="B102" s="1627">
        <v>46295</v>
      </c>
      <c r="C102" s="1628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633">
        <f>SUM(L102:L103)</f>
        <v>121.485</v>
      </c>
      <c r="O102" s="284"/>
      <c r="P102" s="8"/>
    </row>
    <row r="103" spans="2:16" ht="18.600000000000001" thickBot="1" x14ac:dyDescent="0.4">
      <c r="B103" s="1629"/>
      <c r="C103" s="1630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660"/>
      <c r="O103" s="284"/>
      <c r="P103" s="8"/>
    </row>
    <row r="104" spans="2:16" ht="18.600000000000001" thickBot="1" x14ac:dyDescent="0.4">
      <c r="B104" s="1627">
        <v>46296</v>
      </c>
      <c r="C104" s="1628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633">
        <f>SUM(L104:L105)</f>
        <v>295.03500000000003</v>
      </c>
      <c r="O104" s="284"/>
      <c r="P104" s="8"/>
    </row>
    <row r="105" spans="2:16" ht="18" x14ac:dyDescent="0.35">
      <c r="B105" s="1647"/>
      <c r="C105" s="1648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5">
        <f t="shared" si="77"/>
        <v>3</v>
      </c>
      <c r="J105" s="1006">
        <v>1.3</v>
      </c>
      <c r="K105" s="305">
        <f t="shared" si="78"/>
        <v>78</v>
      </c>
      <c r="L105" s="306">
        <f t="shared" si="79"/>
        <v>69.42</v>
      </c>
      <c r="M105" s="1182">
        <f t="shared" si="80"/>
        <v>6.5</v>
      </c>
      <c r="N105" s="1659"/>
      <c r="O105" s="284"/>
      <c r="P105" s="8"/>
    </row>
    <row r="106" spans="2:16" ht="18" x14ac:dyDescent="0.35">
      <c r="B106" s="1655">
        <v>46297</v>
      </c>
      <c r="C106" s="1655"/>
      <c r="D106" s="1012" t="s">
        <v>12</v>
      </c>
      <c r="E106" s="1013" t="s">
        <v>169</v>
      </c>
      <c r="F106" s="1014">
        <v>30</v>
      </c>
      <c r="G106" s="1015" t="s">
        <v>15</v>
      </c>
      <c r="H106" s="1016">
        <v>0.11</v>
      </c>
      <c r="I106" s="1017">
        <f t="shared" ref="I106:I108" si="81">IFERROR((VLOOKUP(G106,S$6:T$8,2,FALSE)),"")</f>
        <v>3</v>
      </c>
      <c r="J106" s="1018">
        <v>1.3</v>
      </c>
      <c r="K106" s="1019">
        <f t="shared" ref="K106:K107" si="82">IFERROR((F106*I106*J106),"")</f>
        <v>117</v>
      </c>
      <c r="L106" s="1065">
        <f t="shared" ref="L106:L107" si="83">IFERROR(((F106*I106)*J106)*(1-H106),"")</f>
        <v>104.13</v>
      </c>
      <c r="M106" s="1065">
        <f t="shared" ref="M106:M107" si="84">IFERROR((K106/12),"")</f>
        <v>9.75</v>
      </c>
      <c r="N106" s="1658">
        <f>SUM(L106:L109)</f>
        <v>241.2345</v>
      </c>
      <c r="O106" s="284"/>
      <c r="P106" s="8"/>
    </row>
    <row r="107" spans="2:16" ht="18" x14ac:dyDescent="0.35">
      <c r="B107" s="1655"/>
      <c r="C107" s="1655"/>
      <c r="D107" s="1012" t="s">
        <v>13</v>
      </c>
      <c r="E107" s="1013" t="s">
        <v>169</v>
      </c>
      <c r="F107" s="1014">
        <v>5</v>
      </c>
      <c r="G107" s="1015" t="s">
        <v>15</v>
      </c>
      <c r="H107" s="1016">
        <v>0.11</v>
      </c>
      <c r="I107" s="1017">
        <f t="shared" si="81"/>
        <v>3</v>
      </c>
      <c r="J107" s="1018">
        <v>1.3</v>
      </c>
      <c r="K107" s="1019">
        <f t="shared" si="82"/>
        <v>19.5</v>
      </c>
      <c r="L107" s="1065">
        <f t="shared" si="83"/>
        <v>17.355</v>
      </c>
      <c r="M107" s="1065">
        <f t="shared" si="84"/>
        <v>1.625</v>
      </c>
      <c r="N107" s="1658"/>
      <c r="O107" s="284"/>
      <c r="P107" s="8"/>
    </row>
    <row r="108" spans="2:16" ht="18" x14ac:dyDescent="0.35">
      <c r="B108" s="1655"/>
      <c r="C108" s="1655"/>
      <c r="D108" s="1012" t="s">
        <v>13</v>
      </c>
      <c r="E108" s="1013" t="s">
        <v>767</v>
      </c>
      <c r="F108" s="1014">
        <v>78</v>
      </c>
      <c r="G108" s="1015" t="s">
        <v>426</v>
      </c>
      <c r="H108" s="1016">
        <v>0.11</v>
      </c>
      <c r="I108" s="1017">
        <f t="shared" si="81"/>
        <v>0.6</v>
      </c>
      <c r="J108" s="1018">
        <v>1.3</v>
      </c>
      <c r="K108" s="1019">
        <f t="shared" ref="K108" si="85">IFERROR((F108*I108*J108),"")</f>
        <v>60.839999999999996</v>
      </c>
      <c r="L108" s="1065">
        <f t="shared" ref="L108" si="86">IFERROR(((F108*I108)*J108)*(1-H108),"")</f>
        <v>54.147599999999997</v>
      </c>
      <c r="M108" s="1065">
        <f t="shared" ref="M108" si="87">IFERROR((K108/12),"")</f>
        <v>5.0699999999999994</v>
      </c>
      <c r="N108" s="1658"/>
      <c r="O108" s="284"/>
      <c r="P108" s="8"/>
    </row>
    <row r="109" spans="2:16" ht="18" x14ac:dyDescent="0.35">
      <c r="B109" s="1655"/>
      <c r="C109" s="1655"/>
      <c r="D109" s="1012" t="s">
        <v>13</v>
      </c>
      <c r="E109" s="1013" t="s">
        <v>767</v>
      </c>
      <c r="F109" s="1014">
        <v>81</v>
      </c>
      <c r="G109" s="1015" t="s">
        <v>14</v>
      </c>
      <c r="H109" s="1016">
        <v>0.11</v>
      </c>
      <c r="I109" s="1017">
        <f t="shared" ref="I109" si="88">IFERROR((VLOOKUP(G109,S$6:T$8,2,FALSE)),"")</f>
        <v>0.7</v>
      </c>
      <c r="J109" s="1018">
        <v>1.3</v>
      </c>
      <c r="K109" s="1019">
        <f t="shared" ref="K109" si="89">IFERROR((F109*I109*J109),"")</f>
        <v>73.709999999999994</v>
      </c>
      <c r="L109" s="1065">
        <f t="shared" ref="L109" si="90">IFERROR(((F109*I109)*J109)*(1-H109),"")</f>
        <v>65.601900000000001</v>
      </c>
      <c r="M109" s="1065">
        <f t="shared" ref="M109" si="91">IFERROR((K109/12),"")</f>
        <v>6.1424999999999992</v>
      </c>
      <c r="N109" s="1658"/>
      <c r="O109" s="284"/>
      <c r="P109" s="8"/>
    </row>
    <row r="110" spans="2:16" ht="18" x14ac:dyDescent="0.35">
      <c r="B110" s="1655">
        <v>46298</v>
      </c>
      <c r="C110" s="1655"/>
      <c r="D110" s="1012" t="s">
        <v>12</v>
      </c>
      <c r="E110" s="1013" t="s">
        <v>769</v>
      </c>
      <c r="F110" s="1014">
        <v>63</v>
      </c>
      <c r="G110" s="1015" t="s">
        <v>15</v>
      </c>
      <c r="H110" s="1016">
        <v>0.09</v>
      </c>
      <c r="I110" s="1017">
        <f t="shared" ref="I110" si="92">IFERROR((VLOOKUP(G110,S$6:T$8,2,FALSE)),"")</f>
        <v>3</v>
      </c>
      <c r="J110" s="1018">
        <v>1.3</v>
      </c>
      <c r="K110" s="1019">
        <f t="shared" ref="K110" si="93">IFERROR((F110*I110*J110),"")</f>
        <v>245.70000000000002</v>
      </c>
      <c r="L110" s="1065">
        <f t="shared" ref="L110" si="94">IFERROR(((F110*I110)*J110)*(1-H110),"")</f>
        <v>223.58700000000002</v>
      </c>
      <c r="M110" s="1065">
        <f t="shared" ref="M110" si="95">IFERROR((K110/12),"")</f>
        <v>20.475000000000001</v>
      </c>
      <c r="N110" s="1656">
        <f>SUM(L110:L111)</f>
        <v>464.91899999999998</v>
      </c>
      <c r="O110" s="284"/>
      <c r="P110" s="8"/>
    </row>
    <row r="111" spans="2:16" ht="18" x14ac:dyDescent="0.35">
      <c r="B111" s="1655"/>
      <c r="C111" s="1655"/>
      <c r="D111" s="1012" t="s">
        <v>13</v>
      </c>
      <c r="E111" s="1013" t="s">
        <v>770</v>
      </c>
      <c r="F111" s="1014">
        <v>68</v>
      </c>
      <c r="G111" s="1015" t="s">
        <v>15</v>
      </c>
      <c r="H111" s="1016">
        <v>0.09</v>
      </c>
      <c r="I111" s="1017">
        <f t="shared" ref="I111" si="96">IFERROR((VLOOKUP(G111,S$6:T$8,2,FALSE)),"")</f>
        <v>3</v>
      </c>
      <c r="J111" s="1018">
        <v>1.3</v>
      </c>
      <c r="K111" s="1019">
        <f t="shared" ref="K111" si="97">IFERROR((F111*I111*J111),"")</f>
        <v>265.2</v>
      </c>
      <c r="L111" s="1065">
        <f t="shared" ref="L111" si="98">IFERROR(((F111*I111)*J111)*(1-H111),"")</f>
        <v>241.33199999999999</v>
      </c>
      <c r="M111" s="1065">
        <f t="shared" ref="M111" si="99">IFERROR((K111/12),"")</f>
        <v>22.099999999999998</v>
      </c>
      <c r="N111" s="1657"/>
      <c r="O111" s="284"/>
      <c r="P111" s="8"/>
    </row>
    <row r="112" spans="2:16" ht="18" x14ac:dyDescent="0.35">
      <c r="B112" s="1655">
        <v>46299</v>
      </c>
      <c r="C112" s="1655"/>
      <c r="D112" s="1012" t="s">
        <v>12</v>
      </c>
      <c r="E112" s="1013" t="s">
        <v>771</v>
      </c>
      <c r="F112" s="1014">
        <v>17</v>
      </c>
      <c r="G112" s="1015" t="s">
        <v>15</v>
      </c>
      <c r="H112" s="1016">
        <v>0.09</v>
      </c>
      <c r="I112" s="1017">
        <f t="shared" ref="I112" si="100">IFERROR((VLOOKUP(G112,S$6:T$8,2,FALSE)),"")</f>
        <v>3</v>
      </c>
      <c r="J112" s="1018">
        <v>1.3</v>
      </c>
      <c r="K112" s="1019">
        <f t="shared" ref="K112" si="101">IFERROR((F112*I112*J112),"")</f>
        <v>66.3</v>
      </c>
      <c r="L112" s="1065">
        <f t="shared" ref="L112" si="102">IFERROR(((F112*I112)*J112)*(1-H112),"")</f>
        <v>60.332999999999998</v>
      </c>
      <c r="M112" s="1065">
        <f t="shared" ref="M112:M116" si="103">IFERROR((K112/12),"")</f>
        <v>5.5249999999999995</v>
      </c>
      <c r="N112" s="1065">
        <f>SUM(M112:M113)</f>
        <v>5.5249999999999995</v>
      </c>
      <c r="O112" s="284"/>
      <c r="P112" s="8"/>
    </row>
    <row r="113" spans="2:16" ht="18" x14ac:dyDescent="0.35">
      <c r="B113" s="1655"/>
      <c r="C113" s="1655"/>
      <c r="D113" s="1012" t="s">
        <v>13</v>
      </c>
      <c r="E113" s="1013" t="s">
        <v>770</v>
      </c>
      <c r="F113" s="1014"/>
      <c r="G113" s="1015"/>
      <c r="H113" s="1016"/>
      <c r="I113" s="1017" t="str">
        <f t="shared" ref="I113:I116" si="104">IFERROR((VLOOKUP(G113,S$6:T$8,2,FALSE)),"")</f>
        <v/>
      </c>
      <c r="J113" s="1018">
        <v>1.3</v>
      </c>
      <c r="K113" s="1019" t="str">
        <f t="shared" ref="K113:K116" si="105">IFERROR((F113*I113*J113),"")</f>
        <v/>
      </c>
      <c r="L113" s="1065" t="str">
        <f t="shared" ref="L113:L116" si="106">IFERROR(((F113*I113)*J113)*(1-H113),"")</f>
        <v/>
      </c>
      <c r="M113" s="1065" t="str">
        <f t="shared" si="103"/>
        <v/>
      </c>
      <c r="N113" s="1065"/>
      <c r="O113" s="284"/>
      <c r="P113" s="8"/>
    </row>
    <row r="114" spans="2:16" ht="18" x14ac:dyDescent="0.35">
      <c r="B114" s="1655">
        <v>46300</v>
      </c>
      <c r="C114" s="1655"/>
      <c r="D114" s="1012" t="s">
        <v>12</v>
      </c>
      <c r="E114" s="1013"/>
      <c r="F114" s="1014"/>
      <c r="G114" s="1015"/>
      <c r="H114" s="1016"/>
      <c r="I114" s="1017"/>
      <c r="J114" s="1018"/>
      <c r="K114" s="1019"/>
      <c r="L114" s="1065"/>
      <c r="M114" s="1065">
        <f t="shared" si="103"/>
        <v>0</v>
      </c>
      <c r="N114" s="1656">
        <f>SUM(L114:L115)</f>
        <v>19.655999999999999</v>
      </c>
      <c r="O114" s="1188"/>
      <c r="P114" s="8"/>
    </row>
    <row r="115" spans="2:16" ht="18" x14ac:dyDescent="0.35">
      <c r="B115" s="1655"/>
      <c r="C115" s="1655"/>
      <c r="D115" s="1012" t="s">
        <v>13</v>
      </c>
      <c r="E115" s="1013" t="s">
        <v>780</v>
      </c>
      <c r="F115" s="1014">
        <v>24</v>
      </c>
      <c r="G115" s="1015" t="s">
        <v>14</v>
      </c>
      <c r="H115" s="1016">
        <v>0.1</v>
      </c>
      <c r="I115" s="1017">
        <f t="shared" si="104"/>
        <v>0.7</v>
      </c>
      <c r="J115" s="1018">
        <v>1.3</v>
      </c>
      <c r="K115" s="1019">
        <f t="shared" si="105"/>
        <v>21.839999999999996</v>
      </c>
      <c r="L115" s="1065">
        <f t="shared" si="106"/>
        <v>19.655999999999999</v>
      </c>
      <c r="M115" s="1065">
        <f t="shared" si="103"/>
        <v>1.8199999999999996</v>
      </c>
      <c r="N115" s="1657"/>
      <c r="O115" s="1188"/>
      <c r="P115" s="8"/>
    </row>
    <row r="116" spans="2:16" ht="18" x14ac:dyDescent="0.35">
      <c r="B116" s="1655">
        <v>46301</v>
      </c>
      <c r="C116" s="1655"/>
      <c r="D116" s="1012" t="s">
        <v>12</v>
      </c>
      <c r="E116" s="1013"/>
      <c r="F116" s="1014">
        <v>27</v>
      </c>
      <c r="G116" s="1015" t="s">
        <v>15</v>
      </c>
      <c r="H116" s="1016">
        <v>0.1</v>
      </c>
      <c r="I116" s="1017">
        <f t="shared" si="104"/>
        <v>3</v>
      </c>
      <c r="J116" s="1018">
        <v>1.3</v>
      </c>
      <c r="K116" s="1019">
        <f t="shared" si="105"/>
        <v>105.3</v>
      </c>
      <c r="L116" s="1065">
        <f t="shared" si="106"/>
        <v>94.77</v>
      </c>
      <c r="M116" s="1065">
        <f t="shared" si="103"/>
        <v>8.7750000000000004</v>
      </c>
      <c r="N116" s="1656">
        <f>SUM(L116:L117)</f>
        <v>94.77</v>
      </c>
      <c r="O116" s="1188"/>
      <c r="P116" s="8"/>
    </row>
    <row r="117" spans="2:16" ht="18" x14ac:dyDescent="0.35">
      <c r="B117" s="1655"/>
      <c r="C117" s="1655"/>
      <c r="D117" s="1012" t="s">
        <v>13</v>
      </c>
      <c r="E117" s="1013"/>
      <c r="F117" s="1014"/>
      <c r="G117" s="1015"/>
      <c r="H117" s="1016"/>
      <c r="I117" s="1017" t="str">
        <f t="shared" ref="I117:I119" si="107">IFERROR((VLOOKUP(G117,S$6:T$8,2,FALSE)),"")</f>
        <v/>
      </c>
      <c r="J117" s="1018"/>
      <c r="K117" s="1019" t="str">
        <f t="shared" ref="K117:K119" si="108">IFERROR((F117*I117*J117),"")</f>
        <v/>
      </c>
      <c r="L117" s="1065" t="str">
        <f t="shared" ref="L117:L119" si="109">IFERROR(((F117*I117)*J117)*(1-H117),"")</f>
        <v/>
      </c>
      <c r="M117" s="1065" t="str">
        <f t="shared" ref="M117:M119" si="110">IFERROR((K117/12),"")</f>
        <v/>
      </c>
      <c r="N117" s="1657"/>
      <c r="O117" s="1188"/>
      <c r="P117" s="8"/>
    </row>
    <row r="118" spans="2:16" ht="18" x14ac:dyDescent="0.35">
      <c r="B118" s="1655">
        <v>46302</v>
      </c>
      <c r="C118" s="1655"/>
      <c r="D118" s="1012" t="s">
        <v>12</v>
      </c>
      <c r="E118" s="1013"/>
      <c r="F118" s="1014"/>
      <c r="G118" s="1015"/>
      <c r="H118" s="1016"/>
      <c r="I118" s="1017" t="str">
        <f t="shared" si="107"/>
        <v/>
      </c>
      <c r="J118" s="1018"/>
      <c r="K118" s="1019" t="str">
        <f t="shared" si="108"/>
        <v/>
      </c>
      <c r="L118" s="1065" t="str">
        <f t="shared" si="109"/>
        <v/>
      </c>
      <c r="M118" s="1065" t="str">
        <f t="shared" si="110"/>
        <v/>
      </c>
      <c r="N118" s="1656">
        <f>SUM(L118:L119)</f>
        <v>192.62879999999998</v>
      </c>
      <c r="O118" s="1188"/>
      <c r="P118" s="8"/>
    </row>
    <row r="119" spans="2:16" ht="18" x14ac:dyDescent="0.35">
      <c r="B119" s="1655"/>
      <c r="C119" s="1655"/>
      <c r="D119" s="1012" t="s">
        <v>13</v>
      </c>
      <c r="E119" s="1013"/>
      <c r="F119" s="1014">
        <v>224</v>
      </c>
      <c r="G119" s="1015" t="s">
        <v>14</v>
      </c>
      <c r="H119" s="1016">
        <v>0.09</v>
      </c>
      <c r="I119" s="1017">
        <f t="shared" si="107"/>
        <v>0.7</v>
      </c>
      <c r="J119" s="1018">
        <v>1.35</v>
      </c>
      <c r="K119" s="1019">
        <f t="shared" si="108"/>
        <v>211.67999999999998</v>
      </c>
      <c r="L119" s="1065">
        <f t="shared" si="109"/>
        <v>192.62879999999998</v>
      </c>
      <c r="M119" s="1065">
        <f t="shared" si="110"/>
        <v>17.639999999999997</v>
      </c>
      <c r="N119" s="1657"/>
      <c r="O119" s="1188"/>
      <c r="P119" s="8"/>
    </row>
    <row r="120" spans="2:16" ht="18" x14ac:dyDescent="0.35">
      <c r="B120" s="1655">
        <v>46303</v>
      </c>
      <c r="C120" s="1655"/>
      <c r="D120" s="1012" t="s">
        <v>12</v>
      </c>
      <c r="E120" s="1013"/>
      <c r="F120" s="1014">
        <v>181</v>
      </c>
      <c r="G120" s="1015" t="s">
        <v>14</v>
      </c>
      <c r="H120" s="1016">
        <v>0.09</v>
      </c>
      <c r="I120" s="1017">
        <f t="shared" ref="I120" si="111">IFERROR((VLOOKUP(G120,S$6:T$8,2,FALSE)),"")</f>
        <v>0.7</v>
      </c>
      <c r="J120" s="1018">
        <v>1.35</v>
      </c>
      <c r="K120" s="1019">
        <f t="shared" ref="K120" si="112">IFERROR((F120*I120*J120),"")</f>
        <v>171.04499999999999</v>
      </c>
      <c r="L120" s="1065">
        <f t="shared" ref="L120" si="113">IFERROR(((F120*I120)*J120)*(1-H120),"")</f>
        <v>155.65094999999999</v>
      </c>
      <c r="M120" s="1065">
        <f t="shared" ref="M120" si="114">IFERROR((K120/12),"")</f>
        <v>14.253749999999998</v>
      </c>
      <c r="N120" s="1656">
        <f>SUM(L120:L121)</f>
        <v>450.49095</v>
      </c>
      <c r="O120" s="1188"/>
      <c r="P120" s="8"/>
    </row>
    <row r="121" spans="2:16" ht="18" x14ac:dyDescent="0.35">
      <c r="B121" s="1655"/>
      <c r="C121" s="1655"/>
      <c r="D121" s="1012" t="s">
        <v>13</v>
      </c>
      <c r="E121" s="1013"/>
      <c r="F121" s="1014">
        <v>80</v>
      </c>
      <c r="G121" s="1015" t="s">
        <v>15</v>
      </c>
      <c r="H121" s="1016">
        <v>0.09</v>
      </c>
      <c r="I121" s="1017">
        <f t="shared" ref="I121" si="115">IFERROR((VLOOKUP(G121,S$6:T$8,2,FALSE)),"")</f>
        <v>3</v>
      </c>
      <c r="J121" s="1018">
        <v>1.35</v>
      </c>
      <c r="K121" s="1019">
        <f t="shared" ref="K121" si="116">IFERROR((F121*I121*J121),"")</f>
        <v>324</v>
      </c>
      <c r="L121" s="1065">
        <f t="shared" ref="L121" si="117">IFERROR(((F121*I121)*J121)*(1-H121),"")</f>
        <v>294.84000000000003</v>
      </c>
      <c r="M121" s="1065">
        <f t="shared" ref="M121" si="118">IFERROR((K121/12),"")</f>
        <v>27</v>
      </c>
      <c r="N121" s="1657"/>
      <c r="O121" s="1188"/>
      <c r="P121" s="8"/>
    </row>
    <row r="122" spans="2:16" ht="18" hidden="1" customHeight="1" x14ac:dyDescent="0.35">
      <c r="B122" s="1655">
        <v>46304</v>
      </c>
      <c r="C122" s="1655"/>
      <c r="D122" s="1012" t="s">
        <v>12</v>
      </c>
      <c r="E122" s="1013"/>
      <c r="F122" s="1014"/>
      <c r="G122" s="1015"/>
      <c r="H122" s="1016"/>
      <c r="I122" s="1017" t="str">
        <f t="shared" ref="I122:I124" si="119">IFERROR((VLOOKUP(G122,S$6:T$8,2,FALSE)),"")</f>
        <v/>
      </c>
      <c r="J122" s="1018">
        <v>2.2999999999999998</v>
      </c>
      <c r="K122" s="1019" t="str">
        <f t="shared" ref="K122:K124" si="120">IFERROR((F122*I122*J122),"")</f>
        <v/>
      </c>
      <c r="L122" s="1065" t="str">
        <f t="shared" ref="L122:L124" si="121">IFERROR(((F122*I122)*J122)*(1-H122),"")</f>
        <v/>
      </c>
      <c r="M122" s="1065" t="str">
        <f t="shared" ref="M122:M124" si="122">IFERROR((K122/12),"")</f>
        <v/>
      </c>
      <c r="N122" s="1656">
        <f t="shared" ref="N122" si="123">SUM(L122:L123)</f>
        <v>0</v>
      </c>
      <c r="O122" s="1188"/>
      <c r="P122" s="8"/>
    </row>
    <row r="123" spans="2:16" ht="18" hidden="1" customHeight="1" x14ac:dyDescent="0.35">
      <c r="B123" s="1655"/>
      <c r="C123" s="1655"/>
      <c r="D123" s="1012" t="s">
        <v>13</v>
      </c>
      <c r="E123" s="1013"/>
      <c r="F123" s="1014"/>
      <c r="G123" s="1015"/>
      <c r="H123" s="1016"/>
      <c r="I123" s="1017" t="str">
        <f t="shared" si="119"/>
        <v/>
      </c>
      <c r="J123" s="1018">
        <v>3.3</v>
      </c>
      <c r="K123" s="1019" t="str">
        <f t="shared" si="120"/>
        <v/>
      </c>
      <c r="L123" s="1065" t="str">
        <f t="shared" si="121"/>
        <v/>
      </c>
      <c r="M123" s="1065" t="str">
        <f t="shared" si="122"/>
        <v/>
      </c>
      <c r="N123" s="1657"/>
      <c r="O123" s="1188"/>
      <c r="P123" s="8"/>
    </row>
    <row r="124" spans="2:16" ht="18" x14ac:dyDescent="0.35">
      <c r="B124" s="1655">
        <v>46307</v>
      </c>
      <c r="C124" s="1655"/>
      <c r="D124" s="1012" t="s">
        <v>12</v>
      </c>
      <c r="E124" s="1013"/>
      <c r="F124" s="1014">
        <v>39</v>
      </c>
      <c r="G124" s="1015" t="s">
        <v>15</v>
      </c>
      <c r="H124" s="1016">
        <v>0.09</v>
      </c>
      <c r="I124" s="1017">
        <f t="shared" si="119"/>
        <v>3</v>
      </c>
      <c r="J124" s="1018">
        <v>1.35</v>
      </c>
      <c r="K124" s="1019">
        <f t="shared" si="120"/>
        <v>157.95000000000002</v>
      </c>
      <c r="L124" s="1065">
        <f t="shared" si="121"/>
        <v>143.73450000000003</v>
      </c>
      <c r="M124" s="1065">
        <f t="shared" si="122"/>
        <v>13.162500000000001</v>
      </c>
      <c r="N124" s="1656">
        <f>SUM(L124:L125)</f>
        <v>324.32400000000007</v>
      </c>
      <c r="O124" s="1188"/>
      <c r="P124" s="8"/>
    </row>
    <row r="125" spans="2:16" ht="18" x14ac:dyDescent="0.35">
      <c r="B125" s="1655"/>
      <c r="C125" s="1655"/>
      <c r="D125" s="1012" t="s">
        <v>13</v>
      </c>
      <c r="E125" s="1013"/>
      <c r="F125" s="1014">
        <v>49</v>
      </c>
      <c r="G125" s="1015" t="s">
        <v>15</v>
      </c>
      <c r="H125" s="1016">
        <v>0.09</v>
      </c>
      <c r="I125" s="1017">
        <f>IFERROR((VLOOKUP(G125,S$6:T$8,2,FALSE)),"")</f>
        <v>3</v>
      </c>
      <c r="J125" s="1018">
        <v>1.35</v>
      </c>
      <c r="K125" s="1019">
        <f>IFERROR((F125*I125*J125),"")</f>
        <v>198.45000000000002</v>
      </c>
      <c r="L125" s="1065">
        <f t="shared" ref="L125" si="124">IFERROR(((F125*I125)*J125)*(1-H125),"")</f>
        <v>180.58950000000002</v>
      </c>
      <c r="M125" s="1065">
        <f t="shared" ref="M125" si="125">IFERROR((K125/12),"")</f>
        <v>16.537500000000001</v>
      </c>
      <c r="N125" s="1657"/>
      <c r="O125" s="1188"/>
      <c r="P125" s="8"/>
    </row>
    <row r="126" spans="2:16" ht="18" hidden="1" x14ac:dyDescent="0.35">
      <c r="B126" s="1655">
        <v>46306</v>
      </c>
      <c r="C126" s="1655"/>
      <c r="D126" s="1012" t="s">
        <v>12</v>
      </c>
      <c r="E126" s="1013"/>
      <c r="F126" s="1014"/>
      <c r="G126" s="1015"/>
      <c r="H126" s="1016"/>
      <c r="I126" s="1017" t="str">
        <f t="shared" ref="I126:I136" si="126">IFERROR((VLOOKUP(G126,S$6:T$8,2,FALSE)),"")</f>
        <v/>
      </c>
      <c r="J126" s="1018"/>
      <c r="K126" s="1019" t="str">
        <f t="shared" ref="K126:K136" si="127">IFERROR((F126*I126*J126),"")</f>
        <v/>
      </c>
      <c r="L126" s="1065" t="str">
        <f t="shared" ref="L126:L136" si="128">IFERROR(((F126*I126)*J126)*(1-H126),"")</f>
        <v/>
      </c>
      <c r="M126" s="1065" t="str">
        <f t="shared" ref="M126:M136" si="129">IFERROR((K126/12),"")</f>
        <v/>
      </c>
      <c r="N126" s="1065"/>
      <c r="O126" s="1188"/>
      <c r="P126" s="8"/>
    </row>
    <row r="127" spans="2:16" ht="18" hidden="1" x14ac:dyDescent="0.35">
      <c r="B127" s="1655"/>
      <c r="C127" s="1655"/>
      <c r="D127" s="1012" t="s">
        <v>13</v>
      </c>
      <c r="E127" s="1013"/>
      <c r="F127" s="1014"/>
      <c r="G127" s="1015"/>
      <c r="H127" s="1016"/>
      <c r="I127" s="1017" t="str">
        <f t="shared" si="126"/>
        <v/>
      </c>
      <c r="J127" s="1018"/>
      <c r="K127" s="1019" t="str">
        <f t="shared" si="127"/>
        <v/>
      </c>
      <c r="L127" s="1065" t="str">
        <f t="shared" si="128"/>
        <v/>
      </c>
      <c r="M127" s="1065" t="str">
        <f t="shared" si="129"/>
        <v/>
      </c>
      <c r="N127" s="1065"/>
      <c r="O127" s="1188"/>
      <c r="P127" s="8"/>
    </row>
    <row r="128" spans="2:16" ht="18" hidden="1" x14ac:dyDescent="0.35">
      <c r="B128" s="1661">
        <v>46308</v>
      </c>
      <c r="C128" s="1662"/>
      <c r="D128" s="1012" t="s">
        <v>12</v>
      </c>
      <c r="E128" s="1013"/>
      <c r="F128" s="1014"/>
      <c r="G128" s="1015"/>
      <c r="H128" s="1016"/>
      <c r="I128" s="1017" t="str">
        <f t="shared" si="126"/>
        <v/>
      </c>
      <c r="J128" s="1018"/>
      <c r="K128" s="1019" t="str">
        <f t="shared" si="127"/>
        <v/>
      </c>
      <c r="L128" s="1065" t="str">
        <f t="shared" si="128"/>
        <v/>
      </c>
      <c r="M128" s="1065" t="str">
        <f t="shared" si="129"/>
        <v/>
      </c>
      <c r="N128" s="1065"/>
      <c r="O128" s="1188"/>
      <c r="P128" s="8"/>
    </row>
    <row r="129" spans="2:16" ht="18" hidden="1" x14ac:dyDescent="0.35">
      <c r="B129" s="1664"/>
      <c r="C129" s="1665"/>
      <c r="D129" s="1012" t="s">
        <v>13</v>
      </c>
      <c r="E129" s="1013"/>
      <c r="F129" s="1014"/>
      <c r="G129" s="1015"/>
      <c r="H129" s="1016"/>
      <c r="I129" s="1017" t="str">
        <f t="shared" si="126"/>
        <v/>
      </c>
      <c r="J129" s="1018"/>
      <c r="K129" s="1019" t="str">
        <f t="shared" si="127"/>
        <v/>
      </c>
      <c r="L129" s="1065" t="str">
        <f t="shared" si="128"/>
        <v/>
      </c>
      <c r="M129" s="1065" t="str">
        <f t="shared" si="129"/>
        <v/>
      </c>
      <c r="N129" s="1065"/>
      <c r="O129" s="1188"/>
      <c r="P129" s="8"/>
    </row>
    <row r="130" spans="2:16" ht="18" hidden="1" x14ac:dyDescent="0.35">
      <c r="B130" s="1661">
        <v>46309</v>
      </c>
      <c r="C130" s="1662"/>
      <c r="D130" s="1012" t="s">
        <v>12</v>
      </c>
      <c r="E130" s="1013"/>
      <c r="F130" s="1014"/>
      <c r="G130" s="1015"/>
      <c r="H130" s="1016"/>
      <c r="I130" s="1017" t="str">
        <f t="shared" si="126"/>
        <v/>
      </c>
      <c r="J130" s="1018"/>
      <c r="K130" s="1019" t="str">
        <f t="shared" si="127"/>
        <v/>
      </c>
      <c r="L130" s="1065" t="str">
        <f t="shared" si="128"/>
        <v/>
      </c>
      <c r="M130" s="1065" t="str">
        <f t="shared" si="129"/>
        <v/>
      </c>
      <c r="N130" s="1065"/>
      <c r="O130" s="1188"/>
      <c r="P130" s="8"/>
    </row>
    <row r="131" spans="2:16" ht="18" hidden="1" x14ac:dyDescent="0.35">
      <c r="B131" s="1664"/>
      <c r="C131" s="1665"/>
      <c r="D131" s="1012" t="s">
        <v>13</v>
      </c>
      <c r="E131" s="1013"/>
      <c r="F131" s="1014"/>
      <c r="G131" s="1015"/>
      <c r="H131" s="1016"/>
      <c r="I131" s="1017" t="str">
        <f t="shared" si="126"/>
        <v/>
      </c>
      <c r="J131" s="1018"/>
      <c r="K131" s="1019" t="str">
        <f t="shared" si="127"/>
        <v/>
      </c>
      <c r="L131" s="1065" t="str">
        <f t="shared" si="128"/>
        <v/>
      </c>
      <c r="M131" s="1065" t="str">
        <f t="shared" si="129"/>
        <v/>
      </c>
      <c r="N131" s="1065"/>
      <c r="O131" s="1188"/>
      <c r="P131" s="8"/>
    </row>
    <row r="132" spans="2:16" ht="18" hidden="1" x14ac:dyDescent="0.35">
      <c r="B132" s="1661">
        <v>46310</v>
      </c>
      <c r="C132" s="1662"/>
      <c r="D132" s="1012" t="s">
        <v>12</v>
      </c>
      <c r="E132" s="1013"/>
      <c r="F132" s="1014"/>
      <c r="G132" s="1015"/>
      <c r="H132" s="1016"/>
      <c r="I132" s="1017" t="str">
        <f t="shared" si="126"/>
        <v/>
      </c>
      <c r="J132" s="1018"/>
      <c r="K132" s="1019" t="str">
        <f t="shared" si="127"/>
        <v/>
      </c>
      <c r="L132" s="1065" t="str">
        <f t="shared" si="128"/>
        <v/>
      </c>
      <c r="M132" s="1065" t="str">
        <f t="shared" si="129"/>
        <v/>
      </c>
      <c r="N132" s="1065"/>
      <c r="O132" s="1188"/>
      <c r="P132" s="8"/>
    </row>
    <row r="133" spans="2:16" ht="18" hidden="1" x14ac:dyDescent="0.35">
      <c r="B133" s="1664"/>
      <c r="C133" s="1665"/>
      <c r="D133" s="1012" t="s">
        <v>13</v>
      </c>
      <c r="E133" s="1013"/>
      <c r="F133" s="1014"/>
      <c r="G133" s="1015"/>
      <c r="H133" s="1016"/>
      <c r="I133" s="1017" t="str">
        <f t="shared" si="126"/>
        <v/>
      </c>
      <c r="J133" s="1018"/>
      <c r="K133" s="1019" t="str">
        <f t="shared" si="127"/>
        <v/>
      </c>
      <c r="L133" s="1065" t="str">
        <f t="shared" si="128"/>
        <v/>
      </c>
      <c r="M133" s="1065" t="str">
        <f t="shared" si="129"/>
        <v/>
      </c>
      <c r="N133" s="1065"/>
      <c r="O133" s="1188"/>
      <c r="P133" s="8"/>
    </row>
    <row r="134" spans="2:16" ht="18" x14ac:dyDescent="0.35">
      <c r="B134" s="1661">
        <v>46311</v>
      </c>
      <c r="C134" s="1662"/>
      <c r="D134" s="1012" t="s">
        <v>12</v>
      </c>
      <c r="E134" s="1013"/>
      <c r="F134" s="1014">
        <v>63</v>
      </c>
      <c r="G134" s="1015" t="s">
        <v>15</v>
      </c>
      <c r="H134" s="1016">
        <v>0.09</v>
      </c>
      <c r="I134" s="1017">
        <f t="shared" si="126"/>
        <v>3</v>
      </c>
      <c r="J134" s="1018">
        <v>1.35</v>
      </c>
      <c r="K134" s="1019">
        <f t="shared" si="127"/>
        <v>255.15</v>
      </c>
      <c r="L134" s="1065">
        <f t="shared" si="128"/>
        <v>232.18650000000002</v>
      </c>
      <c r="M134" s="1065">
        <f t="shared" si="129"/>
        <v>21.262499999999999</v>
      </c>
      <c r="N134" s="1656">
        <f>SUM(L134:L135)</f>
        <v>445.94550000000004</v>
      </c>
      <c r="O134" s="1188"/>
      <c r="P134" s="8"/>
    </row>
    <row r="135" spans="2:16" ht="18" x14ac:dyDescent="0.35">
      <c r="B135" s="1664"/>
      <c r="C135" s="1665"/>
      <c r="D135" s="1012" t="s">
        <v>13</v>
      </c>
      <c r="E135" s="1013"/>
      <c r="F135" s="1014">
        <v>58</v>
      </c>
      <c r="G135" s="1015" t="s">
        <v>15</v>
      </c>
      <c r="H135" s="1016">
        <v>0.09</v>
      </c>
      <c r="I135" s="1017">
        <f t="shared" si="126"/>
        <v>3</v>
      </c>
      <c r="J135" s="1018">
        <v>1.35</v>
      </c>
      <c r="K135" s="1019">
        <f t="shared" si="127"/>
        <v>234.9</v>
      </c>
      <c r="L135" s="1065">
        <f t="shared" si="128"/>
        <v>213.75900000000001</v>
      </c>
      <c r="M135" s="1065">
        <f t="shared" si="129"/>
        <v>19.574999999999999</v>
      </c>
      <c r="N135" s="1657"/>
      <c r="O135" s="1188"/>
      <c r="P135" s="8"/>
    </row>
    <row r="136" spans="2:16" ht="18" x14ac:dyDescent="0.35">
      <c r="B136" s="1661">
        <v>46312</v>
      </c>
      <c r="C136" s="1662"/>
      <c r="D136" s="1012" t="s">
        <v>12</v>
      </c>
      <c r="F136" s="1014"/>
      <c r="G136" s="1015"/>
      <c r="H136" s="1016"/>
      <c r="I136" s="1017" t="str">
        <f t="shared" si="126"/>
        <v/>
      </c>
      <c r="J136" s="1018"/>
      <c r="K136" s="1019" t="str">
        <f t="shared" si="127"/>
        <v/>
      </c>
      <c r="L136" s="1065" t="str">
        <f t="shared" si="128"/>
        <v/>
      </c>
      <c r="M136" s="1065" t="str">
        <f t="shared" si="129"/>
        <v/>
      </c>
      <c r="N136" s="1656">
        <f>SUM(M136:M137)</f>
        <v>16.875</v>
      </c>
      <c r="O136" s="1188"/>
      <c r="P136" s="8"/>
    </row>
    <row r="137" spans="2:16" ht="18" x14ac:dyDescent="0.35">
      <c r="B137" s="1664"/>
      <c r="C137" s="1665"/>
      <c r="D137" s="1012" t="s">
        <v>13</v>
      </c>
      <c r="E137" s="1013"/>
      <c r="F137" s="1014">
        <v>50</v>
      </c>
      <c r="G137" s="1015" t="s">
        <v>15</v>
      </c>
      <c r="H137" s="1016">
        <v>0.09</v>
      </c>
      <c r="I137" s="1017">
        <f>IFERROR((VLOOKUP(G137,S$6:T$8,2,FALSE)),"")</f>
        <v>3</v>
      </c>
      <c r="J137" s="1018">
        <v>1.35</v>
      </c>
      <c r="K137" s="1019">
        <f>IFERROR((F137*I137*J137),"")</f>
        <v>202.5</v>
      </c>
      <c r="L137" s="1065">
        <f>IFERROR(((F137*I137)*J137)*(1-H137),"")</f>
        <v>184.27500000000001</v>
      </c>
      <c r="M137" s="1065">
        <f>IFERROR((K137/12),"")</f>
        <v>16.875</v>
      </c>
      <c r="N137" s="1657"/>
      <c r="O137" s="1188"/>
      <c r="P137" s="8"/>
    </row>
    <row r="138" spans="2:16" ht="18" x14ac:dyDescent="0.35">
      <c r="B138" s="1661">
        <v>46313</v>
      </c>
      <c r="C138" s="1662"/>
      <c r="D138" s="1012" t="s">
        <v>12</v>
      </c>
      <c r="E138" s="1013"/>
      <c r="F138" s="1014">
        <v>44</v>
      </c>
      <c r="G138" s="1015" t="s">
        <v>14</v>
      </c>
      <c r="H138" s="1016">
        <v>0.09</v>
      </c>
      <c r="I138" s="1017">
        <f>IFERROR((VLOOKUP(G138,S$6:T$8,2,FALSE)),"")</f>
        <v>0.7</v>
      </c>
      <c r="J138" s="1018">
        <v>1.35</v>
      </c>
      <c r="K138" s="1019">
        <f>IFERROR((F138*I138*J138),"")</f>
        <v>41.58</v>
      </c>
      <c r="L138" s="1065">
        <f>IFERROR(((F138*I138)*J138)*(1-H138),"")</f>
        <v>37.837800000000001</v>
      </c>
      <c r="M138" s="1065">
        <f>IFERROR((K138/12),"")</f>
        <v>3.4649999999999999</v>
      </c>
      <c r="N138" s="1656">
        <f>SUM(L138:L141)</f>
        <v>207.6798</v>
      </c>
      <c r="O138" s="1188"/>
      <c r="P138" s="8"/>
    </row>
    <row r="139" spans="2:16" ht="18" x14ac:dyDescent="0.35">
      <c r="B139" s="1663"/>
      <c r="C139" s="1648"/>
      <c r="D139" s="1012" t="s">
        <v>896</v>
      </c>
      <c r="E139" s="1013"/>
      <c r="F139" s="1014">
        <v>4</v>
      </c>
      <c r="G139" s="1015" t="s">
        <v>15</v>
      </c>
      <c r="H139" s="1016">
        <v>0.09</v>
      </c>
      <c r="I139" s="1017">
        <f>IFERROR((VLOOKUP(G139,S$6:T$8,2,FALSE)),"")</f>
        <v>3</v>
      </c>
      <c r="J139" s="1018">
        <v>1.35</v>
      </c>
      <c r="K139" s="1019">
        <f>IFERROR((F139*I139*J139),"")</f>
        <v>16.200000000000003</v>
      </c>
      <c r="L139" s="1065">
        <f>IFERROR(((F139*I139)*J139)*(1-H139),"")</f>
        <v>14.742000000000003</v>
      </c>
      <c r="M139" s="1065">
        <f>IFERROR((K139/12),"")</f>
        <v>1.3500000000000003</v>
      </c>
      <c r="N139" s="1640"/>
      <c r="O139" s="1188"/>
      <c r="P139" s="8"/>
    </row>
    <row r="140" spans="2:16" ht="18" x14ac:dyDescent="0.35">
      <c r="B140" s="1655">
        <v>46321</v>
      </c>
      <c r="C140" s="1655"/>
      <c r="D140" s="1012" t="s">
        <v>13</v>
      </c>
      <c r="E140" s="1013" t="s">
        <v>169</v>
      </c>
      <c r="F140" s="1402">
        <v>44</v>
      </c>
      <c r="G140" s="1015" t="s">
        <v>15</v>
      </c>
      <c r="H140" s="1016">
        <v>0.06</v>
      </c>
      <c r="I140" s="1017">
        <f>IFERROR((VLOOKUP(G140,S$6:T$8,2,FALSE)),"")</f>
        <v>3</v>
      </c>
      <c r="J140" s="1018">
        <v>1.25</v>
      </c>
      <c r="K140" s="1019">
        <f>IFERROR((F140*I140*J140),"")</f>
        <v>165</v>
      </c>
      <c r="L140" s="1065">
        <f>IFERROR(((F140*I140)*J140)*(1-H140),"")</f>
        <v>155.1</v>
      </c>
      <c r="M140" s="1065">
        <f>IFERROR((K140/12),"")</f>
        <v>13.75</v>
      </c>
      <c r="N140" s="1656">
        <f>SUM(L140:L143)</f>
        <v>155.1</v>
      </c>
      <c r="O140" s="1188" t="s">
        <v>977</v>
      </c>
      <c r="P140" s="8"/>
    </row>
    <row r="141" spans="2:16" ht="18" x14ac:dyDescent="0.35">
      <c r="B141" s="1398"/>
      <c r="C141" s="1399"/>
      <c r="D141" s="1012"/>
      <c r="E141" s="1013"/>
      <c r="F141" s="1014"/>
      <c r="G141" s="1015"/>
      <c r="H141" s="1016"/>
      <c r="I141" s="1017"/>
      <c r="J141" s="1018"/>
      <c r="K141" s="1019"/>
      <c r="L141" s="1065"/>
      <c r="M141" s="1065"/>
      <c r="N141" s="1640"/>
      <c r="O141" s="1188"/>
      <c r="P141" s="8"/>
    </row>
    <row r="142" spans="2:16" ht="18" x14ac:dyDescent="0.35">
      <c r="B142" s="1400"/>
      <c r="C142" s="1401"/>
      <c r="D142" s="1012"/>
      <c r="E142" s="1013"/>
      <c r="G142" s="1015"/>
      <c r="H142" s="1016"/>
      <c r="I142" s="1017"/>
      <c r="J142" s="1018"/>
      <c r="K142" s="1019"/>
      <c r="L142" s="1065"/>
      <c r="M142" s="1065"/>
      <c r="N142" s="1065"/>
      <c r="O142" s="1188"/>
      <c r="P142" s="8"/>
    </row>
    <row r="143" spans="2:16" ht="18" hidden="1" x14ac:dyDescent="0.35">
      <c r="B143" s="1661">
        <v>46314</v>
      </c>
      <c r="C143" s="1662"/>
      <c r="D143" s="1012" t="s">
        <v>12</v>
      </c>
      <c r="E143" s="1013"/>
      <c r="F143" s="1014"/>
      <c r="G143" s="1015"/>
      <c r="H143" s="1016"/>
      <c r="I143" s="1017"/>
      <c r="J143" s="1018"/>
      <c r="K143" s="1019"/>
      <c r="L143" s="1065"/>
      <c r="M143" s="1065"/>
      <c r="N143" s="1065"/>
      <c r="O143" s="1188"/>
      <c r="P143" s="8"/>
    </row>
    <row r="144" spans="2:16" ht="18" hidden="1" x14ac:dyDescent="0.35">
      <c r="B144" s="1663"/>
      <c r="C144" s="1648"/>
      <c r="D144" s="1012" t="s">
        <v>13</v>
      </c>
      <c r="E144" s="1013"/>
      <c r="F144" s="1014"/>
      <c r="G144" s="1015"/>
      <c r="H144" s="1016"/>
      <c r="I144" s="1017"/>
      <c r="J144" s="1018"/>
      <c r="K144" s="1019"/>
      <c r="L144" s="1065"/>
      <c r="M144" s="1065"/>
      <c r="N144" s="1065"/>
      <c r="O144" s="1188"/>
      <c r="P144" s="8"/>
    </row>
    <row r="145" spans="2:16" ht="18" hidden="1" x14ac:dyDescent="0.35">
      <c r="B145" s="1664"/>
      <c r="C145" s="1665"/>
      <c r="D145" s="1012" t="s">
        <v>12</v>
      </c>
      <c r="E145" s="1013"/>
      <c r="F145" s="1014"/>
      <c r="G145" s="1015"/>
      <c r="H145" s="1016"/>
      <c r="I145" s="1017"/>
      <c r="J145" s="1018"/>
      <c r="K145" s="1019"/>
      <c r="L145" s="1065"/>
      <c r="M145" s="1065"/>
      <c r="N145" s="1065"/>
      <c r="O145" s="1188"/>
      <c r="P145" s="8"/>
    </row>
    <row r="146" spans="2:16" ht="18" hidden="1" x14ac:dyDescent="0.35">
      <c r="B146" s="1661">
        <v>46315</v>
      </c>
      <c r="C146" s="1662"/>
      <c r="D146" s="1012" t="s">
        <v>13</v>
      </c>
      <c r="E146" s="1013"/>
      <c r="F146" s="1014"/>
      <c r="G146" s="1015"/>
      <c r="H146" s="1016"/>
      <c r="I146" s="1017"/>
      <c r="J146" s="1018"/>
      <c r="K146" s="1019"/>
      <c r="L146" s="1065"/>
      <c r="M146" s="1065"/>
      <c r="N146" s="1065"/>
      <c r="O146" s="1188"/>
      <c r="P146" s="8"/>
    </row>
    <row r="147" spans="2:16" ht="18" hidden="1" x14ac:dyDescent="0.35">
      <c r="B147" s="1663"/>
      <c r="C147" s="1648"/>
      <c r="D147" s="1012" t="s">
        <v>12</v>
      </c>
      <c r="E147" s="1013"/>
      <c r="F147" s="1014"/>
      <c r="G147" s="1015"/>
      <c r="H147" s="1016"/>
      <c r="I147" s="1017"/>
      <c r="J147" s="1018"/>
      <c r="K147" s="1019"/>
      <c r="L147" s="1065"/>
      <c r="M147" s="1065"/>
      <c r="N147" s="1065"/>
      <c r="O147" s="1188"/>
      <c r="P147" s="8"/>
    </row>
    <row r="148" spans="2:16" ht="18" hidden="1" x14ac:dyDescent="0.35">
      <c r="B148" s="1664"/>
      <c r="C148" s="1665"/>
      <c r="D148" s="1012" t="s">
        <v>13</v>
      </c>
      <c r="E148" s="1013"/>
      <c r="F148" s="1014"/>
      <c r="G148" s="1015"/>
      <c r="H148" s="1016"/>
      <c r="I148" s="1017"/>
      <c r="J148" s="1018"/>
      <c r="K148" s="1019"/>
      <c r="L148" s="1065"/>
      <c r="M148" s="1065"/>
      <c r="N148" s="1065"/>
      <c r="O148" s="1188"/>
      <c r="P148" s="8"/>
    </row>
    <row r="149" spans="2:16" ht="18" hidden="1" x14ac:dyDescent="0.35">
      <c r="B149" s="1661">
        <v>46316</v>
      </c>
      <c r="C149" s="1662"/>
      <c r="D149" s="1012" t="s">
        <v>12</v>
      </c>
      <c r="E149" s="1013"/>
      <c r="F149" s="1014"/>
      <c r="G149" s="1015"/>
      <c r="H149" s="1016"/>
      <c r="I149" s="1017"/>
      <c r="J149" s="1018"/>
      <c r="K149" s="1019"/>
      <c r="L149" s="1065"/>
      <c r="M149" s="1065"/>
      <c r="N149" s="1065"/>
      <c r="O149" s="1188"/>
      <c r="P149" s="8"/>
    </row>
    <row r="150" spans="2:16" ht="18" hidden="1" x14ac:dyDescent="0.35">
      <c r="B150" s="1663"/>
      <c r="C150" s="1648"/>
      <c r="D150" s="1012" t="s">
        <v>13</v>
      </c>
      <c r="E150" s="1013"/>
      <c r="F150" s="1014"/>
      <c r="G150" s="1015"/>
      <c r="H150" s="1016"/>
      <c r="I150" s="1017"/>
      <c r="J150" s="1018"/>
      <c r="K150" s="1019"/>
      <c r="L150" s="1065"/>
      <c r="M150" s="1065"/>
      <c r="N150" s="1065"/>
      <c r="O150" s="1188"/>
      <c r="P150" s="8"/>
    </row>
    <row r="151" spans="2:16" ht="18" hidden="1" x14ac:dyDescent="0.35">
      <c r="B151" s="1664"/>
      <c r="C151" s="1665"/>
      <c r="D151" s="1012" t="s">
        <v>12</v>
      </c>
      <c r="E151" s="1013"/>
      <c r="F151" s="1014"/>
      <c r="G151" s="1015"/>
      <c r="H151" s="1016"/>
      <c r="I151" s="1017"/>
      <c r="J151" s="1018"/>
      <c r="K151" s="1019"/>
      <c r="L151" s="1065"/>
      <c r="M151" s="1065"/>
      <c r="N151" s="1065"/>
      <c r="O151" s="1188"/>
      <c r="P151" s="8"/>
    </row>
    <row r="152" spans="2:16" ht="18" hidden="1" x14ac:dyDescent="0.35">
      <c r="B152" s="1661">
        <v>46317</v>
      </c>
      <c r="C152" s="1662"/>
      <c r="D152" s="1012" t="s">
        <v>13</v>
      </c>
      <c r="E152" s="1013"/>
      <c r="F152" s="1014"/>
      <c r="G152" s="1015"/>
      <c r="H152" s="1016"/>
      <c r="I152" s="1017"/>
      <c r="J152" s="1018"/>
      <c r="K152" s="1019"/>
      <c r="L152" s="1065"/>
      <c r="M152" s="1065"/>
      <c r="N152" s="1065"/>
      <c r="O152" s="1188"/>
      <c r="P152" s="8"/>
    </row>
    <row r="153" spans="2:16" ht="18" hidden="1" x14ac:dyDescent="0.35">
      <c r="B153" s="1663"/>
      <c r="C153" s="1648"/>
      <c r="D153" s="1012" t="s">
        <v>12</v>
      </c>
      <c r="E153" s="1013"/>
      <c r="F153" s="1014"/>
      <c r="G153" s="1015"/>
      <c r="H153" s="1016"/>
      <c r="I153" s="1017"/>
      <c r="J153" s="1018"/>
      <c r="K153" s="1019"/>
      <c r="L153" s="1065"/>
      <c r="M153" s="1065"/>
      <c r="N153" s="1065"/>
      <c r="O153" s="1188"/>
      <c r="P153" s="8"/>
    </row>
    <row r="154" spans="2:16" ht="18" hidden="1" x14ac:dyDescent="0.35">
      <c r="B154" s="1664"/>
      <c r="C154" s="1665"/>
      <c r="D154" s="1012" t="s">
        <v>13</v>
      </c>
      <c r="E154" s="1013"/>
      <c r="F154" s="1014"/>
      <c r="G154" s="1015"/>
      <c r="H154" s="1016"/>
      <c r="I154" s="1017"/>
      <c r="J154" s="1018"/>
      <c r="K154" s="1019"/>
      <c r="L154" s="1065"/>
      <c r="M154" s="1065"/>
      <c r="N154" s="1065"/>
      <c r="O154" s="1188"/>
      <c r="P154" s="8"/>
    </row>
    <row r="155" spans="2:16" ht="18" hidden="1" x14ac:dyDescent="0.35">
      <c r="B155" s="1661">
        <v>46318</v>
      </c>
      <c r="C155" s="1662"/>
      <c r="D155" s="1012" t="s">
        <v>12</v>
      </c>
      <c r="E155" s="1013"/>
      <c r="F155" s="1014"/>
      <c r="G155" s="1015"/>
      <c r="H155" s="1016"/>
      <c r="I155" s="1017"/>
      <c r="J155" s="1018"/>
      <c r="K155" s="1019"/>
      <c r="L155" s="1065"/>
      <c r="M155" s="1065"/>
      <c r="N155" s="1065"/>
      <c r="O155" s="1188"/>
      <c r="P155" s="8"/>
    </row>
    <row r="156" spans="2:16" ht="18" hidden="1" x14ac:dyDescent="0.35">
      <c r="B156" s="1663"/>
      <c r="C156" s="1648"/>
      <c r="D156" s="1012" t="s">
        <v>13</v>
      </c>
      <c r="E156" s="1013"/>
      <c r="F156" s="1014"/>
      <c r="G156" s="1015"/>
      <c r="H156" s="1016"/>
      <c r="I156" s="1017"/>
      <c r="J156" s="1018"/>
      <c r="K156" s="1019"/>
      <c r="L156" s="1065"/>
      <c r="M156" s="1065"/>
      <c r="N156" s="1065"/>
      <c r="O156" s="1188"/>
      <c r="P156" s="8"/>
    </row>
    <row r="157" spans="2:16" ht="18" hidden="1" x14ac:dyDescent="0.35">
      <c r="B157" s="1664"/>
      <c r="C157" s="1665"/>
      <c r="D157" s="1012" t="s">
        <v>12</v>
      </c>
      <c r="E157" s="1013"/>
      <c r="F157" s="1014"/>
      <c r="G157" s="1015"/>
      <c r="H157" s="1016"/>
      <c r="I157" s="1017"/>
      <c r="J157" s="1018"/>
      <c r="K157" s="1019"/>
      <c r="L157" s="1065"/>
      <c r="M157" s="1065"/>
      <c r="N157" s="1065"/>
      <c r="O157" s="1188"/>
      <c r="P157" s="8"/>
    </row>
    <row r="158" spans="2:16" ht="18" hidden="1" x14ac:dyDescent="0.35">
      <c r="B158" s="1661">
        <v>46319</v>
      </c>
      <c r="C158" s="1662"/>
      <c r="D158" s="1012" t="s">
        <v>13</v>
      </c>
      <c r="E158" s="1013"/>
      <c r="F158" s="1014"/>
      <c r="G158" s="1015"/>
      <c r="H158" s="1016"/>
      <c r="I158" s="1017"/>
      <c r="J158" s="1018"/>
      <c r="K158" s="1019"/>
      <c r="L158" s="1065"/>
      <c r="M158" s="1065"/>
      <c r="N158" s="1065"/>
      <c r="O158" s="1188"/>
      <c r="P158" s="8"/>
    </row>
    <row r="159" spans="2:16" ht="18" hidden="1" x14ac:dyDescent="0.35">
      <c r="B159" s="1663"/>
      <c r="C159" s="1648"/>
      <c r="D159" s="1012" t="s">
        <v>12</v>
      </c>
      <c r="E159" s="1013"/>
      <c r="F159" s="1014"/>
      <c r="G159" s="1015"/>
      <c r="H159" s="1016"/>
      <c r="I159" s="1017"/>
      <c r="J159" s="1018"/>
      <c r="K159" s="1019"/>
      <c r="L159" s="1065"/>
      <c r="M159" s="1065"/>
      <c r="N159" s="1065"/>
      <c r="O159" s="1188"/>
      <c r="P159" s="8"/>
    </row>
    <row r="160" spans="2:16" ht="18" hidden="1" x14ac:dyDescent="0.35">
      <c r="B160" s="1664"/>
      <c r="C160" s="1665"/>
      <c r="D160" s="1012" t="s">
        <v>13</v>
      </c>
      <c r="E160" s="1013"/>
      <c r="F160" s="1014"/>
      <c r="G160" s="1015"/>
      <c r="H160" s="1016"/>
      <c r="I160" s="1017"/>
      <c r="J160" s="1018"/>
      <c r="K160" s="1019"/>
      <c r="L160" s="1065"/>
      <c r="M160" s="1065"/>
      <c r="N160" s="1065"/>
      <c r="O160" s="1188"/>
      <c r="P160" s="8"/>
    </row>
    <row r="161" spans="2:16" ht="18" hidden="1" x14ac:dyDescent="0.35">
      <c r="B161" s="1661">
        <v>46320</v>
      </c>
      <c r="C161" s="1662"/>
      <c r="D161" s="1012" t="s">
        <v>12</v>
      </c>
      <c r="E161" s="1013"/>
      <c r="F161" s="1014"/>
      <c r="G161" s="1015"/>
      <c r="H161" s="1016"/>
      <c r="I161" s="1017"/>
      <c r="J161" s="1018"/>
      <c r="K161" s="1019"/>
      <c r="L161" s="1065"/>
      <c r="M161" s="1065"/>
      <c r="N161" s="1065"/>
      <c r="O161" s="1188"/>
      <c r="P161" s="8"/>
    </row>
    <row r="162" spans="2:16" ht="18" hidden="1" x14ac:dyDescent="0.35">
      <c r="B162" s="1663"/>
      <c r="C162" s="1648"/>
      <c r="D162" s="1012" t="s">
        <v>13</v>
      </c>
      <c r="E162" s="1013"/>
      <c r="F162" s="1014"/>
      <c r="G162" s="1015"/>
      <c r="H162" s="1016"/>
      <c r="I162" s="1017"/>
      <c r="J162" s="1018"/>
      <c r="K162" s="1019"/>
      <c r="L162" s="1065"/>
      <c r="M162" s="1065"/>
      <c r="N162" s="1065"/>
      <c r="O162" s="1188"/>
      <c r="P162" s="8"/>
    </row>
    <row r="163" spans="2:16" ht="18" hidden="1" x14ac:dyDescent="0.35">
      <c r="B163" s="1664"/>
      <c r="C163" s="1665"/>
      <c r="D163" s="1012" t="s">
        <v>12</v>
      </c>
      <c r="E163" s="1013"/>
      <c r="F163" s="1014"/>
      <c r="G163" s="1015"/>
      <c r="H163" s="1016"/>
      <c r="I163" s="1017"/>
      <c r="J163" s="1018"/>
      <c r="K163" s="1019"/>
      <c r="L163" s="1065"/>
      <c r="M163" s="1065"/>
      <c r="N163" s="1065"/>
      <c r="O163" s="1188"/>
      <c r="P163" s="8"/>
    </row>
    <row r="164" spans="2:16" ht="18" hidden="1" x14ac:dyDescent="0.35">
      <c r="B164" s="1661">
        <v>46321</v>
      </c>
      <c r="C164" s="1662"/>
      <c r="D164" s="1012" t="s">
        <v>13</v>
      </c>
      <c r="E164" s="1013"/>
      <c r="F164" s="1014"/>
      <c r="G164" s="1015"/>
      <c r="H164" s="1016"/>
      <c r="I164" s="1017"/>
      <c r="J164" s="1018"/>
      <c r="K164" s="1019"/>
      <c r="L164" s="1065"/>
      <c r="M164" s="1065"/>
      <c r="N164" s="1065"/>
      <c r="O164" s="1188"/>
      <c r="P164" s="8"/>
    </row>
    <row r="165" spans="2:16" ht="18" hidden="1" x14ac:dyDescent="0.35">
      <c r="B165" s="1663"/>
      <c r="C165" s="1648"/>
      <c r="D165" s="1012" t="s">
        <v>12</v>
      </c>
      <c r="E165" s="1013"/>
      <c r="F165" s="1014"/>
      <c r="G165" s="1015"/>
      <c r="H165" s="1016"/>
      <c r="I165" s="1017"/>
      <c r="J165" s="1018"/>
      <c r="K165" s="1019"/>
      <c r="L165" s="1065"/>
      <c r="M165" s="1065"/>
      <c r="N165" s="1065"/>
      <c r="O165" s="1188"/>
      <c r="P165" s="8"/>
    </row>
    <row r="166" spans="2:16" ht="18" hidden="1" x14ac:dyDescent="0.35">
      <c r="B166" s="1664"/>
      <c r="C166" s="1665"/>
      <c r="D166" s="1012" t="s">
        <v>13</v>
      </c>
      <c r="E166" s="1013"/>
      <c r="F166" s="1014"/>
      <c r="G166" s="1015"/>
      <c r="H166" s="1016"/>
      <c r="I166" s="1017"/>
      <c r="J166" s="1018"/>
      <c r="K166" s="1019"/>
      <c r="L166" s="1065"/>
      <c r="M166" s="1065"/>
      <c r="N166" s="1065"/>
      <c r="O166" s="1188"/>
      <c r="P166" s="8"/>
    </row>
    <row r="167" spans="2:16" ht="18" hidden="1" x14ac:dyDescent="0.35">
      <c r="B167" s="1661">
        <v>46322</v>
      </c>
      <c r="C167" s="1662"/>
      <c r="D167" s="1012" t="s">
        <v>12</v>
      </c>
      <c r="E167" s="1013"/>
      <c r="F167" s="1014"/>
      <c r="G167" s="1015"/>
      <c r="H167" s="1016"/>
      <c r="I167" s="1017"/>
      <c r="J167" s="1018"/>
      <c r="K167" s="1019"/>
      <c r="L167" s="1065"/>
      <c r="M167" s="1065"/>
      <c r="N167" s="1065"/>
      <c r="O167" s="1188"/>
      <c r="P167" s="8"/>
    </row>
    <row r="168" spans="2:16" ht="18" hidden="1" x14ac:dyDescent="0.35">
      <c r="B168" s="1663"/>
      <c r="C168" s="1648"/>
      <c r="D168" s="1012" t="s">
        <v>13</v>
      </c>
      <c r="E168" s="1013"/>
      <c r="F168" s="1014"/>
      <c r="G168" s="1015"/>
      <c r="H168" s="1016"/>
      <c r="I168" s="1017"/>
      <c r="J168" s="1018"/>
      <c r="K168" s="1019"/>
      <c r="L168" s="1065"/>
      <c r="M168" s="1065"/>
      <c r="N168" s="1065"/>
      <c r="O168" s="1188"/>
      <c r="P168" s="8"/>
    </row>
    <row r="169" spans="2:16" ht="18" hidden="1" x14ac:dyDescent="0.35">
      <c r="B169" s="1664"/>
      <c r="C169" s="1665"/>
      <c r="D169" s="1012" t="s">
        <v>12</v>
      </c>
      <c r="E169" s="1013"/>
      <c r="F169" s="1014"/>
      <c r="G169" s="1015"/>
      <c r="H169" s="1016"/>
      <c r="I169" s="1017"/>
      <c r="J169" s="1018"/>
      <c r="K169" s="1019"/>
      <c r="L169" s="1065"/>
      <c r="M169" s="1065"/>
      <c r="N169" s="1065"/>
      <c r="O169" s="1188"/>
      <c r="P169" s="8"/>
    </row>
    <row r="170" spans="2:16" ht="18" hidden="1" x14ac:dyDescent="0.35">
      <c r="B170" s="1661">
        <v>46323</v>
      </c>
      <c r="C170" s="1662"/>
      <c r="D170" s="1012" t="s">
        <v>13</v>
      </c>
      <c r="E170" s="1013"/>
      <c r="F170" s="1014"/>
      <c r="G170" s="1015"/>
      <c r="H170" s="1016"/>
      <c r="I170" s="1017"/>
      <c r="J170" s="1018"/>
      <c r="K170" s="1019"/>
      <c r="L170" s="1065"/>
      <c r="M170" s="1065"/>
      <c r="N170" s="1065"/>
      <c r="O170" s="1188"/>
      <c r="P170" s="8"/>
    </row>
    <row r="171" spans="2:16" ht="18" hidden="1" x14ac:dyDescent="0.35">
      <c r="B171" s="1663"/>
      <c r="C171" s="1648"/>
      <c r="D171" s="1012" t="s">
        <v>12</v>
      </c>
      <c r="E171" s="1013"/>
      <c r="F171" s="1014"/>
      <c r="G171" s="1015"/>
      <c r="H171" s="1016"/>
      <c r="I171" s="1017"/>
      <c r="J171" s="1018"/>
      <c r="K171" s="1019"/>
      <c r="L171" s="1065"/>
      <c r="M171" s="1065"/>
      <c r="N171" s="1065"/>
      <c r="O171" s="1188"/>
      <c r="P171" s="8"/>
    </row>
    <row r="172" spans="2:16" ht="18" hidden="1" x14ac:dyDescent="0.35">
      <c r="B172" s="1664"/>
      <c r="C172" s="1665"/>
      <c r="D172" s="1012" t="s">
        <v>13</v>
      </c>
      <c r="E172" s="1013"/>
      <c r="F172" s="1014"/>
      <c r="G172" s="1015"/>
      <c r="H172" s="1016"/>
      <c r="I172" s="1017"/>
      <c r="J172" s="1018"/>
      <c r="K172" s="1019"/>
      <c r="L172" s="1065"/>
      <c r="M172" s="1065"/>
      <c r="N172" s="1065"/>
      <c r="O172" s="1188"/>
      <c r="P172" s="8"/>
    </row>
    <row r="173" spans="2:16" ht="18" hidden="1" x14ac:dyDescent="0.35">
      <c r="B173" s="1661">
        <v>46324</v>
      </c>
      <c r="C173" s="1662"/>
      <c r="D173" s="1012" t="s">
        <v>12</v>
      </c>
      <c r="E173" s="1013"/>
      <c r="F173" s="1014"/>
      <c r="G173" s="1015"/>
      <c r="H173" s="1016"/>
      <c r="I173" s="1017"/>
      <c r="J173" s="1018"/>
      <c r="K173" s="1019"/>
      <c r="L173" s="1065"/>
      <c r="M173" s="1065"/>
      <c r="N173" s="1065"/>
      <c r="O173" s="1188"/>
      <c r="P173" s="8"/>
    </row>
    <row r="174" spans="2:16" ht="18" hidden="1" x14ac:dyDescent="0.35">
      <c r="B174" s="1663"/>
      <c r="C174" s="1648"/>
      <c r="D174" s="1012" t="s">
        <v>13</v>
      </c>
      <c r="E174" s="1013"/>
      <c r="F174" s="1014"/>
      <c r="G174" s="1015"/>
      <c r="H174" s="1016"/>
      <c r="I174" s="1017"/>
      <c r="J174" s="1018"/>
      <c r="K174" s="1019"/>
      <c r="L174" s="1065"/>
      <c r="M174" s="1065"/>
      <c r="N174" s="1065"/>
      <c r="O174" s="1188"/>
      <c r="P174" s="8"/>
    </row>
    <row r="175" spans="2:16" ht="18" hidden="1" x14ac:dyDescent="0.35">
      <c r="B175" s="1664"/>
      <c r="C175" s="1665"/>
      <c r="D175" s="1012" t="s">
        <v>12</v>
      </c>
      <c r="E175" s="1013"/>
      <c r="F175" s="1014"/>
      <c r="G175" s="1015"/>
      <c r="H175" s="1016"/>
      <c r="I175" s="1017"/>
      <c r="J175" s="1018"/>
      <c r="K175" s="1019"/>
      <c r="L175" s="1065"/>
      <c r="M175" s="1065"/>
      <c r="N175" s="1065"/>
      <c r="O175" s="1188"/>
      <c r="P175" s="8"/>
    </row>
    <row r="176" spans="2:16" ht="18" hidden="1" x14ac:dyDescent="0.35">
      <c r="B176" s="1661">
        <v>46325</v>
      </c>
      <c r="C176" s="1662"/>
      <c r="D176" s="1012" t="s">
        <v>13</v>
      </c>
      <c r="E176" s="1013"/>
      <c r="F176" s="1014"/>
      <c r="G176" s="1015"/>
      <c r="H176" s="1016"/>
      <c r="I176" s="1017"/>
      <c r="J176" s="1018"/>
      <c r="K176" s="1019"/>
      <c r="L176" s="1065"/>
      <c r="M176" s="1065"/>
      <c r="N176" s="1065"/>
      <c r="O176" s="1188"/>
      <c r="P176" s="8"/>
    </row>
    <row r="177" spans="2:19" ht="18" hidden="1" x14ac:dyDescent="0.35">
      <c r="B177" s="1663"/>
      <c r="C177" s="1648"/>
      <c r="D177" s="1012" t="s">
        <v>12</v>
      </c>
      <c r="E177" s="1013"/>
      <c r="F177" s="1014"/>
      <c r="G177" s="1015"/>
      <c r="H177" s="1016"/>
      <c r="I177" s="1017"/>
      <c r="J177" s="1018"/>
      <c r="K177" s="1019"/>
      <c r="L177" s="1065"/>
      <c r="M177" s="1065"/>
      <c r="N177" s="1065"/>
      <c r="O177" s="1188"/>
      <c r="P177" s="8"/>
    </row>
    <row r="178" spans="2:19" ht="18" hidden="1" x14ac:dyDescent="0.35">
      <c r="B178" s="1664"/>
      <c r="C178" s="1665"/>
      <c r="D178" s="1012" t="s">
        <v>13</v>
      </c>
      <c r="E178" s="1013"/>
      <c r="F178" s="1014"/>
      <c r="G178" s="1015"/>
      <c r="H178" s="1016"/>
      <c r="I178" s="1017"/>
      <c r="J178" s="1018"/>
      <c r="K178" s="1019"/>
      <c r="L178" s="1065"/>
      <c r="M178" s="1065"/>
      <c r="N178" s="1065"/>
      <c r="O178" s="1188"/>
      <c r="P178" s="8"/>
    </row>
    <row r="179" spans="2:19" ht="18" x14ac:dyDescent="0.35">
      <c r="B179" s="1623" t="s">
        <v>16</v>
      </c>
      <c r="C179" s="1624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8">
        <f>AVERAGE(M6:M103)</f>
        <v>14.502918803418806</v>
      </c>
      <c r="N179" s="1189">
        <f>AVERAGE(N6:N85)</f>
        <v>113.49247487179487</v>
      </c>
      <c r="O179" s="1188"/>
      <c r="S179" s="4"/>
    </row>
    <row r="180" spans="2:19" ht="18.600000000000001" thickBot="1" x14ac:dyDescent="0.4">
      <c r="B180" s="1625" t="s">
        <v>17</v>
      </c>
      <c r="C180" s="1626"/>
      <c r="D180" s="1181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8872.1930700000012</v>
      </c>
      <c r="O180" s="284"/>
      <c r="Q180" s="4"/>
      <c r="R180" s="4"/>
      <c r="S180" s="2"/>
    </row>
    <row r="181" spans="2:19" x14ac:dyDescent="0.3">
      <c r="D181" s="1180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22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21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topLeftCell="C1" zoomScale="78" zoomScaleNormal="78" workbookViewId="0">
      <pane ySplit="4" topLeftCell="A28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670" t="s">
        <v>122</v>
      </c>
      <c r="C1" s="1670"/>
      <c r="D1" s="1670"/>
      <c r="E1" s="1670"/>
      <c r="F1" s="1670"/>
      <c r="G1" s="1670"/>
      <c r="H1" s="1670"/>
      <c r="I1" s="1670"/>
      <c r="J1" s="1670"/>
      <c r="K1" s="1670"/>
      <c r="L1" s="1670"/>
    </row>
    <row r="2" spans="1:27" ht="18" x14ac:dyDescent="0.35">
      <c r="F2" s="1676" t="s">
        <v>416</v>
      </c>
      <c r="G2" s="1676"/>
      <c r="H2" s="1676"/>
      <c r="I2" s="1676"/>
      <c r="J2" s="1676"/>
    </row>
    <row r="3" spans="1:27" ht="15" thickBot="1" x14ac:dyDescent="0.35">
      <c r="A3" s="1671" t="s">
        <v>198</v>
      </c>
      <c r="B3" s="1672"/>
      <c r="C3" s="1672"/>
      <c r="D3" s="1672"/>
      <c r="E3" s="1672"/>
      <c r="F3" s="1672"/>
      <c r="G3" s="1673"/>
    </row>
    <row r="4" spans="1:27" ht="15" thickBot="1" x14ac:dyDescent="0.35">
      <c r="A4" s="1674" t="s">
        <v>0</v>
      </c>
      <c r="B4" s="167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666">
        <v>46252</v>
      </c>
      <c r="B6" s="1667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666">
        <v>46253</v>
      </c>
      <c r="B7" s="1667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666">
        <v>46254</v>
      </c>
      <c r="B8" s="1667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668" t="s">
        <v>208</v>
      </c>
      <c r="AA8" s="1669"/>
    </row>
    <row r="9" spans="1:27" x14ac:dyDescent="0.3">
      <c r="A9" s="1666">
        <v>46255</v>
      </c>
      <c r="B9" s="1667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666">
        <v>46256</v>
      </c>
      <c r="B10" s="1667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666">
        <v>46257</v>
      </c>
      <c r="B11" s="1667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666">
        <v>46258</v>
      </c>
      <c r="B12" s="1667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666">
        <v>46259</v>
      </c>
      <c r="B13" s="1667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666">
        <v>46260</v>
      </c>
      <c r="B14" s="1667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666">
        <v>46261</v>
      </c>
      <c r="B15" s="1667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666">
        <v>46262</v>
      </c>
      <c r="B16" s="1667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666">
        <v>46263</v>
      </c>
      <c r="B17" s="1667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666">
        <v>46264</v>
      </c>
      <c r="B18" s="1667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666">
        <v>46265</v>
      </c>
      <c r="B19" s="1667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666">
        <v>46266</v>
      </c>
      <c r="B20" s="1667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666">
        <v>46267</v>
      </c>
      <c r="B21" s="1667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666">
        <v>46268</v>
      </c>
      <c r="B22" s="1667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666">
        <v>46269</v>
      </c>
      <c r="B23" s="1667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666">
        <v>46270</v>
      </c>
      <c r="B24" s="1667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666">
        <v>46271</v>
      </c>
      <c r="B25" s="1667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666">
        <v>46272</v>
      </c>
      <c r="B26" s="1667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666">
        <v>46273</v>
      </c>
      <c r="B27" s="1667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666">
        <v>46274</v>
      </c>
      <c r="B28" s="1667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666">
        <v>46275</v>
      </c>
      <c r="B29" s="1667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666">
        <v>46276</v>
      </c>
      <c r="B30" s="1667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666">
        <v>46277</v>
      </c>
      <c r="B31" s="1667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666">
        <v>46278</v>
      </c>
      <c r="B32" s="1667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666">
        <v>46279</v>
      </c>
      <c r="B33" s="1667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666">
        <v>46280</v>
      </c>
      <c r="B34" s="1667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666">
        <v>46281</v>
      </c>
      <c r="B35" s="1667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666">
        <v>46282</v>
      </c>
      <c r="B36" s="1667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666">
        <v>46283</v>
      </c>
      <c r="B37" s="1667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666">
        <v>46284</v>
      </c>
      <c r="B38" s="1667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666">
        <v>46285</v>
      </c>
      <c r="B39" s="1667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666">
        <v>46286</v>
      </c>
      <c r="B40" s="1667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666">
        <v>46287</v>
      </c>
      <c r="B41" s="1667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666">
        <v>46288</v>
      </c>
      <c r="B42" s="1667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4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677" t="s">
        <v>599</v>
      </c>
      <c r="C2" s="1678"/>
      <c r="D2" s="1678"/>
      <c r="E2" s="1678"/>
      <c r="F2" s="1678"/>
      <c r="G2" s="1678"/>
      <c r="H2" s="1678"/>
      <c r="I2" s="1678"/>
      <c r="J2" s="1678"/>
      <c r="K2" s="1678"/>
      <c r="L2" s="1678"/>
      <c r="M2" s="1678"/>
      <c r="N2" s="1678"/>
      <c r="O2" s="1678"/>
      <c r="P2" s="1678"/>
      <c r="Q2" s="1678"/>
      <c r="R2" s="1678"/>
      <c r="S2" s="1678"/>
      <c r="T2" s="1679"/>
    </row>
    <row r="3" spans="2:28" x14ac:dyDescent="1.65">
      <c r="B3" s="846"/>
      <c r="C3" s="1678" t="s">
        <v>600</v>
      </c>
      <c r="D3" s="1678"/>
      <c r="E3" s="1678"/>
      <c r="F3" s="1678"/>
      <c r="G3" s="1678"/>
      <c r="H3" s="1678"/>
      <c r="I3" s="1678"/>
      <c r="J3" s="1678"/>
      <c r="K3" s="1678"/>
      <c r="L3" s="1678"/>
      <c r="M3" s="1678"/>
      <c r="N3" s="1678"/>
      <c r="O3" s="1678"/>
      <c r="P3" s="1678"/>
      <c r="Q3" s="1678"/>
      <c r="R3" s="1678"/>
      <c r="S3" s="1678"/>
      <c r="T3" s="1679"/>
    </row>
    <row r="4" spans="2:28" ht="92.4" thickBot="1" x14ac:dyDescent="1.7">
      <c r="B4" s="1680" t="s">
        <v>601</v>
      </c>
      <c r="C4" s="1681"/>
      <c r="D4" s="1681"/>
      <c r="E4" s="1681"/>
      <c r="F4" s="1681"/>
      <c r="G4" s="1681"/>
      <c r="H4" s="1681"/>
      <c r="I4" s="1681"/>
      <c r="J4" s="1681"/>
      <c r="K4" s="1681"/>
      <c r="L4" s="1681"/>
      <c r="M4" s="1681"/>
      <c r="N4" s="1681"/>
      <c r="O4" s="1681"/>
      <c r="P4" s="1681"/>
      <c r="Q4" s="1681"/>
      <c r="R4" s="1681"/>
      <c r="S4" s="1681"/>
      <c r="T4" s="1682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683" t="s">
        <v>620</v>
      </c>
      <c r="C6" s="1684"/>
      <c r="D6" s="1684"/>
      <c r="E6" s="1684"/>
      <c r="F6" s="1684"/>
      <c r="G6" s="1684"/>
      <c r="H6" s="1684"/>
      <c r="I6" s="1684"/>
      <c r="J6" s="1684"/>
      <c r="K6" s="1684"/>
      <c r="L6" s="1684"/>
      <c r="M6" s="1684"/>
      <c r="N6" s="1684"/>
      <c r="O6" s="1684"/>
      <c r="P6" s="1684"/>
      <c r="Q6" s="1684"/>
      <c r="R6" s="1684"/>
      <c r="S6" s="1684"/>
      <c r="T6" s="1685"/>
    </row>
    <row r="7" spans="2:28" ht="92.4" thickBot="1" x14ac:dyDescent="1.7">
      <c r="B7" s="1686"/>
      <c r="C7" s="1687"/>
      <c r="D7" s="1687"/>
      <c r="E7" s="1687"/>
      <c r="F7" s="1687"/>
      <c r="G7" s="1687"/>
      <c r="H7" s="1687"/>
      <c r="I7" s="1687"/>
      <c r="J7" s="1687"/>
      <c r="K7" s="1687"/>
      <c r="L7" s="1687"/>
      <c r="M7" s="1687"/>
      <c r="N7" s="1687"/>
      <c r="O7" s="1687"/>
      <c r="P7" s="1687"/>
      <c r="Q7" s="1687"/>
      <c r="R7" s="1687"/>
      <c r="S7" s="1687"/>
      <c r="T7" s="1688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689" t="s">
        <v>618</v>
      </c>
      <c r="AA13" s="1689"/>
      <c r="AB13" s="1689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5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5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5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5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5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5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5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5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5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5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5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5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5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305" zoomScale="78" zoomScaleNormal="78" workbookViewId="0">
      <selection activeCell="X276" sqref="X276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1" width="8.88671875" style="1"/>
    <col min="12" max="12" width="10.33203125" style="1" bestFit="1" customWidth="1"/>
    <col min="13" max="13" width="11.664062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1.6640625" style="1" bestFit="1" customWidth="1"/>
    <col min="22" max="22" width="7.77734375" style="1" bestFit="1" customWidth="1"/>
    <col min="23" max="16384" width="8.88671875" style="1"/>
  </cols>
  <sheetData>
    <row r="2" spans="2:28" x14ac:dyDescent="0.3">
      <c r="B2" s="1592" t="s">
        <v>456</v>
      </c>
      <c r="C2" s="1592"/>
      <c r="D2" s="1592"/>
      <c r="E2" s="1592"/>
      <c r="F2" s="1592"/>
      <c r="G2" s="1592"/>
      <c r="H2" s="1592"/>
      <c r="T2" s="1741" t="s">
        <v>497</v>
      </c>
      <c r="U2" s="1741"/>
      <c r="V2" s="1741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710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711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711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711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711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711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711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711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711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711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711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712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707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708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708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708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708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708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708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708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709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710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711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711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711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711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711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711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711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711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711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711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712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707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708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708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708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708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708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708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708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708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708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708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709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707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708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708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708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708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708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708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708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709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710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711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711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711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711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712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707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708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708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708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708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708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708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708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709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710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711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711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711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711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711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711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711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711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711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711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712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715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716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716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716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716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716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716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716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716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716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716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717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735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736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736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736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736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736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736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736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736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736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736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736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736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736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736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736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736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736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736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736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737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730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731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731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731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731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731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731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731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732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735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736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736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736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736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736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736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736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736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736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736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736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736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736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736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736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736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737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738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739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739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739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739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592" t="s">
        <v>824</v>
      </c>
      <c r="L152" s="1592"/>
      <c r="M152" s="1592"/>
      <c r="N152" s="1592"/>
      <c r="O152" s="1592"/>
      <c r="P152" s="1592"/>
      <c r="S152" s="1734" t="s">
        <v>824</v>
      </c>
      <c r="T152" s="1734"/>
      <c r="U152" s="1734"/>
      <c r="V152" s="1734"/>
      <c r="W152" s="1734"/>
      <c r="X152" s="1734"/>
    </row>
    <row r="153" spans="2:25" ht="14.4" customHeight="1" x14ac:dyDescent="0.3">
      <c r="B153" s="452">
        <v>150</v>
      </c>
      <c r="C153" s="1739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592" t="s">
        <v>825</v>
      </c>
      <c r="L153" s="1592"/>
      <c r="M153" s="1592"/>
      <c r="N153" s="1592"/>
      <c r="O153" s="1592"/>
      <c r="P153" s="1592"/>
      <c r="S153" s="1734" t="s">
        <v>826</v>
      </c>
      <c r="T153" s="1734"/>
      <c r="U153" s="1734"/>
      <c r="V153" s="1734"/>
      <c r="W153" s="1734"/>
      <c r="X153" s="1734"/>
    </row>
    <row r="154" spans="2:25" ht="14.4" customHeight="1" x14ac:dyDescent="0.3">
      <c r="B154" s="452">
        <v>151</v>
      </c>
      <c r="C154" s="1739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2" t="s">
        <v>827</v>
      </c>
      <c r="T154" s="1282" t="s">
        <v>828</v>
      </c>
      <c r="U154" s="1282" t="s">
        <v>0</v>
      </c>
      <c r="V154" s="1282" t="s">
        <v>337</v>
      </c>
      <c r="W154" s="1282" t="s">
        <v>338</v>
      </c>
      <c r="X154" s="1282" t="s">
        <v>339</v>
      </c>
    </row>
    <row r="155" spans="2:25" ht="14.4" customHeight="1" x14ac:dyDescent="0.3">
      <c r="B155" s="452">
        <v>152</v>
      </c>
      <c r="C155" s="1739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3" t="s">
        <v>829</v>
      </c>
      <c r="M155" s="1284">
        <v>46299</v>
      </c>
      <c r="N155" s="1283">
        <v>0.442</v>
      </c>
      <c r="O155" s="1285">
        <v>1.35</v>
      </c>
      <c r="P155" s="1285">
        <v>15.49</v>
      </c>
      <c r="Q155" s="1309">
        <f>AVERAGE(N155:N157)</f>
        <v>0.54800000000000004</v>
      </c>
      <c r="S155" s="1286">
        <v>1</v>
      </c>
      <c r="T155" s="1283" t="s">
        <v>830</v>
      </c>
      <c r="U155" s="1284">
        <v>46300</v>
      </c>
      <c r="V155" s="1283">
        <v>0.51800000000000002</v>
      </c>
      <c r="W155" s="1285">
        <v>1.19</v>
      </c>
      <c r="X155" s="1285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739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3" t="s">
        <v>831</v>
      </c>
      <c r="M156" s="1284">
        <v>46299</v>
      </c>
      <c r="N156" s="1283">
        <v>0.48699999999999999</v>
      </c>
      <c r="O156" s="1285">
        <v>1.49</v>
      </c>
      <c r="P156" s="1285">
        <v>18.100000000000001</v>
      </c>
      <c r="S156" s="1286">
        <v>2</v>
      </c>
      <c r="T156" s="1283" t="s">
        <v>832</v>
      </c>
      <c r="U156" s="1284">
        <v>46300</v>
      </c>
      <c r="V156" s="1285">
        <v>0.53</v>
      </c>
      <c r="W156" s="1285">
        <v>1.1399999999999999</v>
      </c>
      <c r="X156" s="1285">
        <v>17.53</v>
      </c>
      <c r="Y156" s="117">
        <f>I160-Y155</f>
        <v>1.2666666666666715E-2</v>
      </c>
    </row>
    <row r="157" spans="2:25" x14ac:dyDescent="0.3">
      <c r="B157" s="452">
        <v>154</v>
      </c>
      <c r="C157" s="1739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3" t="s">
        <v>833</v>
      </c>
      <c r="M157" s="1284">
        <v>46299</v>
      </c>
      <c r="N157" s="1283">
        <v>0.71499999999999997</v>
      </c>
      <c r="O157" s="1285">
        <v>1.68</v>
      </c>
      <c r="P157" s="1285">
        <v>19.34</v>
      </c>
      <c r="S157" s="1286">
        <v>3</v>
      </c>
      <c r="T157" s="1283" t="s">
        <v>834</v>
      </c>
      <c r="U157" s="1284">
        <v>46300</v>
      </c>
      <c r="V157" s="1283">
        <v>0.54200000000000004</v>
      </c>
      <c r="W157" s="1285">
        <v>1.1100000000000001</v>
      </c>
      <c r="X157" s="1285">
        <v>17.5</v>
      </c>
    </row>
    <row r="158" spans="2:25" x14ac:dyDescent="0.3">
      <c r="B158" s="452">
        <v>155</v>
      </c>
      <c r="C158" s="1739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7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6">
        <v>4</v>
      </c>
      <c r="T158" s="659" t="s">
        <v>836</v>
      </c>
      <c r="U158" s="1287">
        <v>46301</v>
      </c>
      <c r="V158" s="1288">
        <v>0.85</v>
      </c>
      <c r="W158" s="1288">
        <v>0.5</v>
      </c>
      <c r="X158" s="1288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739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7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6">
        <v>5</v>
      </c>
      <c r="T159" s="659" t="s">
        <v>838</v>
      </c>
      <c r="U159" s="1287">
        <v>46301</v>
      </c>
      <c r="V159" s="659">
        <v>0.82599999999999996</v>
      </c>
      <c r="W159" s="1288">
        <v>0.56999999999999995</v>
      </c>
      <c r="X159" s="1288">
        <v>14.29</v>
      </c>
    </row>
    <row r="160" spans="2:25" x14ac:dyDescent="0.3">
      <c r="B160" s="452">
        <v>157</v>
      </c>
      <c r="C160" s="1739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7">
        <v>46300</v>
      </c>
      <c r="N160" s="659">
        <v>0.63400000000000001</v>
      </c>
      <c r="O160" s="659">
        <v>1.2070000000000001</v>
      </c>
      <c r="P160" s="659">
        <v>30.471</v>
      </c>
      <c r="S160" s="1286">
        <v>6</v>
      </c>
      <c r="T160" s="659" t="s">
        <v>840</v>
      </c>
      <c r="U160" s="1287">
        <v>46301</v>
      </c>
      <c r="V160" s="1288">
        <v>0.83599999999999997</v>
      </c>
      <c r="W160" s="1288">
        <v>0.56000000000000005</v>
      </c>
      <c r="X160" s="1288">
        <v>14.37</v>
      </c>
    </row>
    <row r="161" spans="2:25" x14ac:dyDescent="0.3">
      <c r="B161" s="452">
        <v>158</v>
      </c>
      <c r="C161" s="1739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7">
        <v>46300</v>
      </c>
      <c r="N161" s="659">
        <v>0.63800000000000001</v>
      </c>
      <c r="O161" s="659">
        <v>1.2230000000000001</v>
      </c>
      <c r="P161" s="659">
        <v>34.271999999999998</v>
      </c>
      <c r="S161" s="1286">
        <v>7</v>
      </c>
      <c r="T161" s="1289" t="s">
        <v>836</v>
      </c>
      <c r="U161" s="1290">
        <v>46302</v>
      </c>
      <c r="V161" s="1289">
        <v>0.41</v>
      </c>
      <c r="W161" s="1291">
        <v>0.48</v>
      </c>
      <c r="X161" s="1291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740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7">
        <v>46300</v>
      </c>
      <c r="N162" s="659">
        <v>0.63300000000000001</v>
      </c>
      <c r="O162" s="659">
        <v>0.82499999999999996</v>
      </c>
      <c r="P162" s="1288">
        <v>18.78</v>
      </c>
      <c r="S162" s="1286">
        <v>8</v>
      </c>
      <c r="T162" s="1289" t="s">
        <v>838</v>
      </c>
      <c r="U162" s="1290">
        <v>46302</v>
      </c>
      <c r="V162" s="1291">
        <v>0.438</v>
      </c>
      <c r="W162" s="1291">
        <v>0.43</v>
      </c>
      <c r="X162" s="1291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718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7">
        <v>46300</v>
      </c>
      <c r="N163" s="659">
        <v>0.70399999999999996</v>
      </c>
      <c r="O163" s="1288">
        <v>1.21</v>
      </c>
      <c r="P163" s="1288">
        <v>17.37</v>
      </c>
      <c r="S163" s="1286">
        <v>9</v>
      </c>
      <c r="T163" s="1289" t="s">
        <v>840</v>
      </c>
      <c r="U163" s="1290">
        <v>46302</v>
      </c>
      <c r="V163" s="1289">
        <v>0.46100000000000002</v>
      </c>
      <c r="W163" s="1291">
        <v>0.44</v>
      </c>
      <c r="X163" s="1291">
        <v>13.19</v>
      </c>
    </row>
    <row r="164" spans="2:25" ht="14.4" customHeight="1" x14ac:dyDescent="0.3">
      <c r="B164" s="615">
        <v>161</v>
      </c>
      <c r="C164" s="1719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89" t="s">
        <v>835</v>
      </c>
      <c r="M164" s="1290">
        <v>46302</v>
      </c>
      <c r="N164" s="1289">
        <v>0.52800000000000002</v>
      </c>
      <c r="O164" s="1291">
        <v>0.81</v>
      </c>
      <c r="P164" s="1291">
        <v>12.91</v>
      </c>
      <c r="Q164" s="1">
        <f>AVERAGE(N164:N169)</f>
        <v>0.53349999999999997</v>
      </c>
      <c r="S164" s="1286">
        <v>10</v>
      </c>
      <c r="T164" s="1289" t="s">
        <v>830</v>
      </c>
      <c r="U164" s="1290">
        <v>46302</v>
      </c>
      <c r="V164" s="1291">
        <v>0.36599999999999999</v>
      </c>
      <c r="W164" s="1291">
        <v>0.4</v>
      </c>
      <c r="X164" s="1291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719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89" t="s">
        <v>837</v>
      </c>
      <c r="M165" s="1290">
        <v>46302</v>
      </c>
      <c r="N165" s="1289">
        <v>0.54700000000000004</v>
      </c>
      <c r="O165" s="1291">
        <v>0.94</v>
      </c>
      <c r="P165" s="1291">
        <v>15.09</v>
      </c>
      <c r="Q165" s="117">
        <f>I163-Q164</f>
        <v>-0.13583333333333331</v>
      </c>
      <c r="S165" s="1286">
        <v>11</v>
      </c>
      <c r="T165" s="1289" t="s">
        <v>832</v>
      </c>
      <c r="U165" s="1290">
        <v>46302</v>
      </c>
      <c r="V165" s="1289">
        <v>0.373</v>
      </c>
      <c r="W165" s="1291">
        <v>0.41</v>
      </c>
      <c r="X165" s="1291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719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89" t="s">
        <v>839</v>
      </c>
      <c r="M166" s="1290">
        <v>46302</v>
      </c>
      <c r="N166" s="1289">
        <v>0.54900000000000004</v>
      </c>
      <c r="O166" s="1291">
        <v>0.79</v>
      </c>
      <c r="P166" s="1291">
        <v>13.53</v>
      </c>
      <c r="S166" s="1286">
        <v>12</v>
      </c>
      <c r="T166" s="1289" t="s">
        <v>834</v>
      </c>
      <c r="U166" s="1290">
        <v>46302</v>
      </c>
      <c r="V166" s="1291">
        <v>0.33</v>
      </c>
      <c r="W166" s="1291">
        <v>0.41</v>
      </c>
      <c r="X166" s="1291">
        <v>8.5299999999999994</v>
      </c>
    </row>
    <row r="167" spans="2:25" ht="14.4" customHeight="1" x14ac:dyDescent="0.3">
      <c r="B167" s="615">
        <v>164</v>
      </c>
      <c r="C167" s="1719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89" t="s">
        <v>829</v>
      </c>
      <c r="M167" s="1290">
        <v>46302</v>
      </c>
      <c r="N167" s="1289">
        <v>0.80700000000000005</v>
      </c>
      <c r="O167" s="1291">
        <v>0.76</v>
      </c>
      <c r="P167" s="1291">
        <v>17.62</v>
      </c>
      <c r="S167" s="1286">
        <v>13</v>
      </c>
      <c r="T167" s="1292" t="s">
        <v>836</v>
      </c>
      <c r="U167" s="1293">
        <v>46303</v>
      </c>
      <c r="V167" s="1292">
        <v>0.41799999999999998</v>
      </c>
      <c r="W167" s="1294">
        <v>0.38</v>
      </c>
      <c r="X167" s="1294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719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89" t="s">
        <v>831</v>
      </c>
      <c r="M168" s="1290">
        <v>46302</v>
      </c>
      <c r="N168" s="1289">
        <v>0.41199999999999998</v>
      </c>
      <c r="O168" s="1291">
        <v>0.22</v>
      </c>
      <c r="P168" s="1291">
        <v>7.23</v>
      </c>
      <c r="S168" s="1286">
        <v>14</v>
      </c>
      <c r="T168" s="1292" t="s">
        <v>838</v>
      </c>
      <c r="U168" s="1293">
        <v>46303</v>
      </c>
      <c r="V168" s="1294">
        <v>0.41499999999999998</v>
      </c>
      <c r="W168" s="1294">
        <v>0.39</v>
      </c>
      <c r="X168" s="1294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719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89" t="s">
        <v>833</v>
      </c>
      <c r="M169" s="1290">
        <v>46302</v>
      </c>
      <c r="N169" s="1289">
        <v>0.35799999999999998</v>
      </c>
      <c r="O169" s="1291">
        <v>0.11</v>
      </c>
      <c r="P169" s="1291">
        <v>7.77</v>
      </c>
      <c r="S169" s="1286">
        <v>15</v>
      </c>
      <c r="T169" s="1292" t="s">
        <v>840</v>
      </c>
      <c r="U169" s="1293">
        <v>46303</v>
      </c>
      <c r="V169" s="1292">
        <v>0.40100000000000002</v>
      </c>
      <c r="W169" s="1294">
        <v>0.37</v>
      </c>
      <c r="X169" s="1294">
        <v>6.35</v>
      </c>
    </row>
    <row r="170" spans="2:25" ht="14.4" customHeight="1" x14ac:dyDescent="0.3">
      <c r="B170" s="615">
        <v>167</v>
      </c>
      <c r="C170" s="1719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2" t="s">
        <v>835</v>
      </c>
      <c r="M170" s="1293">
        <v>46303</v>
      </c>
      <c r="N170" s="1292">
        <v>0.48399999999999999</v>
      </c>
      <c r="O170" s="1294">
        <v>0.31</v>
      </c>
      <c r="P170" s="1294">
        <v>6.36</v>
      </c>
      <c r="Q170" s="117">
        <f>AVERAGE(N170:N175)</f>
        <v>0.45316666666666666</v>
      </c>
      <c r="S170" s="1286">
        <v>16</v>
      </c>
      <c r="T170" s="1292" t="s">
        <v>830</v>
      </c>
      <c r="U170" s="1293">
        <v>46303</v>
      </c>
      <c r="V170" s="1294">
        <v>0.34599999999999997</v>
      </c>
      <c r="W170" s="1294">
        <v>0.42</v>
      </c>
      <c r="X170" s="1294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719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2" t="s">
        <v>837</v>
      </c>
      <c r="M171" s="1293">
        <v>46303</v>
      </c>
      <c r="N171" s="1292">
        <v>0.308</v>
      </c>
      <c r="O171" s="1294">
        <v>0.09</v>
      </c>
      <c r="P171" s="1294">
        <v>5.2</v>
      </c>
      <c r="Q171" s="117">
        <f>I169-Q170</f>
        <v>-3.8166666666666627E-2</v>
      </c>
      <c r="S171" s="1286">
        <v>17</v>
      </c>
      <c r="T171" s="1292" t="s">
        <v>832</v>
      </c>
      <c r="U171" s="1293">
        <v>46303</v>
      </c>
      <c r="V171" s="1292">
        <v>0.39500000000000002</v>
      </c>
      <c r="W171" s="1294">
        <v>0.26</v>
      </c>
      <c r="X171" s="1294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731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2" t="s">
        <v>839</v>
      </c>
      <c r="M172" s="1293">
        <v>46303</v>
      </c>
      <c r="N172" s="1292">
        <v>0.19400000000000001</v>
      </c>
      <c r="O172" s="1294">
        <v>0.38</v>
      </c>
      <c r="P172" s="1294">
        <v>5.08</v>
      </c>
      <c r="S172" s="1286">
        <v>18</v>
      </c>
      <c r="T172" s="1292" t="s">
        <v>834</v>
      </c>
      <c r="U172" s="1293">
        <v>46303</v>
      </c>
      <c r="V172" s="1294">
        <v>0.39600000000000002</v>
      </c>
      <c r="W172" s="1294">
        <v>0.23</v>
      </c>
      <c r="X172" s="1294">
        <v>10.34</v>
      </c>
    </row>
    <row r="173" spans="2:25" ht="14.4" customHeight="1" x14ac:dyDescent="0.3">
      <c r="B173" s="452">
        <v>170</v>
      </c>
      <c r="C173" s="1731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2" t="s">
        <v>829</v>
      </c>
      <c r="M173" s="1293">
        <v>46303</v>
      </c>
      <c r="N173" s="1292">
        <v>0.59299999999999997</v>
      </c>
      <c r="O173" s="1294">
        <v>0.5</v>
      </c>
      <c r="P173" s="1294">
        <v>9.5500000000000007</v>
      </c>
      <c r="S173" s="1286">
        <v>19</v>
      </c>
      <c r="T173" s="1295" t="s">
        <v>830</v>
      </c>
      <c r="U173" s="1296">
        <v>46304</v>
      </c>
      <c r="V173" s="1295">
        <v>0.39300000000000002</v>
      </c>
      <c r="W173" s="1297">
        <v>0.17</v>
      </c>
      <c r="X173" s="1297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731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2" t="s">
        <v>831</v>
      </c>
      <c r="M174" s="1293">
        <v>46303</v>
      </c>
      <c r="N174" s="1292">
        <v>0.58299999999999996</v>
      </c>
      <c r="O174" s="1294">
        <v>0.57999999999999996</v>
      </c>
      <c r="P174" s="1294">
        <v>9.27</v>
      </c>
      <c r="S174" s="1286">
        <v>20</v>
      </c>
      <c r="T174" s="1295" t="s">
        <v>832</v>
      </c>
      <c r="U174" s="1296">
        <v>46304</v>
      </c>
      <c r="V174" s="1297">
        <v>0.34300000000000003</v>
      </c>
      <c r="W174" s="1297">
        <v>0.09</v>
      </c>
      <c r="X174" s="1297">
        <v>10.48</v>
      </c>
    </row>
    <row r="175" spans="2:25" x14ac:dyDescent="0.3">
      <c r="B175" s="452">
        <v>172</v>
      </c>
      <c r="C175" s="1731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2" t="s">
        <v>833</v>
      </c>
      <c r="M175" s="1293">
        <v>46303</v>
      </c>
      <c r="N175" s="1292">
        <v>0.55700000000000005</v>
      </c>
      <c r="O175" s="1294">
        <v>0.56000000000000005</v>
      </c>
      <c r="P175" s="1294">
        <v>9.81</v>
      </c>
      <c r="S175" s="1286">
        <v>21</v>
      </c>
      <c r="T175" s="1295" t="s">
        <v>834</v>
      </c>
      <c r="U175" s="1296">
        <v>46304</v>
      </c>
      <c r="V175" s="1297">
        <v>0.39</v>
      </c>
      <c r="W175" s="1297">
        <v>0.23</v>
      </c>
      <c r="X175" s="1297">
        <v>11.62</v>
      </c>
    </row>
    <row r="176" spans="2:25" x14ac:dyDescent="0.3">
      <c r="B176" s="452">
        <v>173</v>
      </c>
      <c r="C176" s="1731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8" t="s">
        <v>835</v>
      </c>
      <c r="M176" s="1299">
        <v>46304</v>
      </c>
      <c r="N176" s="1298">
        <v>0.624</v>
      </c>
      <c r="O176" s="1300">
        <v>0.44</v>
      </c>
      <c r="P176" s="1300">
        <v>9.83</v>
      </c>
      <c r="Q176" s="1">
        <f>AVERAGE(N176:N179)</f>
        <v>0.52100000000000002</v>
      </c>
      <c r="S176" s="1286">
        <v>22</v>
      </c>
      <c r="T176" s="1124" t="s">
        <v>836</v>
      </c>
      <c r="U176" s="1301">
        <v>46306</v>
      </c>
      <c r="V176" s="1302">
        <v>0.66</v>
      </c>
      <c r="W176" s="1302">
        <v>0.46</v>
      </c>
      <c r="X176" s="1302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731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8" t="s">
        <v>837</v>
      </c>
      <c r="M177" s="1299">
        <v>46304</v>
      </c>
      <c r="N177" s="1298">
        <v>0.55800000000000005</v>
      </c>
      <c r="O177" s="1300">
        <v>0.41</v>
      </c>
      <c r="P177" s="1300">
        <v>10.14</v>
      </c>
      <c r="Q177" s="1">
        <f>Q176-I175</f>
        <v>0.14800000000000002</v>
      </c>
      <c r="S177" s="1286">
        <v>23</v>
      </c>
      <c r="T177" s="1124" t="s">
        <v>838</v>
      </c>
      <c r="U177" s="1301">
        <v>46306</v>
      </c>
      <c r="V177" s="1302">
        <v>0.63700000000000001</v>
      </c>
      <c r="W177" s="1302">
        <v>0.42</v>
      </c>
      <c r="X177" s="1302">
        <v>13.4</v>
      </c>
      <c r="Y177" s="117">
        <f>Y176-I184</f>
        <v>0.13183333333333336</v>
      </c>
    </row>
    <row r="178" spans="2:25" x14ac:dyDescent="0.3">
      <c r="B178" s="452">
        <v>175</v>
      </c>
      <c r="C178" s="1731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8" t="s">
        <v>841</v>
      </c>
      <c r="M178" s="1299">
        <v>46304</v>
      </c>
      <c r="N178" s="1298">
        <v>0.57199999999999995</v>
      </c>
      <c r="O178" s="1300">
        <v>0.41</v>
      </c>
      <c r="P178" s="1300">
        <v>10</v>
      </c>
      <c r="S178" s="1286">
        <v>24</v>
      </c>
      <c r="T178" s="1124" t="s">
        <v>840</v>
      </c>
      <c r="U178" s="1301">
        <v>46306</v>
      </c>
      <c r="V178" s="1302">
        <v>0.69699999999999995</v>
      </c>
      <c r="W178" s="1302">
        <v>0.41</v>
      </c>
      <c r="X178" s="1302">
        <v>13.43</v>
      </c>
    </row>
    <row r="179" spans="2:25" x14ac:dyDescent="0.3">
      <c r="B179" s="452">
        <v>176</v>
      </c>
      <c r="C179" s="1731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8" t="s">
        <v>831</v>
      </c>
      <c r="M179" s="1299">
        <v>46304</v>
      </c>
      <c r="N179" s="1300">
        <v>0.33</v>
      </c>
      <c r="O179" s="1300">
        <v>0.39</v>
      </c>
      <c r="P179" s="1300">
        <v>9.1</v>
      </c>
      <c r="S179" s="1286">
        <v>25</v>
      </c>
      <c r="T179" s="1124" t="s">
        <v>830</v>
      </c>
      <c r="U179" s="1301">
        <v>46306</v>
      </c>
      <c r="V179" s="1302">
        <v>0.20100000000000001</v>
      </c>
      <c r="W179" s="1302">
        <v>0.51</v>
      </c>
      <c r="X179" s="1302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732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5" t="s">
        <v>835</v>
      </c>
      <c r="M180" s="1296">
        <v>46305</v>
      </c>
      <c r="N180" s="1295">
        <v>0.60899999999999999</v>
      </c>
      <c r="O180" s="1297">
        <v>0.44</v>
      </c>
      <c r="P180" s="1297">
        <v>11.33</v>
      </c>
      <c r="Q180" s="117">
        <f>AVERAGE(N180:N185)</f>
        <v>0.49066666666666664</v>
      </c>
      <c r="S180" s="1286">
        <v>26</v>
      </c>
      <c r="T180" s="1124" t="s">
        <v>832</v>
      </c>
      <c r="U180" s="1301">
        <v>46306</v>
      </c>
      <c r="V180" s="1302">
        <v>0.61699999999999999</v>
      </c>
      <c r="W180" s="1302">
        <v>0.44</v>
      </c>
      <c r="X180" s="1302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718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5" t="s">
        <v>837</v>
      </c>
      <c r="M181" s="1296">
        <v>46305</v>
      </c>
      <c r="N181" s="1295">
        <v>0.47199999999999998</v>
      </c>
      <c r="O181" s="1297">
        <v>0.53</v>
      </c>
      <c r="P181" s="1297">
        <v>11.93</v>
      </c>
      <c r="Q181" s="117">
        <f>Q180-I181</f>
        <v>-3.5000000000000087E-2</v>
      </c>
      <c r="S181" s="1286">
        <v>27</v>
      </c>
      <c r="T181" s="1124" t="s">
        <v>834</v>
      </c>
      <c r="U181" s="1301">
        <v>46306</v>
      </c>
      <c r="V181" s="1302">
        <v>0.50700000000000001</v>
      </c>
      <c r="W181" s="1302">
        <v>0.5</v>
      </c>
      <c r="X181" s="1302">
        <v>13.46</v>
      </c>
    </row>
    <row r="182" spans="2:25" ht="14.4" customHeight="1" x14ac:dyDescent="0.3">
      <c r="B182" s="615">
        <v>179</v>
      </c>
      <c r="C182" s="1719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5" t="s">
        <v>839</v>
      </c>
      <c r="M182" s="1296">
        <v>46305</v>
      </c>
      <c r="N182" s="1297">
        <v>0.52</v>
      </c>
      <c r="O182" s="1297">
        <v>0.5</v>
      </c>
      <c r="P182" s="1297">
        <v>12.99</v>
      </c>
      <c r="S182" s="1286">
        <v>28</v>
      </c>
      <c r="T182" s="1303" t="s">
        <v>836</v>
      </c>
      <c r="U182" s="1304">
        <v>46307</v>
      </c>
      <c r="V182" s="1305">
        <v>0.65100000000000002</v>
      </c>
      <c r="W182" s="1305">
        <v>0.65</v>
      </c>
      <c r="X182" s="1305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719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5" t="s">
        <v>829</v>
      </c>
      <c r="M183" s="1296">
        <v>46305</v>
      </c>
      <c r="N183" s="1295">
        <v>0.48299999999999998</v>
      </c>
      <c r="O183" s="1297">
        <v>0.39</v>
      </c>
      <c r="P183" s="1297">
        <v>11.44</v>
      </c>
      <c r="S183" s="1286">
        <v>29</v>
      </c>
      <c r="T183" s="1303" t="s">
        <v>838</v>
      </c>
      <c r="U183" s="1304">
        <v>46307</v>
      </c>
      <c r="V183" s="1305">
        <v>0.65700000000000003</v>
      </c>
      <c r="W183" s="1305">
        <v>0.62</v>
      </c>
      <c r="X183" s="1305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719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5" t="s">
        <v>831</v>
      </c>
      <c r="M184" s="1296">
        <v>46306</v>
      </c>
      <c r="N184" s="1297">
        <v>0.39</v>
      </c>
      <c r="O184" s="1297">
        <v>0.52</v>
      </c>
      <c r="P184" s="1297">
        <v>14.48</v>
      </c>
      <c r="S184" s="1286">
        <v>30</v>
      </c>
      <c r="T184" s="1303" t="s">
        <v>840</v>
      </c>
      <c r="U184" s="1304">
        <v>46307</v>
      </c>
      <c r="V184" s="1305">
        <v>0.65500000000000003</v>
      </c>
      <c r="W184" s="1305">
        <v>0.63</v>
      </c>
      <c r="X184" s="1305">
        <v>13.3</v>
      </c>
    </row>
    <row r="185" spans="2:25" ht="14.4" customHeight="1" x14ac:dyDescent="0.3">
      <c r="B185" s="615">
        <v>182</v>
      </c>
      <c r="C185" s="1719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5" t="s">
        <v>833</v>
      </c>
      <c r="M185" s="1296">
        <v>46306</v>
      </c>
      <c r="N185" s="1297">
        <v>0.47</v>
      </c>
      <c r="O185" s="1297">
        <v>0.57999999999999996</v>
      </c>
      <c r="P185" s="1297">
        <v>14.46</v>
      </c>
      <c r="S185" s="1286">
        <v>31</v>
      </c>
      <c r="T185" s="1303" t="s">
        <v>830</v>
      </c>
      <c r="U185" s="1304">
        <v>46307</v>
      </c>
      <c r="V185" s="1305">
        <v>0.61899999999999999</v>
      </c>
      <c r="W185" s="1305">
        <v>0.52</v>
      </c>
      <c r="X185" s="1305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719"/>
      <c r="D186" s="615" t="s">
        <v>460</v>
      </c>
      <c r="E186" s="616">
        <v>46306</v>
      </c>
      <c r="F186" s="1254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4" t="s">
        <v>835</v>
      </c>
      <c r="M186" s="1301">
        <v>46307</v>
      </c>
      <c r="N186" s="1302">
        <v>0.72299999999999998</v>
      </c>
      <c r="O186" s="1302">
        <v>0.72</v>
      </c>
      <c r="P186" s="1302">
        <v>15.05</v>
      </c>
      <c r="Q186" s="117">
        <f>AVERAGE(N186:N191)</f>
        <v>0.64300000000000002</v>
      </c>
      <c r="S186" s="1286">
        <v>32</v>
      </c>
      <c r="T186" s="1303" t="s">
        <v>832</v>
      </c>
      <c r="U186" s="1304">
        <v>46307</v>
      </c>
      <c r="V186" s="1305">
        <v>0.61299999999999999</v>
      </c>
      <c r="W186" s="1305">
        <v>0.56999999999999995</v>
      </c>
      <c r="X186" s="1305">
        <v>13.57</v>
      </c>
    </row>
    <row r="187" spans="2:25" ht="14.4" customHeight="1" x14ac:dyDescent="0.3">
      <c r="B187" s="615">
        <v>184</v>
      </c>
      <c r="C187" s="1719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4" t="s">
        <v>837</v>
      </c>
      <c r="M187" s="1301">
        <v>46307</v>
      </c>
      <c r="N187" s="1302">
        <v>0.68799999999999994</v>
      </c>
      <c r="O187" s="1302">
        <v>0.81</v>
      </c>
      <c r="P187" s="1302">
        <v>15.47</v>
      </c>
      <c r="S187" s="1286">
        <v>33</v>
      </c>
      <c r="T187" s="1303" t="s">
        <v>834</v>
      </c>
      <c r="U187" s="1304">
        <v>46307</v>
      </c>
      <c r="V187" s="1305">
        <v>0.63200000000000001</v>
      </c>
      <c r="W187" s="1305">
        <v>0.53</v>
      </c>
      <c r="X187" s="1305">
        <v>13.41</v>
      </c>
    </row>
    <row r="188" spans="2:25" ht="14.4" customHeight="1" x14ac:dyDescent="0.3">
      <c r="B188" s="615">
        <v>185</v>
      </c>
      <c r="C188" s="1719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4" t="s">
        <v>839</v>
      </c>
      <c r="M188" s="1301">
        <v>46307</v>
      </c>
      <c r="N188" s="1302">
        <v>0.94599999999999995</v>
      </c>
      <c r="O188" s="1302">
        <v>0.66</v>
      </c>
      <c r="P188" s="1302">
        <v>15.24</v>
      </c>
      <c r="S188" s="1286">
        <v>34</v>
      </c>
      <c r="T188" s="1306" t="s">
        <v>836</v>
      </c>
      <c r="U188" s="1307">
        <v>46308</v>
      </c>
      <c r="V188" s="1308">
        <v>0.32400000000000001</v>
      </c>
      <c r="W188" s="1306">
        <v>0.39</v>
      </c>
      <c r="X188" s="1306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719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4" t="s">
        <v>829</v>
      </c>
      <c r="M189" s="1301">
        <v>46307</v>
      </c>
      <c r="N189" s="1302">
        <v>0.75800000000000001</v>
      </c>
      <c r="O189" s="1302">
        <v>0.64</v>
      </c>
      <c r="P189" s="1302">
        <v>14.66</v>
      </c>
      <c r="S189" s="1286">
        <v>35</v>
      </c>
      <c r="T189" s="1306" t="s">
        <v>838</v>
      </c>
      <c r="U189" s="1307">
        <v>46308</v>
      </c>
      <c r="V189" s="1308">
        <v>0.375</v>
      </c>
      <c r="W189" s="1306">
        <v>0.47</v>
      </c>
      <c r="X189" s="1306">
        <v>10.71</v>
      </c>
    </row>
    <row r="190" spans="2:25" x14ac:dyDescent="0.3">
      <c r="B190" s="615">
        <v>187</v>
      </c>
      <c r="C190" s="1719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4" t="s">
        <v>831</v>
      </c>
      <c r="M190" s="1301">
        <v>46307</v>
      </c>
      <c r="N190" s="1302">
        <v>0.33400000000000002</v>
      </c>
      <c r="O190" s="1302">
        <v>0.26</v>
      </c>
      <c r="P190" s="1302">
        <v>9.4700000000000006</v>
      </c>
      <c r="S190" s="1286">
        <v>36</v>
      </c>
      <c r="T190" s="1306" t="s">
        <v>840</v>
      </c>
      <c r="U190" s="1307">
        <v>46308</v>
      </c>
      <c r="V190" s="1308">
        <v>0.35</v>
      </c>
      <c r="W190" s="1306">
        <v>0.35</v>
      </c>
      <c r="X190" s="1306">
        <v>10.58</v>
      </c>
    </row>
    <row r="191" spans="2:25" x14ac:dyDescent="0.3">
      <c r="B191" s="615">
        <v>188</v>
      </c>
      <c r="C191" s="1719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4" t="s">
        <v>833</v>
      </c>
      <c r="M191" s="1301">
        <v>46307</v>
      </c>
      <c r="N191" s="1302">
        <v>0.40899999999999997</v>
      </c>
      <c r="O191" s="1302">
        <v>0.41</v>
      </c>
      <c r="P191" s="1302">
        <v>11.54</v>
      </c>
      <c r="S191" s="1286">
        <v>37</v>
      </c>
      <c r="T191" s="1306" t="s">
        <v>830</v>
      </c>
      <c r="U191" s="1307">
        <v>46308</v>
      </c>
      <c r="V191" s="1308">
        <v>0.54600000000000004</v>
      </c>
      <c r="W191" s="1308">
        <v>0.44</v>
      </c>
      <c r="X191" s="1308">
        <v>9.27</v>
      </c>
    </row>
    <row r="192" spans="2:25" x14ac:dyDescent="0.3">
      <c r="B192" s="615">
        <v>189</v>
      </c>
      <c r="C192" s="1720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4" t="s">
        <v>835</v>
      </c>
      <c r="M192" s="1315">
        <v>46309</v>
      </c>
      <c r="N192" s="1314">
        <v>0.35499999999999998</v>
      </c>
      <c r="O192" s="1314">
        <v>0.36</v>
      </c>
      <c r="P192" s="1314">
        <v>8.01</v>
      </c>
      <c r="Q192" s="117">
        <f>I193-Q186</f>
        <v>-0.28333333333333338</v>
      </c>
      <c r="S192" s="1286">
        <v>38</v>
      </c>
      <c r="T192" s="1306" t="s">
        <v>832</v>
      </c>
      <c r="U192" s="1307">
        <v>46308</v>
      </c>
      <c r="V192" s="1308">
        <v>0.503</v>
      </c>
      <c r="W192" s="1308">
        <v>0.45</v>
      </c>
      <c r="X192" s="1308">
        <v>9.56</v>
      </c>
    </row>
    <row r="193" spans="2:24" ht="14.4" customHeight="1" x14ac:dyDescent="0.3">
      <c r="B193" s="452">
        <v>190</v>
      </c>
      <c r="C193" s="1730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4" t="s">
        <v>837</v>
      </c>
      <c r="M193" s="1315">
        <v>46309</v>
      </c>
      <c r="N193" s="1314">
        <v>0.43099999999999999</v>
      </c>
      <c r="O193" s="1314">
        <v>0.22</v>
      </c>
      <c r="P193" s="1314">
        <v>9.93</v>
      </c>
      <c r="S193" s="1286">
        <v>39</v>
      </c>
      <c r="T193" s="1306" t="s">
        <v>834</v>
      </c>
      <c r="U193" s="1307">
        <v>46308</v>
      </c>
      <c r="V193" s="1308">
        <v>0.57799999999999996</v>
      </c>
      <c r="W193" s="1308">
        <v>0.43</v>
      </c>
      <c r="X193" s="1308">
        <v>9.4700000000000006</v>
      </c>
    </row>
    <row r="194" spans="2:24" ht="14.4" customHeight="1" x14ac:dyDescent="0.3">
      <c r="B194" s="452">
        <v>191</v>
      </c>
      <c r="C194" s="1731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4" t="s">
        <v>839</v>
      </c>
      <c r="M194" s="1315">
        <v>46309</v>
      </c>
      <c r="N194" s="1314">
        <v>0.48899999999999999</v>
      </c>
      <c r="O194" s="1314">
        <v>0.18</v>
      </c>
      <c r="P194" s="1314">
        <v>10.28</v>
      </c>
      <c r="S194" s="1286">
        <v>40</v>
      </c>
      <c r="T194" s="1317" t="s">
        <v>836</v>
      </c>
      <c r="U194" s="1318">
        <v>46309</v>
      </c>
      <c r="V194" s="1319">
        <v>0.52400000000000002</v>
      </c>
      <c r="W194" s="1317">
        <v>0.38</v>
      </c>
      <c r="X194" s="1317">
        <v>9.0299999999999994</v>
      </c>
    </row>
    <row r="195" spans="2:24" ht="14.4" customHeight="1" x14ac:dyDescent="0.3">
      <c r="B195" s="452">
        <v>192</v>
      </c>
      <c r="C195" s="1731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4" t="s">
        <v>831</v>
      </c>
      <c r="M195" s="1315">
        <v>46309</v>
      </c>
      <c r="N195" s="1314">
        <v>0.41299999999999998</v>
      </c>
      <c r="O195" s="1314">
        <v>0.15</v>
      </c>
      <c r="P195" s="1314">
        <v>10.15</v>
      </c>
      <c r="S195" s="1286">
        <v>41</v>
      </c>
      <c r="T195" s="1317" t="s">
        <v>838</v>
      </c>
      <c r="U195" s="1318">
        <v>46309</v>
      </c>
      <c r="V195" s="1319">
        <v>0.57299999999999995</v>
      </c>
      <c r="W195" s="1317">
        <v>0.39</v>
      </c>
      <c r="X195" s="1317">
        <v>8.98</v>
      </c>
    </row>
    <row r="196" spans="2:24" ht="14.4" customHeight="1" x14ac:dyDescent="0.3">
      <c r="B196" s="452">
        <v>193</v>
      </c>
      <c r="C196" s="1731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2" t="s">
        <v>835</v>
      </c>
      <c r="M196" s="1322">
        <v>46310</v>
      </c>
      <c r="N196" s="1312">
        <v>0.38200000000000001</v>
      </c>
      <c r="O196" s="1312">
        <v>0.65</v>
      </c>
      <c r="P196" s="1312">
        <v>13.69</v>
      </c>
      <c r="S196" s="1286">
        <v>42</v>
      </c>
      <c r="T196" s="1317" t="s">
        <v>840</v>
      </c>
      <c r="U196" s="1318">
        <v>46309</v>
      </c>
      <c r="V196" s="1319">
        <v>0.52100000000000002</v>
      </c>
      <c r="W196" s="1317">
        <v>0.51</v>
      </c>
      <c r="X196" s="1317">
        <v>8.01</v>
      </c>
    </row>
    <row r="197" spans="2:24" ht="14.4" customHeight="1" x14ac:dyDescent="0.3">
      <c r="B197" s="452">
        <v>194</v>
      </c>
      <c r="C197" s="1731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2" t="s">
        <v>837</v>
      </c>
      <c r="M197" s="1322">
        <v>46310</v>
      </c>
      <c r="N197" s="1312">
        <v>0.38200000000000001</v>
      </c>
      <c r="O197" s="1312">
        <v>0.62</v>
      </c>
      <c r="P197" s="1312">
        <v>13.93</v>
      </c>
      <c r="S197" s="1286">
        <v>43</v>
      </c>
      <c r="T197" s="1317" t="s">
        <v>830</v>
      </c>
      <c r="U197" s="1318">
        <v>46309</v>
      </c>
      <c r="V197" s="1319">
        <v>0.67600000000000005</v>
      </c>
      <c r="W197" s="1317">
        <v>0.54</v>
      </c>
      <c r="X197" s="1317">
        <v>13.98</v>
      </c>
    </row>
    <row r="198" spans="2:24" ht="14.4" customHeight="1" x14ac:dyDescent="0.3">
      <c r="B198" s="452">
        <v>195</v>
      </c>
      <c r="C198" s="1731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2" t="s">
        <v>839</v>
      </c>
      <c r="M198" s="1322">
        <v>46310</v>
      </c>
      <c r="N198" s="1312">
        <v>0.34699999999999998</v>
      </c>
      <c r="O198" s="1312">
        <v>0.33</v>
      </c>
      <c r="P198" s="1312">
        <v>13.14</v>
      </c>
      <c r="S198" s="1286">
        <v>44</v>
      </c>
      <c r="T198" s="1317" t="s">
        <v>832</v>
      </c>
      <c r="U198" s="1318">
        <v>46309</v>
      </c>
      <c r="V198" s="1319">
        <v>0.63600000000000001</v>
      </c>
      <c r="W198" s="1317">
        <v>0.54</v>
      </c>
      <c r="X198" s="1317">
        <v>13.27</v>
      </c>
    </row>
    <row r="199" spans="2:24" x14ac:dyDescent="0.3">
      <c r="B199" s="452">
        <v>196</v>
      </c>
      <c r="C199" s="1731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2" t="s">
        <v>829</v>
      </c>
      <c r="M199" s="1322">
        <v>46310</v>
      </c>
      <c r="N199" s="1312">
        <v>0.20200000000000001</v>
      </c>
      <c r="O199" s="1312">
        <v>0.48</v>
      </c>
      <c r="P199" s="1312">
        <v>11.85</v>
      </c>
      <c r="S199" s="1286">
        <v>45</v>
      </c>
      <c r="T199" s="1317" t="s">
        <v>834</v>
      </c>
      <c r="U199" s="1318">
        <v>46309</v>
      </c>
      <c r="V199" s="1319">
        <v>0.65600000000000003</v>
      </c>
      <c r="W199" s="1317">
        <v>0.53</v>
      </c>
      <c r="X199" s="1317">
        <v>13.62</v>
      </c>
    </row>
    <row r="200" spans="2:24" x14ac:dyDescent="0.3">
      <c r="B200" s="452">
        <v>197</v>
      </c>
      <c r="C200" s="1731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2" t="s">
        <v>831</v>
      </c>
      <c r="M200" s="1322">
        <v>46310</v>
      </c>
      <c r="N200" s="1312">
        <v>0.25800000000000001</v>
      </c>
      <c r="O200" s="1312">
        <v>0.42</v>
      </c>
      <c r="P200" s="1312">
        <v>12.91</v>
      </c>
      <c r="S200" s="1286">
        <v>46</v>
      </c>
      <c r="T200" s="1286" t="s">
        <v>836</v>
      </c>
      <c r="U200" s="1325">
        <v>46310</v>
      </c>
      <c r="V200" s="1286">
        <v>0.495</v>
      </c>
      <c r="W200" s="1286">
        <v>0.45</v>
      </c>
      <c r="X200" s="1286">
        <v>12.39</v>
      </c>
    </row>
    <row r="201" spans="2:24" x14ac:dyDescent="0.3">
      <c r="B201" s="452">
        <v>198</v>
      </c>
      <c r="C201" s="1732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3" t="s">
        <v>835</v>
      </c>
      <c r="M201" s="1324">
        <v>46311</v>
      </c>
      <c r="N201" s="1323">
        <v>0.33100000000000002</v>
      </c>
      <c r="O201" s="1323">
        <v>0.3</v>
      </c>
      <c r="P201" s="1323">
        <v>13.488</v>
      </c>
      <c r="S201" s="1286">
        <v>47</v>
      </c>
      <c r="T201" s="1286" t="s">
        <v>838</v>
      </c>
      <c r="U201" s="1325">
        <v>46310</v>
      </c>
      <c r="V201" s="1286">
        <v>0.48</v>
      </c>
      <c r="W201" s="1286">
        <v>0.46</v>
      </c>
      <c r="X201" s="1286">
        <v>12.66</v>
      </c>
    </row>
    <row r="202" spans="2:24" ht="14.4" customHeight="1" x14ac:dyDescent="0.3">
      <c r="B202" s="1312">
        <v>199</v>
      </c>
      <c r="C202" s="1724">
        <v>18</v>
      </c>
      <c r="D202" s="1312" t="s">
        <v>461</v>
      </c>
      <c r="E202" s="1313">
        <v>46308</v>
      </c>
      <c r="F202" s="1312">
        <v>0.41599999999999998</v>
      </c>
      <c r="G202" s="1312">
        <v>0.4</v>
      </c>
      <c r="H202" s="1312">
        <v>8.52</v>
      </c>
      <c r="K202" s="251">
        <v>48</v>
      </c>
      <c r="L202" s="1323" t="s">
        <v>837</v>
      </c>
      <c r="M202" s="1324">
        <v>46311</v>
      </c>
      <c r="N202" s="1323">
        <v>0.55300000000000005</v>
      </c>
      <c r="O202" s="1323">
        <v>0.46</v>
      </c>
      <c r="P202" s="1323">
        <v>14.381</v>
      </c>
      <c r="S202" s="1286">
        <v>48</v>
      </c>
      <c r="T202" s="1286" t="s">
        <v>840</v>
      </c>
      <c r="U202" s="1325">
        <v>46310</v>
      </c>
      <c r="V202" s="1286">
        <v>0.48499999999999999</v>
      </c>
      <c r="W202" s="1286">
        <v>0.43</v>
      </c>
      <c r="X202" s="1286">
        <v>12.52</v>
      </c>
    </row>
    <row r="203" spans="2:24" ht="14.4" customHeight="1" x14ac:dyDescent="0.3">
      <c r="B203" s="1312">
        <v>200</v>
      </c>
      <c r="C203" s="1725"/>
      <c r="D203" s="1312" t="s">
        <v>462</v>
      </c>
      <c r="E203" s="1313">
        <v>46308</v>
      </c>
      <c r="F203" s="1312">
        <v>0.377</v>
      </c>
      <c r="G203" s="1312">
        <v>0.34</v>
      </c>
      <c r="H203" s="1312">
        <v>8.65</v>
      </c>
      <c r="K203" s="251">
        <v>49</v>
      </c>
      <c r="L203" s="1323" t="s">
        <v>839</v>
      </c>
      <c r="M203" s="1324">
        <v>46311</v>
      </c>
      <c r="N203" s="1323">
        <v>0.40500000000000003</v>
      </c>
      <c r="O203" s="1323">
        <v>0.55000000000000004</v>
      </c>
      <c r="P203" s="1323">
        <v>14.212</v>
      </c>
      <c r="S203" s="1286">
        <v>49</v>
      </c>
      <c r="T203" s="1286" t="s">
        <v>830</v>
      </c>
      <c r="U203" s="1325">
        <v>46310</v>
      </c>
      <c r="V203" s="1326">
        <v>0.42599999999999999</v>
      </c>
      <c r="W203" s="1286">
        <v>0.49</v>
      </c>
      <c r="X203" s="1286">
        <v>12.75</v>
      </c>
    </row>
    <row r="204" spans="2:24" ht="14.4" customHeight="1" x14ac:dyDescent="0.3">
      <c r="B204" s="1312">
        <v>201</v>
      </c>
      <c r="C204" s="1725"/>
      <c r="D204" s="1312" t="s">
        <v>463</v>
      </c>
      <c r="E204" s="1313">
        <v>46308</v>
      </c>
      <c r="F204" s="1312">
        <v>0.40400000000000003</v>
      </c>
      <c r="G204" s="1312">
        <v>0.43</v>
      </c>
      <c r="H204" s="1312">
        <v>8.48</v>
      </c>
      <c r="K204" s="251">
        <v>50</v>
      </c>
      <c r="L204" s="1323" t="s">
        <v>829</v>
      </c>
      <c r="M204" s="1324">
        <v>46311</v>
      </c>
      <c r="N204" s="1323">
        <v>0.44700000000000001</v>
      </c>
      <c r="O204" s="1323">
        <v>0.68</v>
      </c>
      <c r="P204" s="1323">
        <v>15.125999999999999</v>
      </c>
      <c r="S204" s="1286">
        <v>50</v>
      </c>
      <c r="T204" s="1286" t="s">
        <v>832</v>
      </c>
      <c r="U204" s="1325">
        <v>46310</v>
      </c>
      <c r="V204" s="1326">
        <v>0.42399999999999999</v>
      </c>
      <c r="W204" s="1286">
        <v>0.52</v>
      </c>
      <c r="X204" s="1286">
        <v>12.2</v>
      </c>
    </row>
    <row r="205" spans="2:24" ht="14.4" customHeight="1" x14ac:dyDescent="0.3">
      <c r="B205" s="1312">
        <v>202</v>
      </c>
      <c r="C205" s="1725"/>
      <c r="D205" s="1312" t="s">
        <v>458</v>
      </c>
      <c r="E205" s="1313">
        <v>46309</v>
      </c>
      <c r="F205" s="1312">
        <v>0.317</v>
      </c>
      <c r="G205" s="1312">
        <v>0.33</v>
      </c>
      <c r="H205" s="1312">
        <v>8.6199999999999992</v>
      </c>
      <c r="K205" s="251">
        <v>51</v>
      </c>
      <c r="L205" s="1323" t="s">
        <v>831</v>
      </c>
      <c r="M205" s="1324">
        <v>46311</v>
      </c>
      <c r="N205" s="1323">
        <v>0.44600000000000001</v>
      </c>
      <c r="O205" s="1323">
        <v>0.49</v>
      </c>
      <c r="P205" s="1323">
        <v>13.673</v>
      </c>
      <c r="S205" s="1286">
        <v>51</v>
      </c>
      <c r="T205" s="1286" t="s">
        <v>834</v>
      </c>
      <c r="U205" s="1325">
        <v>46310</v>
      </c>
      <c r="V205" s="1326">
        <v>0.42799999999999999</v>
      </c>
      <c r="W205" s="1286">
        <v>0.37</v>
      </c>
      <c r="X205" s="1286">
        <v>12.82</v>
      </c>
    </row>
    <row r="206" spans="2:24" ht="14.4" customHeight="1" x14ac:dyDescent="0.3">
      <c r="B206" s="1312">
        <v>203</v>
      </c>
      <c r="C206" s="1725"/>
      <c r="D206" s="1312" t="s">
        <v>459</v>
      </c>
      <c r="E206" s="1313">
        <v>46309</v>
      </c>
      <c r="F206" s="1312">
        <v>0.38300000000000001</v>
      </c>
      <c r="G206" s="1312">
        <v>0.33</v>
      </c>
      <c r="H206" s="1312">
        <v>7.71</v>
      </c>
      <c r="K206" s="251">
        <v>52</v>
      </c>
      <c r="L206" s="1323" t="s">
        <v>833</v>
      </c>
      <c r="M206" s="1324">
        <v>46311</v>
      </c>
      <c r="N206" s="1323">
        <v>0.39900000000000002</v>
      </c>
      <c r="O206" s="1323">
        <v>0.55000000000000004</v>
      </c>
      <c r="P206" s="1323">
        <v>12.391</v>
      </c>
      <c r="S206" s="1286">
        <v>52</v>
      </c>
      <c r="T206" s="1312" t="s">
        <v>836</v>
      </c>
      <c r="U206" s="1322">
        <v>46311</v>
      </c>
      <c r="V206" s="1312">
        <v>0.39900000000000002</v>
      </c>
      <c r="W206" s="1312">
        <v>0.48</v>
      </c>
      <c r="X206" s="1312">
        <v>13.45</v>
      </c>
    </row>
    <row r="207" spans="2:24" ht="14.4" customHeight="1" x14ac:dyDescent="0.3">
      <c r="B207" s="1312">
        <v>204</v>
      </c>
      <c r="C207" s="1725"/>
      <c r="D207" s="1312" t="s">
        <v>460</v>
      </c>
      <c r="E207" s="1313">
        <v>46309</v>
      </c>
      <c r="F207" s="1312">
        <v>0.35199999999999998</v>
      </c>
      <c r="G207" s="1312">
        <v>0.28999999999999998</v>
      </c>
      <c r="H207" s="1312">
        <v>6.38</v>
      </c>
      <c r="K207" s="251">
        <v>53</v>
      </c>
      <c r="L207" s="1306" t="s">
        <v>835</v>
      </c>
      <c r="M207" s="1307">
        <v>46312</v>
      </c>
      <c r="N207" s="1306">
        <v>0.64700000000000002</v>
      </c>
      <c r="O207" s="1306">
        <v>0.51</v>
      </c>
      <c r="P207" s="1306">
        <v>7.97</v>
      </c>
      <c r="S207" s="1286">
        <v>53</v>
      </c>
      <c r="T207" s="1312" t="s">
        <v>838</v>
      </c>
      <c r="U207" s="1322">
        <v>46311</v>
      </c>
      <c r="V207" s="1312">
        <v>0.45200000000000001</v>
      </c>
      <c r="W207" s="1312">
        <v>0.45</v>
      </c>
      <c r="X207" s="1312">
        <v>12.93</v>
      </c>
    </row>
    <row r="208" spans="2:24" x14ac:dyDescent="0.3">
      <c r="B208" s="1312">
        <v>205</v>
      </c>
      <c r="C208" s="1725"/>
      <c r="D208" s="1312" t="s">
        <v>461</v>
      </c>
      <c r="E208" s="1313">
        <v>46309</v>
      </c>
      <c r="F208" s="1312">
        <v>0.435</v>
      </c>
      <c r="G208" s="1320">
        <v>0.2</v>
      </c>
      <c r="H208" s="1312">
        <v>6.22</v>
      </c>
      <c r="K208" s="251">
        <v>54</v>
      </c>
      <c r="L208" s="1306" t="s">
        <v>837</v>
      </c>
      <c r="M208" s="1307">
        <v>46312</v>
      </c>
      <c r="N208" s="1306">
        <v>0.68600000000000005</v>
      </c>
      <c r="O208" s="1306">
        <v>0.56000000000000005</v>
      </c>
      <c r="P208" s="1306">
        <v>8.0399999999999991</v>
      </c>
      <c r="S208" s="1286">
        <v>54</v>
      </c>
      <c r="T208" s="1312" t="s">
        <v>840</v>
      </c>
      <c r="U208" s="1322">
        <v>46311</v>
      </c>
      <c r="V208" s="1312">
        <v>0.47299999999999998</v>
      </c>
      <c r="W208" s="1312">
        <v>0.37</v>
      </c>
      <c r="X208" s="1312">
        <v>12.45</v>
      </c>
    </row>
    <row r="209" spans="2:24" x14ac:dyDescent="0.3">
      <c r="B209" s="1312">
        <v>206</v>
      </c>
      <c r="C209" s="1725"/>
      <c r="D209" s="1312" t="s">
        <v>462</v>
      </c>
      <c r="E209" s="1313">
        <v>46309</v>
      </c>
      <c r="F209" s="1312">
        <v>0.42199999999999999</v>
      </c>
      <c r="G209" s="1312">
        <v>0.22</v>
      </c>
      <c r="H209" s="1312">
        <v>8.52</v>
      </c>
      <c r="K209" s="251">
        <v>55</v>
      </c>
      <c r="L209" s="1306" t="s">
        <v>839</v>
      </c>
      <c r="M209" s="1307">
        <v>46312</v>
      </c>
      <c r="N209" s="1306">
        <v>0.59799999999999998</v>
      </c>
      <c r="O209" s="1306">
        <v>0.56999999999999995</v>
      </c>
      <c r="P209" s="1306">
        <v>8.1300000000000008</v>
      </c>
      <c r="S209" s="1286">
        <v>55</v>
      </c>
      <c r="T209" s="1312" t="s">
        <v>899</v>
      </c>
      <c r="U209" s="1322">
        <v>46311</v>
      </c>
      <c r="V209" s="1312">
        <v>0.32500000000000001</v>
      </c>
      <c r="W209" s="1312">
        <v>0.34</v>
      </c>
      <c r="X209" s="1312">
        <v>11.96</v>
      </c>
    </row>
    <row r="210" spans="2:24" x14ac:dyDescent="0.3">
      <c r="B210" s="1312">
        <v>207</v>
      </c>
      <c r="C210" s="1726"/>
      <c r="D210" s="1312" t="s">
        <v>463</v>
      </c>
      <c r="E210" s="1313">
        <v>46309</v>
      </c>
      <c r="F210" s="1312">
        <v>0.44900000000000001</v>
      </c>
      <c r="G210" s="1312">
        <v>0.21</v>
      </c>
      <c r="H210" s="1320">
        <v>6.4</v>
      </c>
      <c r="K210" s="251">
        <v>56</v>
      </c>
      <c r="L210" s="1306" t="s">
        <v>829</v>
      </c>
      <c r="M210" s="1307">
        <v>46312</v>
      </c>
      <c r="N210" s="1308">
        <v>0.6</v>
      </c>
      <c r="O210" s="1306">
        <v>0.52</v>
      </c>
      <c r="P210" s="1306">
        <v>7.81</v>
      </c>
      <c r="S210" s="1286">
        <v>56</v>
      </c>
      <c r="T210" s="1125" t="s">
        <v>830</v>
      </c>
      <c r="U210" s="1344">
        <v>46311</v>
      </c>
      <c r="V210" s="1125">
        <v>0.438</v>
      </c>
      <c r="W210" s="1125">
        <v>0.43</v>
      </c>
      <c r="X210" s="1125">
        <v>9.6999999999999993</v>
      </c>
    </row>
    <row r="211" spans="2:24" x14ac:dyDescent="0.3">
      <c r="B211" s="452">
        <v>208</v>
      </c>
      <c r="C211" s="1727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6" t="s">
        <v>831</v>
      </c>
      <c r="M211" s="1307">
        <v>46312</v>
      </c>
      <c r="N211" s="1306">
        <v>0.50600000000000001</v>
      </c>
      <c r="O211" s="1306">
        <v>0.53</v>
      </c>
      <c r="P211" s="1306">
        <v>8.33</v>
      </c>
      <c r="S211" s="1286">
        <v>57</v>
      </c>
      <c r="T211" s="1125" t="s">
        <v>832</v>
      </c>
      <c r="U211" s="1344">
        <v>46311</v>
      </c>
      <c r="V211" s="1125">
        <v>0.45700000000000002</v>
      </c>
      <c r="W211" s="1125">
        <v>0.49</v>
      </c>
      <c r="X211" s="1125">
        <v>9.58</v>
      </c>
    </row>
    <row r="212" spans="2:24" x14ac:dyDescent="0.3">
      <c r="B212" s="452">
        <v>209</v>
      </c>
      <c r="C212" s="1728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6" t="s">
        <v>833</v>
      </c>
      <c r="M212" s="1307">
        <v>46312</v>
      </c>
      <c r="N212" s="1306">
        <v>0.67600000000000005</v>
      </c>
      <c r="O212" s="1306">
        <v>0.52</v>
      </c>
      <c r="P212" s="1306">
        <v>8.19</v>
      </c>
      <c r="S212" s="1286">
        <v>58</v>
      </c>
      <c r="T212" s="1125" t="s">
        <v>834</v>
      </c>
      <c r="U212" s="1344">
        <v>46311</v>
      </c>
      <c r="V212" s="1125">
        <v>0.44700000000000001</v>
      </c>
      <c r="W212" s="1125">
        <v>0.45</v>
      </c>
      <c r="X212" s="1125">
        <v>9.6</v>
      </c>
    </row>
    <row r="213" spans="2:24" x14ac:dyDescent="0.3">
      <c r="B213" s="452">
        <v>210</v>
      </c>
      <c r="C213" s="1728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6">
        <v>59</v>
      </c>
      <c r="T213" s="1303" t="s">
        <v>836</v>
      </c>
      <c r="U213" s="1304">
        <v>46312</v>
      </c>
      <c r="V213" s="1303">
        <v>0.52</v>
      </c>
      <c r="W213" s="1303">
        <v>0.57999999999999996</v>
      </c>
      <c r="X213" s="1303">
        <v>9.5</v>
      </c>
    </row>
    <row r="214" spans="2:24" x14ac:dyDescent="0.3">
      <c r="B214" s="452">
        <v>211</v>
      </c>
      <c r="C214" s="1728"/>
      <c r="D214" s="452" t="s">
        <v>461</v>
      </c>
      <c r="E214" s="453">
        <v>46310</v>
      </c>
      <c r="F214" s="1321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6">
        <v>60</v>
      </c>
      <c r="T214" s="1303" t="s">
        <v>838</v>
      </c>
      <c r="U214" s="1304">
        <v>46312</v>
      </c>
      <c r="V214" s="1303">
        <v>0.504</v>
      </c>
      <c r="W214" s="1303">
        <v>0.56000000000000005</v>
      </c>
      <c r="X214" s="1303">
        <v>9.3000000000000007</v>
      </c>
    </row>
    <row r="215" spans="2:24" x14ac:dyDescent="0.3">
      <c r="B215" s="452">
        <v>212</v>
      </c>
      <c r="C215" s="1728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6">
        <v>61</v>
      </c>
      <c r="T215" s="1303" t="s">
        <v>840</v>
      </c>
      <c r="U215" s="1304">
        <v>46312</v>
      </c>
      <c r="V215" s="1303">
        <v>0.51200000000000001</v>
      </c>
      <c r="W215" s="1303">
        <v>0.56999999999999995</v>
      </c>
      <c r="X215" s="1303">
        <v>9.4</v>
      </c>
    </row>
    <row r="216" spans="2:24" x14ac:dyDescent="0.3">
      <c r="B216" s="452">
        <v>213</v>
      </c>
      <c r="C216" s="1728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6">
        <v>62</v>
      </c>
      <c r="T216" s="1295" t="s">
        <v>830</v>
      </c>
      <c r="U216" s="1296">
        <v>46312</v>
      </c>
      <c r="V216" s="1297">
        <v>0.438</v>
      </c>
      <c r="W216" s="1295">
        <v>0.59</v>
      </c>
      <c r="X216" s="1295">
        <v>7.67</v>
      </c>
    </row>
    <row r="217" spans="2:24" x14ac:dyDescent="0.3">
      <c r="B217" s="452">
        <v>214</v>
      </c>
      <c r="C217" s="1728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6">
        <v>63</v>
      </c>
      <c r="T217" s="1295" t="s">
        <v>832</v>
      </c>
      <c r="U217" s="1296">
        <v>46312</v>
      </c>
      <c r="V217" s="1297">
        <v>0.43099999999999999</v>
      </c>
      <c r="W217" s="1295">
        <v>0.59</v>
      </c>
      <c r="X217" s="1295">
        <v>7.96</v>
      </c>
    </row>
    <row r="218" spans="2:24" x14ac:dyDescent="0.3">
      <c r="B218" s="452">
        <v>215</v>
      </c>
      <c r="C218" s="1728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6">
        <v>64</v>
      </c>
      <c r="T218" s="1295" t="s">
        <v>834</v>
      </c>
      <c r="U218" s="1296">
        <v>46312</v>
      </c>
      <c r="V218" s="1297">
        <v>0.45700000000000002</v>
      </c>
      <c r="W218" s="1295">
        <v>0.56999999999999995</v>
      </c>
      <c r="X218" s="1295">
        <v>7.9</v>
      </c>
    </row>
    <row r="219" spans="2:24" x14ac:dyDescent="0.3">
      <c r="B219" s="452">
        <v>216</v>
      </c>
      <c r="C219" s="1728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6">
        <v>65</v>
      </c>
      <c r="T219" s="1314" t="s">
        <v>836</v>
      </c>
      <c r="U219" s="1315">
        <v>46313</v>
      </c>
      <c r="V219" s="1364">
        <v>0.36399999999999999</v>
      </c>
      <c r="W219" s="1314">
        <v>0.81</v>
      </c>
      <c r="X219" s="1314">
        <v>10.4</v>
      </c>
    </row>
    <row r="220" spans="2:24" x14ac:dyDescent="0.3">
      <c r="B220" s="452">
        <v>217</v>
      </c>
      <c r="C220" s="1728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6">
        <v>66</v>
      </c>
      <c r="T220" s="1314" t="s">
        <v>838</v>
      </c>
      <c r="U220" s="1315">
        <v>46313</v>
      </c>
      <c r="V220" s="1364">
        <v>0.30299999999999999</v>
      </c>
      <c r="W220" s="1314">
        <v>0.62</v>
      </c>
      <c r="X220" s="1314">
        <v>10.02</v>
      </c>
    </row>
    <row r="221" spans="2:24" x14ac:dyDescent="0.3">
      <c r="B221" s="452">
        <v>218</v>
      </c>
      <c r="C221" s="1728"/>
      <c r="D221" s="452" t="s">
        <v>856</v>
      </c>
      <c r="E221" s="453">
        <v>46310</v>
      </c>
      <c r="F221" s="1321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6">
        <v>67</v>
      </c>
      <c r="T221" s="1314" t="s">
        <v>840</v>
      </c>
      <c r="U221" s="1315">
        <v>46313</v>
      </c>
      <c r="V221" s="1364">
        <v>0.33700000000000002</v>
      </c>
      <c r="W221" s="1314">
        <v>0.49</v>
      </c>
      <c r="X221" s="1314">
        <v>11.08</v>
      </c>
    </row>
    <row r="222" spans="2:24" x14ac:dyDescent="0.3">
      <c r="B222" s="452">
        <v>219</v>
      </c>
      <c r="C222" s="1728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6">
        <v>68</v>
      </c>
      <c r="T222" s="1365" t="s">
        <v>830</v>
      </c>
      <c r="U222" s="1366">
        <v>46313</v>
      </c>
      <c r="V222" s="1365">
        <v>0.34399999999999997</v>
      </c>
      <c r="W222" s="1365">
        <v>0.74</v>
      </c>
      <c r="X222" s="1365">
        <v>11.63</v>
      </c>
    </row>
    <row r="223" spans="2:24" x14ac:dyDescent="0.3">
      <c r="B223" s="452">
        <v>220</v>
      </c>
      <c r="C223" s="1728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6">
        <v>69</v>
      </c>
      <c r="T223" s="1365" t="s">
        <v>832</v>
      </c>
      <c r="U223" s="1366">
        <v>46313</v>
      </c>
      <c r="V223" s="1365">
        <v>0.34399999999999997</v>
      </c>
      <c r="W223" s="1365">
        <v>0.42</v>
      </c>
      <c r="X223" s="1365">
        <v>12.05</v>
      </c>
    </row>
    <row r="224" spans="2:24" x14ac:dyDescent="0.3">
      <c r="B224" s="452">
        <v>221</v>
      </c>
      <c r="C224" s="1728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6">
        <v>70</v>
      </c>
      <c r="T224" s="1365" t="s">
        <v>834</v>
      </c>
      <c r="U224" s="1366">
        <v>46313</v>
      </c>
      <c r="V224" s="1365">
        <v>0.33500000000000002</v>
      </c>
      <c r="W224" s="1365">
        <v>0.28000000000000003</v>
      </c>
      <c r="X224" s="1365">
        <v>12.36</v>
      </c>
    </row>
    <row r="225" spans="2:24" x14ac:dyDescent="0.3">
      <c r="B225" s="452">
        <v>222</v>
      </c>
      <c r="C225" s="1728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5" t="s">
        <v>835</v>
      </c>
      <c r="M225" s="1344">
        <v>46315</v>
      </c>
      <c r="N225" s="1125">
        <v>0.29499999999999998</v>
      </c>
      <c r="O225" s="1125">
        <v>0.36</v>
      </c>
      <c r="P225" s="1125">
        <v>12.05</v>
      </c>
      <c r="S225" s="1286">
        <v>71</v>
      </c>
      <c r="T225" s="1312" t="s">
        <v>836</v>
      </c>
      <c r="U225" s="1322">
        <v>46314</v>
      </c>
      <c r="V225" s="1367">
        <v>0.23699999999999999</v>
      </c>
      <c r="W225" s="1312">
        <v>0.24</v>
      </c>
      <c r="X225" s="1312">
        <v>10.23</v>
      </c>
    </row>
    <row r="226" spans="2:24" x14ac:dyDescent="0.3">
      <c r="B226" s="452">
        <v>223</v>
      </c>
      <c r="C226" s="1728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5" t="s">
        <v>837</v>
      </c>
      <c r="M226" s="1344">
        <v>46315</v>
      </c>
      <c r="N226" s="1125">
        <v>0.34200000000000003</v>
      </c>
      <c r="O226" s="1125">
        <v>0.3</v>
      </c>
      <c r="P226" s="1125">
        <v>12.39</v>
      </c>
      <c r="S226" s="1286">
        <v>72</v>
      </c>
      <c r="T226" s="1312" t="s">
        <v>838</v>
      </c>
      <c r="U226" s="1322">
        <v>46314</v>
      </c>
      <c r="V226" s="1367">
        <v>0.34300000000000003</v>
      </c>
      <c r="W226" s="1312">
        <v>0.52</v>
      </c>
      <c r="X226" s="1312">
        <v>8.73</v>
      </c>
    </row>
    <row r="227" spans="2:24" x14ac:dyDescent="0.3">
      <c r="B227" s="452">
        <v>224</v>
      </c>
      <c r="C227" s="1728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5" t="s">
        <v>839</v>
      </c>
      <c r="M227" s="1344">
        <v>46315</v>
      </c>
      <c r="N227" s="1125">
        <v>0.439</v>
      </c>
      <c r="O227" s="1125">
        <v>0.35</v>
      </c>
      <c r="P227" s="1125">
        <v>11.99</v>
      </c>
      <c r="S227" s="1286">
        <v>73</v>
      </c>
      <c r="T227" s="1312" t="s">
        <v>840</v>
      </c>
      <c r="U227" s="1322">
        <v>46314</v>
      </c>
      <c r="V227" s="1367">
        <v>0.26800000000000002</v>
      </c>
      <c r="W227" s="1312">
        <v>0.54</v>
      </c>
      <c r="X227" s="1312">
        <v>8.26</v>
      </c>
    </row>
    <row r="228" spans="2:24" x14ac:dyDescent="0.3">
      <c r="B228" s="452">
        <v>225</v>
      </c>
      <c r="C228" s="1728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5" t="s">
        <v>829</v>
      </c>
      <c r="M228" s="1344">
        <v>46315</v>
      </c>
      <c r="N228" s="1125">
        <v>0.435</v>
      </c>
      <c r="O228" s="1125">
        <v>0.36</v>
      </c>
      <c r="P228" s="1125">
        <v>11.76</v>
      </c>
      <c r="S228" s="1286">
        <v>74</v>
      </c>
      <c r="T228" s="1323" t="s">
        <v>830</v>
      </c>
      <c r="U228" s="1324">
        <v>46314</v>
      </c>
      <c r="V228" s="1323">
        <v>0.39400000000000002</v>
      </c>
      <c r="W228" s="1323">
        <v>0.34</v>
      </c>
      <c r="X228" s="1323">
        <v>13.08</v>
      </c>
    </row>
    <row r="229" spans="2:24" x14ac:dyDescent="0.3">
      <c r="B229" s="452">
        <v>226</v>
      </c>
      <c r="C229" s="1728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5" t="s">
        <v>831</v>
      </c>
      <c r="M229" s="1344">
        <v>46315</v>
      </c>
      <c r="N229" s="1125">
        <v>0.65700000000000003</v>
      </c>
      <c r="O229" s="1125">
        <v>0.52</v>
      </c>
      <c r="P229" s="1125">
        <v>13.73</v>
      </c>
      <c r="S229" s="1286">
        <v>75</v>
      </c>
      <c r="T229" s="1323" t="s">
        <v>832</v>
      </c>
      <c r="U229" s="1324">
        <v>46314</v>
      </c>
      <c r="V229" s="1323">
        <v>0.32100000000000001</v>
      </c>
      <c r="W229" s="1323">
        <v>0.38</v>
      </c>
      <c r="X229" s="1323">
        <v>13.39</v>
      </c>
    </row>
    <row r="230" spans="2:24" x14ac:dyDescent="0.3">
      <c r="B230" s="452">
        <v>227</v>
      </c>
      <c r="C230" s="1729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5" t="s">
        <v>833</v>
      </c>
      <c r="M230" s="1344">
        <v>46315</v>
      </c>
      <c r="N230" s="1125">
        <v>0.52</v>
      </c>
      <c r="O230" s="1125">
        <v>0.56999999999999995</v>
      </c>
      <c r="P230" s="1125">
        <v>12.25</v>
      </c>
      <c r="S230" s="1286">
        <v>76</v>
      </c>
      <c r="T230" s="1323" t="s">
        <v>834</v>
      </c>
      <c r="U230" s="1324">
        <v>46314</v>
      </c>
      <c r="V230" s="1323">
        <v>0.28699999999999998</v>
      </c>
      <c r="W230" s="1323">
        <v>0.36</v>
      </c>
      <c r="X230" s="1323">
        <v>13.98</v>
      </c>
    </row>
    <row r="231" spans="2:24" ht="14.4" customHeight="1" x14ac:dyDescent="0.3">
      <c r="B231" s="1312">
        <v>228</v>
      </c>
      <c r="C231" s="1721">
        <v>20</v>
      </c>
      <c r="D231" s="1312" t="s">
        <v>461</v>
      </c>
      <c r="E231" s="1313">
        <v>46311</v>
      </c>
      <c r="F231" s="1312">
        <v>0.63900000000000001</v>
      </c>
      <c r="G231" s="1312">
        <v>0.52</v>
      </c>
      <c r="H231" s="1312">
        <v>9.7100000000000009</v>
      </c>
      <c r="K231" s="251">
        <v>77</v>
      </c>
      <c r="L231" s="1378" t="s">
        <v>839</v>
      </c>
      <c r="M231" s="1379">
        <v>46316</v>
      </c>
      <c r="N231" s="1378">
        <v>0.36099999999999999</v>
      </c>
      <c r="O231" s="1378">
        <v>0.28999999999999998</v>
      </c>
      <c r="P231" s="1378">
        <v>6.9</v>
      </c>
      <c r="S231" s="1286">
        <v>77</v>
      </c>
      <c r="T231" s="1286" t="s">
        <v>836</v>
      </c>
      <c r="U231" s="1325">
        <v>46315</v>
      </c>
      <c r="V231" s="1286">
        <v>0.245</v>
      </c>
      <c r="W231" s="1286">
        <v>0.31</v>
      </c>
      <c r="X231" s="1286">
        <v>13.72</v>
      </c>
    </row>
    <row r="232" spans="2:24" ht="14.4" customHeight="1" x14ac:dyDescent="0.3">
      <c r="B232" s="1312">
        <v>229</v>
      </c>
      <c r="C232" s="1722"/>
      <c r="D232" s="1312" t="s">
        <v>462</v>
      </c>
      <c r="E232" s="1313">
        <v>46311</v>
      </c>
      <c r="F232" s="1312">
        <v>0.61799999999999999</v>
      </c>
      <c r="G232" s="1312">
        <v>0.52</v>
      </c>
      <c r="H232" s="1312">
        <v>9.0399999999999991</v>
      </c>
      <c r="K232" s="251">
        <v>78</v>
      </c>
      <c r="L232" s="1378" t="s">
        <v>829</v>
      </c>
      <c r="M232" s="1379">
        <v>46316</v>
      </c>
      <c r="N232" s="1378">
        <v>0.43099999999999999</v>
      </c>
      <c r="O232" s="1378">
        <v>0.27</v>
      </c>
      <c r="P232" s="1378">
        <v>9.6999999999999993</v>
      </c>
      <c r="S232" s="1286">
        <v>78</v>
      </c>
      <c r="T232" s="1286" t="s">
        <v>838</v>
      </c>
      <c r="U232" s="1325">
        <v>46315</v>
      </c>
      <c r="V232" s="1286">
        <v>0.35899999999999999</v>
      </c>
      <c r="W232" s="1286">
        <v>0.33</v>
      </c>
      <c r="X232" s="1286">
        <v>13.54</v>
      </c>
    </row>
    <row r="233" spans="2:24" ht="14.4" customHeight="1" x14ac:dyDescent="0.3">
      <c r="B233" s="1312">
        <v>230</v>
      </c>
      <c r="C233" s="1722"/>
      <c r="D233" s="1312" t="s">
        <v>463</v>
      </c>
      <c r="E233" s="1313">
        <v>46311</v>
      </c>
      <c r="F233" s="1312">
        <v>0.67700000000000005</v>
      </c>
      <c r="G233" s="1312">
        <v>0.53</v>
      </c>
      <c r="H233" s="1312">
        <v>9.44</v>
      </c>
      <c r="K233" s="251">
        <v>79</v>
      </c>
      <c r="L233" s="1378" t="s">
        <v>831</v>
      </c>
      <c r="M233" s="1379">
        <v>46316</v>
      </c>
      <c r="N233" s="1378">
        <v>0.57699999999999996</v>
      </c>
      <c r="O233" s="1378">
        <v>0.35</v>
      </c>
      <c r="P233" s="1378">
        <v>10.51</v>
      </c>
      <c r="S233" s="1286">
        <v>79</v>
      </c>
      <c r="T233" s="1286" t="s">
        <v>840</v>
      </c>
      <c r="U233" s="1325">
        <v>46315</v>
      </c>
      <c r="V233" s="1286">
        <v>0.311</v>
      </c>
      <c r="W233" s="1286">
        <v>0.35</v>
      </c>
      <c r="X233" s="1286">
        <v>13.86</v>
      </c>
    </row>
    <row r="234" spans="2:24" ht="14.4" customHeight="1" x14ac:dyDescent="0.3">
      <c r="B234" s="1312">
        <v>231</v>
      </c>
      <c r="C234" s="1722"/>
      <c r="D234" s="1312" t="s">
        <v>852</v>
      </c>
      <c r="E234" s="1313">
        <v>46311</v>
      </c>
      <c r="F234" s="1312">
        <v>0.63300000000000001</v>
      </c>
      <c r="G234" s="1312">
        <v>0.55000000000000004</v>
      </c>
      <c r="H234" s="1312">
        <v>9.4499999999999993</v>
      </c>
      <c r="K234" s="251">
        <v>80</v>
      </c>
      <c r="L234" s="1378" t="s">
        <v>833</v>
      </c>
      <c r="M234" s="1379">
        <v>46316</v>
      </c>
      <c r="N234" s="1378">
        <v>0.53600000000000003</v>
      </c>
      <c r="O234" s="1378">
        <v>0.35</v>
      </c>
      <c r="P234" s="1378">
        <v>13.11</v>
      </c>
      <c r="S234" s="1286">
        <v>80</v>
      </c>
      <c r="T234" s="1376" t="s">
        <v>830</v>
      </c>
      <c r="U234" s="1377">
        <v>46315</v>
      </c>
      <c r="V234" s="1376">
        <v>0.28599999999999998</v>
      </c>
      <c r="W234" s="1376">
        <v>0.33</v>
      </c>
      <c r="X234" s="1376">
        <v>13.5</v>
      </c>
    </row>
    <row r="235" spans="2:24" ht="14.4" customHeight="1" x14ac:dyDescent="0.3">
      <c r="B235" s="1312">
        <v>232</v>
      </c>
      <c r="C235" s="1722"/>
      <c r="D235" s="1312" t="s">
        <v>853</v>
      </c>
      <c r="E235" s="1313">
        <v>46311</v>
      </c>
      <c r="F235" s="1312">
        <v>0.60099999999999998</v>
      </c>
      <c r="G235" s="1312">
        <v>0.55000000000000004</v>
      </c>
      <c r="H235" s="1312">
        <v>9.57</v>
      </c>
      <c r="K235" s="251">
        <v>81</v>
      </c>
      <c r="L235" s="1303" t="s">
        <v>835</v>
      </c>
      <c r="M235" s="1304">
        <v>46317</v>
      </c>
      <c r="N235" s="1303">
        <v>0.75</v>
      </c>
      <c r="O235" s="1303">
        <v>0.66</v>
      </c>
      <c r="P235" s="1303">
        <v>15.56</v>
      </c>
      <c r="S235" s="1286">
        <v>81</v>
      </c>
      <c r="T235" s="1376" t="s">
        <v>832</v>
      </c>
      <c r="U235" s="1377">
        <v>46315</v>
      </c>
      <c r="V235" s="1376">
        <v>0.309</v>
      </c>
      <c r="W235" s="1376">
        <v>0.38</v>
      </c>
      <c r="X235" s="1376">
        <v>13.34</v>
      </c>
    </row>
    <row r="236" spans="2:24" ht="14.4" customHeight="1" x14ac:dyDescent="0.3">
      <c r="B236" s="1312">
        <v>233</v>
      </c>
      <c r="C236" s="1722"/>
      <c r="D236" s="1312" t="s">
        <v>854</v>
      </c>
      <c r="E236" s="1313">
        <v>46311</v>
      </c>
      <c r="F236" s="1312">
        <v>0.60899999999999999</v>
      </c>
      <c r="G236" s="1312">
        <v>0.61</v>
      </c>
      <c r="H236" s="1312">
        <v>9.4</v>
      </c>
      <c r="K236" s="251">
        <v>82</v>
      </c>
      <c r="L236" s="1303" t="s">
        <v>837</v>
      </c>
      <c r="M236" s="1304">
        <v>46317</v>
      </c>
      <c r="N236" s="1303">
        <v>0.91800000000000004</v>
      </c>
      <c r="O236" s="1303">
        <v>0.9</v>
      </c>
      <c r="P236" s="1303">
        <v>16.940000000000001</v>
      </c>
      <c r="S236" s="1286">
        <v>82</v>
      </c>
      <c r="T236" s="1376" t="s">
        <v>834</v>
      </c>
      <c r="U236" s="1377">
        <v>46315</v>
      </c>
      <c r="V236" s="1376">
        <v>0.376</v>
      </c>
      <c r="W236" s="1376">
        <v>0.38</v>
      </c>
      <c r="X236" s="1376">
        <v>12.98</v>
      </c>
    </row>
    <row r="237" spans="2:24" ht="14.4" customHeight="1" x14ac:dyDescent="0.3">
      <c r="B237" s="1312">
        <v>234</v>
      </c>
      <c r="C237" s="1722"/>
      <c r="D237" s="1312" t="s">
        <v>855</v>
      </c>
      <c r="E237" s="1313">
        <v>46311</v>
      </c>
      <c r="F237" s="1312">
        <v>0.64900000000000002</v>
      </c>
      <c r="G237" s="1312">
        <v>0.51</v>
      </c>
      <c r="H237" s="1312">
        <v>9.1999999999999993</v>
      </c>
      <c r="K237" s="251">
        <v>83</v>
      </c>
      <c r="L237" s="1303" t="s">
        <v>839</v>
      </c>
      <c r="M237" s="1304">
        <v>46317</v>
      </c>
      <c r="N237" s="1303">
        <v>0.83499999999999996</v>
      </c>
      <c r="O237" s="1303">
        <v>0.82</v>
      </c>
      <c r="P237" s="1303">
        <v>15.58</v>
      </c>
      <c r="S237" s="1286">
        <v>83</v>
      </c>
      <c r="T237" s="1124" t="s">
        <v>836</v>
      </c>
      <c r="U237" s="1301">
        <v>46316</v>
      </c>
      <c r="V237" s="1124">
        <v>0.54300000000000004</v>
      </c>
      <c r="W237" s="1124">
        <v>0.4</v>
      </c>
      <c r="X237" s="1124">
        <v>12.98</v>
      </c>
    </row>
    <row r="238" spans="2:24" ht="14.4" customHeight="1" x14ac:dyDescent="0.3">
      <c r="B238" s="1312">
        <v>235</v>
      </c>
      <c r="C238" s="1722"/>
      <c r="D238" s="1312" t="s">
        <v>856</v>
      </c>
      <c r="E238" s="1313">
        <v>46311</v>
      </c>
      <c r="F238" s="1312">
        <v>0.66500000000000004</v>
      </c>
      <c r="G238" s="1312">
        <v>0.55000000000000004</v>
      </c>
      <c r="H238" s="1312">
        <v>9.3000000000000007</v>
      </c>
      <c r="K238" s="251">
        <v>84</v>
      </c>
      <c r="L238" s="1303" t="s">
        <v>829</v>
      </c>
      <c r="M238" s="1304">
        <v>46317</v>
      </c>
      <c r="N238" s="1303">
        <v>0.874</v>
      </c>
      <c r="O238" s="1303">
        <v>0.8</v>
      </c>
      <c r="P238" s="1303">
        <v>16.899999999999999</v>
      </c>
      <c r="S238" s="1286">
        <v>84</v>
      </c>
      <c r="T238" s="1124" t="s">
        <v>838</v>
      </c>
      <c r="U238" s="1301">
        <v>46316</v>
      </c>
      <c r="V238" s="1124">
        <v>0.67800000000000005</v>
      </c>
      <c r="W238" s="1124">
        <v>0.32</v>
      </c>
      <c r="X238" s="1124">
        <v>12.8</v>
      </c>
    </row>
    <row r="239" spans="2:24" ht="14.4" customHeight="1" x14ac:dyDescent="0.3">
      <c r="B239" s="1312">
        <v>236</v>
      </c>
      <c r="C239" s="1722"/>
      <c r="D239" s="1312" t="s">
        <v>857</v>
      </c>
      <c r="E239" s="1313">
        <v>46311</v>
      </c>
      <c r="F239" s="1312">
        <v>0.64</v>
      </c>
      <c r="G239" s="1312">
        <v>0.55000000000000004</v>
      </c>
      <c r="H239" s="1312">
        <v>9.2100000000000009</v>
      </c>
      <c r="K239" s="251">
        <v>85</v>
      </c>
      <c r="L239" s="1303" t="s">
        <v>831</v>
      </c>
      <c r="M239" s="1304">
        <v>46317</v>
      </c>
      <c r="N239" s="1303">
        <v>0.92300000000000004</v>
      </c>
      <c r="O239" s="1303">
        <v>0.92</v>
      </c>
      <c r="P239" s="1303">
        <v>16.329999999999998</v>
      </c>
      <c r="S239" s="1286">
        <v>85</v>
      </c>
      <c r="T239" s="1124" t="s">
        <v>840</v>
      </c>
      <c r="U239" s="1301">
        <v>46316</v>
      </c>
      <c r="V239" s="1124">
        <v>0.67900000000000005</v>
      </c>
      <c r="W239" s="1124">
        <v>0.39</v>
      </c>
      <c r="X239" s="1124">
        <v>12.59</v>
      </c>
    </row>
    <row r="240" spans="2:24" ht="14.4" customHeight="1" x14ac:dyDescent="0.3">
      <c r="B240" s="1312">
        <v>237</v>
      </c>
      <c r="C240" s="1722"/>
      <c r="D240" s="1312" t="s">
        <v>858</v>
      </c>
      <c r="E240" s="1313">
        <v>46311</v>
      </c>
      <c r="F240" s="1312">
        <v>0.64500000000000002</v>
      </c>
      <c r="G240" s="1312">
        <v>0.51</v>
      </c>
      <c r="H240" s="1312">
        <v>9.18</v>
      </c>
      <c r="K240" s="251">
        <v>86</v>
      </c>
      <c r="L240" s="1303" t="s">
        <v>833</v>
      </c>
      <c r="M240" s="1304">
        <v>46317</v>
      </c>
      <c r="N240" s="1303">
        <v>0.95599999999999996</v>
      </c>
      <c r="O240" s="1303">
        <v>0.78</v>
      </c>
      <c r="P240" s="1303">
        <v>15.81</v>
      </c>
      <c r="S240" s="1286">
        <v>86</v>
      </c>
      <c r="T240" s="1317" t="s">
        <v>830</v>
      </c>
      <c r="U240" s="1318">
        <v>46316</v>
      </c>
      <c r="V240" s="1317">
        <v>0.313</v>
      </c>
      <c r="W240" s="1317">
        <v>0.54</v>
      </c>
      <c r="X240" s="1317">
        <v>9.9700000000000006</v>
      </c>
    </row>
    <row r="241" spans="2:24" ht="14.4" customHeight="1" x14ac:dyDescent="0.3">
      <c r="B241" s="1312">
        <v>238</v>
      </c>
      <c r="C241" s="1722"/>
      <c r="D241" s="1312" t="s">
        <v>458</v>
      </c>
      <c r="E241" s="1313">
        <v>46312</v>
      </c>
      <c r="F241" s="1312">
        <v>0.63200000000000001</v>
      </c>
      <c r="G241" s="1312">
        <v>0.57999999999999996</v>
      </c>
      <c r="H241" s="1312">
        <v>8.07</v>
      </c>
      <c r="K241" s="251">
        <v>87</v>
      </c>
      <c r="L241" s="1124" t="s">
        <v>835</v>
      </c>
      <c r="M241" s="1301">
        <v>46318</v>
      </c>
      <c r="N241" s="1124">
        <v>0.47299999999999998</v>
      </c>
      <c r="O241" s="1124">
        <v>0.28999999999999998</v>
      </c>
      <c r="P241" s="1124">
        <v>9.24</v>
      </c>
      <c r="S241" s="1286">
        <v>87</v>
      </c>
      <c r="T241" s="1317" t="s">
        <v>832</v>
      </c>
      <c r="U241" s="1318">
        <v>46316</v>
      </c>
      <c r="V241" s="1317">
        <v>0.34</v>
      </c>
      <c r="W241" s="1317">
        <v>0.47</v>
      </c>
      <c r="X241" s="1317">
        <v>10.09</v>
      </c>
    </row>
    <row r="242" spans="2:24" ht="14.4" customHeight="1" x14ac:dyDescent="0.3">
      <c r="B242" s="1312">
        <v>239</v>
      </c>
      <c r="C242" s="1722"/>
      <c r="D242" s="1312" t="s">
        <v>459</v>
      </c>
      <c r="E242" s="1313">
        <v>46312</v>
      </c>
      <c r="F242" s="1312">
        <v>0.68600000000000005</v>
      </c>
      <c r="G242" s="1312">
        <v>0.56000000000000005</v>
      </c>
      <c r="H242" s="1312">
        <v>8.31</v>
      </c>
      <c r="K242" s="251">
        <v>88</v>
      </c>
      <c r="L242" s="1124" t="s">
        <v>837</v>
      </c>
      <c r="M242" s="1301">
        <v>46318</v>
      </c>
      <c r="N242" s="1124">
        <v>0.48499999999999999</v>
      </c>
      <c r="O242" s="1124">
        <v>0.24</v>
      </c>
      <c r="P242" s="1124">
        <v>9.6199999999999992</v>
      </c>
      <c r="S242" s="1286">
        <v>88</v>
      </c>
      <c r="T242" s="1317" t="s">
        <v>834</v>
      </c>
      <c r="U242" s="1318">
        <v>46316</v>
      </c>
      <c r="V242" s="1317">
        <v>0.37</v>
      </c>
      <c r="W242" s="1317">
        <v>0.41</v>
      </c>
      <c r="X242" s="1317">
        <v>9.8699999999999992</v>
      </c>
    </row>
    <row r="243" spans="2:24" ht="14.4" customHeight="1" x14ac:dyDescent="0.3">
      <c r="B243" s="1312">
        <v>240</v>
      </c>
      <c r="C243" s="1722"/>
      <c r="D243" s="1312" t="s">
        <v>460</v>
      </c>
      <c r="E243" s="1313">
        <v>46312</v>
      </c>
      <c r="F243" s="1312">
        <v>0.69</v>
      </c>
      <c r="G243" s="1312">
        <v>0.52</v>
      </c>
      <c r="H243" s="1312">
        <v>8.7899999999999991</v>
      </c>
      <c r="K243" s="251">
        <v>89</v>
      </c>
      <c r="L243" s="1312" t="s">
        <v>835</v>
      </c>
      <c r="M243" s="1322">
        <v>46319</v>
      </c>
      <c r="N243" s="1397">
        <v>1.016</v>
      </c>
      <c r="O243" s="1312">
        <v>0.56999999999999995</v>
      </c>
      <c r="P243" s="1312">
        <v>13.25</v>
      </c>
      <c r="S243" s="1286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2">
        <v>241</v>
      </c>
      <c r="C244" s="1722"/>
      <c r="D244" s="1312" t="s">
        <v>461</v>
      </c>
      <c r="E244" s="1313">
        <v>46312</v>
      </c>
      <c r="F244" s="1312">
        <v>0.75900000000000001</v>
      </c>
      <c r="G244" s="1312">
        <v>0.53</v>
      </c>
      <c r="H244" s="1312">
        <v>8.43</v>
      </c>
      <c r="K244" s="251">
        <v>90</v>
      </c>
      <c r="L244" s="1312" t="s">
        <v>837</v>
      </c>
      <c r="M244" s="1322">
        <v>46319</v>
      </c>
      <c r="N244" s="1312">
        <v>0.80400000000000005</v>
      </c>
      <c r="O244" s="1312">
        <v>0.37</v>
      </c>
      <c r="P244" s="1312">
        <v>12.91</v>
      </c>
      <c r="S244" s="1286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2">
        <v>242</v>
      </c>
      <c r="C245" s="1722"/>
      <c r="D245" s="1312" t="s">
        <v>462</v>
      </c>
      <c r="E245" s="1313">
        <v>46312</v>
      </c>
      <c r="F245" s="1312">
        <v>0.746</v>
      </c>
      <c r="G245" s="1312">
        <v>0.55000000000000004</v>
      </c>
      <c r="H245" s="1312">
        <v>8.5500000000000007</v>
      </c>
      <c r="K245" s="251">
        <v>91</v>
      </c>
      <c r="L245" s="1312" t="s">
        <v>839</v>
      </c>
      <c r="M245" s="1322">
        <v>46319</v>
      </c>
      <c r="N245" s="1312">
        <v>0.66800000000000004</v>
      </c>
      <c r="O245" s="1312">
        <v>0.2</v>
      </c>
      <c r="P245" s="1312">
        <v>12.38</v>
      </c>
      <c r="S245" s="1286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2">
        <v>243</v>
      </c>
      <c r="C246" s="1722"/>
      <c r="D246" s="1312" t="s">
        <v>463</v>
      </c>
      <c r="E246" s="1313">
        <v>46312</v>
      </c>
      <c r="F246" s="1312">
        <v>0.73299999999999998</v>
      </c>
      <c r="G246" s="1312">
        <v>0.55000000000000004</v>
      </c>
      <c r="H246" s="1312">
        <v>8.49</v>
      </c>
      <c r="K246" s="251">
        <v>92</v>
      </c>
      <c r="L246" s="1312" t="s">
        <v>829</v>
      </c>
      <c r="M246" s="1322">
        <v>46319</v>
      </c>
      <c r="N246" s="1312">
        <v>0.66300000000000003</v>
      </c>
      <c r="O246" s="1312">
        <v>0.19</v>
      </c>
      <c r="P246" s="1312">
        <v>7.22</v>
      </c>
      <c r="S246" s="1286">
        <v>92</v>
      </c>
      <c r="T246" s="1388" t="s">
        <v>830</v>
      </c>
      <c r="U246" s="1389">
        <v>46317</v>
      </c>
      <c r="V246" s="1388">
        <v>0.35599999999999998</v>
      </c>
      <c r="W246" s="1388">
        <v>0.48</v>
      </c>
      <c r="X246" s="1388">
        <v>12.65</v>
      </c>
    </row>
    <row r="247" spans="2:24" x14ac:dyDescent="0.3">
      <c r="B247" s="1312">
        <v>244</v>
      </c>
      <c r="C247" s="1722"/>
      <c r="D247" s="1312" t="s">
        <v>852</v>
      </c>
      <c r="E247" s="1313">
        <v>46312</v>
      </c>
      <c r="F247" s="1312">
        <v>0.72499999999999998</v>
      </c>
      <c r="G247" s="1312">
        <v>0.53</v>
      </c>
      <c r="H247" s="1312">
        <v>8.14</v>
      </c>
      <c r="K247" s="251">
        <v>93</v>
      </c>
      <c r="L247" s="1312" t="s">
        <v>831</v>
      </c>
      <c r="M247" s="1322">
        <v>46319</v>
      </c>
      <c r="N247" s="1312">
        <v>0.77800000000000002</v>
      </c>
      <c r="O247" s="1312">
        <v>0.62</v>
      </c>
      <c r="P247" s="1312">
        <v>13.13</v>
      </c>
      <c r="S247" s="1286">
        <v>93</v>
      </c>
      <c r="T247" s="1388" t="s">
        <v>832</v>
      </c>
      <c r="U247" s="1389">
        <v>46317</v>
      </c>
      <c r="V247" s="1388">
        <v>0.34699999999999998</v>
      </c>
      <c r="W247" s="1388">
        <v>0.36</v>
      </c>
      <c r="X247" s="1388">
        <v>12.61</v>
      </c>
    </row>
    <row r="248" spans="2:24" x14ac:dyDescent="0.3">
      <c r="B248" s="1312">
        <v>245</v>
      </c>
      <c r="C248" s="1723"/>
      <c r="D248" s="1312" t="s">
        <v>853</v>
      </c>
      <c r="E248" s="1313">
        <v>46312</v>
      </c>
      <c r="F248" s="1312">
        <v>0.73</v>
      </c>
      <c r="G248" s="1312">
        <v>0.57999999999999996</v>
      </c>
      <c r="H248" s="1312">
        <v>8.57</v>
      </c>
      <c r="K248" s="251">
        <v>94</v>
      </c>
      <c r="L248" s="1312" t="s">
        <v>833</v>
      </c>
      <c r="M248" s="1322">
        <v>46319</v>
      </c>
      <c r="N248" s="1312">
        <v>0.80700000000000005</v>
      </c>
      <c r="O248" s="1312">
        <v>0.55000000000000004</v>
      </c>
      <c r="P248" s="1312">
        <v>12.75</v>
      </c>
      <c r="S248" s="1286">
        <v>94</v>
      </c>
      <c r="T248" s="1388" t="s">
        <v>834</v>
      </c>
      <c r="U248" s="1389">
        <v>46317</v>
      </c>
      <c r="V248" s="1388">
        <v>0.47</v>
      </c>
      <c r="W248" s="1388">
        <v>0.32</v>
      </c>
      <c r="X248" s="1388">
        <v>16.21</v>
      </c>
    </row>
    <row r="249" spans="2:24" ht="14.4" customHeight="1" x14ac:dyDescent="0.3">
      <c r="B249" s="452">
        <v>246</v>
      </c>
      <c r="C249" s="1715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702" t="s">
        <v>985</v>
      </c>
      <c r="M249" s="1703"/>
      <c r="N249" s="1703"/>
      <c r="O249" s="1703"/>
      <c r="P249" s="1704"/>
      <c r="S249" s="1286">
        <v>95</v>
      </c>
      <c r="T249" s="1312" t="s">
        <v>836</v>
      </c>
      <c r="U249" s="1322">
        <v>46318</v>
      </c>
      <c r="V249" s="1312">
        <v>0.25800000000000001</v>
      </c>
      <c r="W249" s="1312">
        <v>0.24</v>
      </c>
      <c r="X249" s="1312">
        <v>16.59</v>
      </c>
    </row>
    <row r="250" spans="2:24" ht="14.4" customHeight="1" x14ac:dyDescent="0.3">
      <c r="B250" s="452">
        <v>247</v>
      </c>
      <c r="C250" s="1716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89" t="s">
        <v>833</v>
      </c>
      <c r="M250" s="1290">
        <v>46321</v>
      </c>
      <c r="N250" s="1289">
        <v>0.59399999999999997</v>
      </c>
      <c r="O250" s="1289">
        <v>0.25</v>
      </c>
      <c r="P250" s="1289">
        <v>10.61</v>
      </c>
      <c r="S250" s="1286">
        <v>96</v>
      </c>
      <c r="T250" s="1312" t="s">
        <v>838</v>
      </c>
      <c r="U250" s="1322">
        <v>46318</v>
      </c>
      <c r="V250" s="1312">
        <v>0.22700000000000001</v>
      </c>
      <c r="W250" s="1312">
        <v>0.32</v>
      </c>
      <c r="X250" s="1312">
        <v>16.72</v>
      </c>
    </row>
    <row r="251" spans="2:24" ht="14.4" customHeight="1" x14ac:dyDescent="0.3">
      <c r="B251" s="452">
        <v>248</v>
      </c>
      <c r="C251" s="1716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1388" t="s">
        <v>835</v>
      </c>
      <c r="M251" s="1389">
        <v>46322</v>
      </c>
      <c r="N251" s="1388">
        <v>0.66200000000000003</v>
      </c>
      <c r="O251" s="1388">
        <v>0.67</v>
      </c>
      <c r="P251" s="1388">
        <v>9.6999999999999993</v>
      </c>
      <c r="S251" s="1286">
        <v>97</v>
      </c>
      <c r="T251" s="1312" t="s">
        <v>840</v>
      </c>
      <c r="U251" s="1322">
        <v>46318</v>
      </c>
      <c r="V251" s="1312">
        <v>0.28999999999999998</v>
      </c>
      <c r="W251" s="1312">
        <v>0.27</v>
      </c>
      <c r="X251" s="1312">
        <v>16.309999999999999</v>
      </c>
    </row>
    <row r="252" spans="2:24" ht="14.4" customHeight="1" x14ac:dyDescent="0.3">
      <c r="B252" s="452">
        <v>249</v>
      </c>
      <c r="C252" s="1716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K252" s="251">
        <v>98</v>
      </c>
      <c r="L252" s="1388" t="s">
        <v>837</v>
      </c>
      <c r="M252" s="1389">
        <v>46322</v>
      </c>
      <c r="N252" s="1388">
        <v>0.76100000000000001</v>
      </c>
      <c r="O252" s="1388">
        <v>0.82</v>
      </c>
      <c r="P252" s="1388">
        <v>12.55</v>
      </c>
      <c r="S252" s="1286">
        <v>98</v>
      </c>
      <c r="T252" s="1125" t="s">
        <v>830</v>
      </c>
      <c r="U252" s="1344">
        <v>46318</v>
      </c>
      <c r="V252" s="1125">
        <v>0.504</v>
      </c>
      <c r="W252" s="1125">
        <v>0.48</v>
      </c>
      <c r="X252" s="1125">
        <v>12.23</v>
      </c>
    </row>
    <row r="253" spans="2:24" ht="14.4" customHeight="1" x14ac:dyDescent="0.3">
      <c r="B253" s="452">
        <v>250</v>
      </c>
      <c r="C253" s="1716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K253" s="251">
        <v>99</v>
      </c>
      <c r="L253" s="1388" t="s">
        <v>839</v>
      </c>
      <c r="M253" s="1389">
        <v>46322</v>
      </c>
      <c r="N253" s="1388">
        <v>0.70099999999999996</v>
      </c>
      <c r="O253" s="1388">
        <v>0.74</v>
      </c>
      <c r="P253" s="1388">
        <v>9.09</v>
      </c>
      <c r="S253" s="1286">
        <v>99</v>
      </c>
      <c r="T253" s="1125" t="s">
        <v>832</v>
      </c>
      <c r="U253" s="1344">
        <v>46318</v>
      </c>
      <c r="V253" s="1125">
        <v>0.42</v>
      </c>
      <c r="W253" s="1125">
        <v>0.37</v>
      </c>
      <c r="X253" s="1125">
        <v>12.94</v>
      </c>
    </row>
    <row r="254" spans="2:24" ht="14.4" customHeight="1" x14ac:dyDescent="0.3">
      <c r="B254" s="452">
        <v>251</v>
      </c>
      <c r="C254" s="1716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K254" s="251">
        <v>100</v>
      </c>
      <c r="L254" s="1388" t="s">
        <v>829</v>
      </c>
      <c r="M254" s="1389">
        <v>46322</v>
      </c>
      <c r="N254" s="1388">
        <v>0.79800000000000004</v>
      </c>
      <c r="O254" s="1388">
        <v>0.72</v>
      </c>
      <c r="P254" s="1388">
        <v>14.95</v>
      </c>
      <c r="S254" s="1286">
        <v>100</v>
      </c>
      <c r="T254" s="1125" t="s">
        <v>834</v>
      </c>
      <c r="U254" s="1344">
        <v>46318</v>
      </c>
      <c r="V254" s="1125">
        <v>0.52500000000000002</v>
      </c>
      <c r="W254" s="1125">
        <v>0.44</v>
      </c>
      <c r="X254" s="1125">
        <v>14.68</v>
      </c>
    </row>
    <row r="255" spans="2:24" ht="14.4" customHeight="1" x14ac:dyDescent="0.3">
      <c r="B255" s="452">
        <v>252</v>
      </c>
      <c r="C255" s="1716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K255" s="251">
        <v>101</v>
      </c>
      <c r="L255" s="1388" t="s">
        <v>831</v>
      </c>
      <c r="M255" s="1389">
        <v>46322</v>
      </c>
      <c r="N255" s="1388">
        <v>0.78300000000000003</v>
      </c>
      <c r="O255" s="1388">
        <v>0.87</v>
      </c>
      <c r="P255" s="1388">
        <v>15.55</v>
      </c>
      <c r="S255" s="1286">
        <v>101</v>
      </c>
      <c r="T255" s="1390" t="s">
        <v>836</v>
      </c>
      <c r="U255" s="1391">
        <v>46319</v>
      </c>
      <c r="V255" s="1390">
        <v>0.39300000000000002</v>
      </c>
      <c r="W255" s="1390">
        <v>0.64</v>
      </c>
      <c r="X255" s="1390">
        <v>13.15</v>
      </c>
    </row>
    <row r="256" spans="2:24" ht="14.4" customHeight="1" x14ac:dyDescent="0.3">
      <c r="B256" s="452">
        <v>253</v>
      </c>
      <c r="C256" s="1716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K256" s="251">
        <v>102</v>
      </c>
      <c r="L256" s="1388" t="s">
        <v>833</v>
      </c>
      <c r="M256" s="1389">
        <v>46322</v>
      </c>
      <c r="N256" s="1388">
        <v>0.82299999999999995</v>
      </c>
      <c r="O256" s="1388">
        <v>0.89</v>
      </c>
      <c r="P256" s="1388">
        <v>15.87</v>
      </c>
      <c r="S256" s="1286">
        <v>102</v>
      </c>
      <c r="T256" s="1390" t="s">
        <v>838</v>
      </c>
      <c r="U256" s="1391">
        <v>46319</v>
      </c>
      <c r="V256" s="1390">
        <v>0.46500000000000002</v>
      </c>
      <c r="W256" s="1390">
        <v>0.5</v>
      </c>
      <c r="X256" s="1390">
        <v>13.66</v>
      </c>
    </row>
    <row r="257" spans="2:24" ht="14.4" customHeight="1" x14ac:dyDescent="0.3">
      <c r="B257" s="452">
        <v>254</v>
      </c>
      <c r="C257" s="1716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K257" s="251">
        <v>103</v>
      </c>
      <c r="L257" s="1376" t="s">
        <v>837</v>
      </c>
      <c r="M257" s="1377">
        <v>46323</v>
      </c>
      <c r="N257" s="1376">
        <v>0.79800000000000004</v>
      </c>
      <c r="O257" s="1376">
        <v>0.49</v>
      </c>
      <c r="P257" s="1376">
        <v>13.58</v>
      </c>
      <c r="S257" s="1286">
        <v>103</v>
      </c>
      <c r="T257" s="1390" t="s">
        <v>840</v>
      </c>
      <c r="U257" s="1391">
        <v>46319</v>
      </c>
      <c r="V257" s="1390">
        <v>0.41499999999999998</v>
      </c>
      <c r="W257" s="1390">
        <v>0.66</v>
      </c>
      <c r="X257" s="1390">
        <v>13.72</v>
      </c>
    </row>
    <row r="258" spans="2:24" ht="14.4" customHeight="1" x14ac:dyDescent="0.3">
      <c r="B258" s="452">
        <v>255</v>
      </c>
      <c r="C258" s="1716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K258" s="251">
        <v>104</v>
      </c>
      <c r="L258" s="1376" t="s">
        <v>839</v>
      </c>
      <c r="M258" s="1377">
        <v>46323</v>
      </c>
      <c r="N258" s="1376">
        <v>0.72199999999999998</v>
      </c>
      <c r="O258" s="1376">
        <v>0.56000000000000005</v>
      </c>
      <c r="P258" s="1376">
        <v>15.21</v>
      </c>
      <c r="S258" s="1286">
        <v>104</v>
      </c>
      <c r="T258" s="1292" t="s">
        <v>830</v>
      </c>
      <c r="U258" s="1293">
        <v>46319</v>
      </c>
      <c r="V258" s="1292">
        <v>0.33800000000000002</v>
      </c>
      <c r="W258" s="1396">
        <v>0.28999999999999998</v>
      </c>
      <c r="X258" s="1292">
        <v>12.51</v>
      </c>
    </row>
    <row r="259" spans="2:24" ht="14.4" customHeight="1" x14ac:dyDescent="0.3">
      <c r="B259" s="452">
        <v>256</v>
      </c>
      <c r="C259" s="1716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K259" s="251">
        <v>105</v>
      </c>
      <c r="L259" s="1376" t="s">
        <v>829</v>
      </c>
      <c r="M259" s="1377">
        <v>46323</v>
      </c>
      <c r="N259" s="1376">
        <v>0.56100000000000005</v>
      </c>
      <c r="O259" s="1376">
        <v>0.71</v>
      </c>
      <c r="P259" s="1376">
        <v>16.77</v>
      </c>
      <c r="S259" s="1286">
        <v>105</v>
      </c>
      <c r="T259" s="1292" t="s">
        <v>832</v>
      </c>
      <c r="U259" s="1293">
        <v>46319</v>
      </c>
      <c r="V259" s="1292">
        <v>0.35299999999999998</v>
      </c>
      <c r="W259" s="1292">
        <v>0.3</v>
      </c>
      <c r="X259" s="1292">
        <v>13.64</v>
      </c>
    </row>
    <row r="260" spans="2:24" ht="14.4" customHeight="1" x14ac:dyDescent="0.3">
      <c r="B260" s="452">
        <v>257</v>
      </c>
      <c r="C260" s="1716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K260" s="251">
        <v>106</v>
      </c>
      <c r="L260" s="1376" t="s">
        <v>831</v>
      </c>
      <c r="M260" s="1377">
        <v>46323</v>
      </c>
      <c r="N260" s="1376">
        <v>0.53900000000000003</v>
      </c>
      <c r="O260" s="1376">
        <v>0.25</v>
      </c>
      <c r="P260" s="1376">
        <v>10.36</v>
      </c>
      <c r="S260" s="1286">
        <v>106</v>
      </c>
      <c r="T260" s="1292" t="s">
        <v>834</v>
      </c>
      <c r="U260" s="1293">
        <v>46319</v>
      </c>
      <c r="V260" s="1292">
        <v>0.37</v>
      </c>
      <c r="W260" s="1292">
        <v>0.4</v>
      </c>
      <c r="X260" s="1292">
        <v>12.32</v>
      </c>
    </row>
    <row r="261" spans="2:24" ht="14.4" customHeight="1" x14ac:dyDescent="0.3">
      <c r="B261" s="452">
        <v>258</v>
      </c>
      <c r="C261" s="1716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K261" s="251">
        <v>107</v>
      </c>
      <c r="L261" s="1376" t="s">
        <v>833</v>
      </c>
      <c r="M261" s="1377">
        <v>46323</v>
      </c>
      <c r="N261" s="1376">
        <v>0.497</v>
      </c>
      <c r="O261" s="1376">
        <v>0.48</v>
      </c>
      <c r="P261" s="1376">
        <v>11.53</v>
      </c>
      <c r="S261" s="1286">
        <v>107</v>
      </c>
      <c r="T261" s="1124" t="s">
        <v>836</v>
      </c>
      <c r="U261" s="1301">
        <v>46320</v>
      </c>
      <c r="V261" s="1124">
        <v>0.53600000000000003</v>
      </c>
      <c r="W261" s="1124">
        <v>0.57999999999999996</v>
      </c>
      <c r="X261" s="1124">
        <v>15.46</v>
      </c>
    </row>
    <row r="262" spans="2:24" ht="14.4" customHeight="1" x14ac:dyDescent="0.3">
      <c r="B262" s="452">
        <v>259</v>
      </c>
      <c r="C262" s="1716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K262" s="251">
        <v>108</v>
      </c>
      <c r="L262" s="6"/>
      <c r="M262" s="6"/>
      <c r="N262" s="6"/>
      <c r="O262" s="6"/>
      <c r="P262" s="6"/>
      <c r="S262" s="1286">
        <v>108</v>
      </c>
      <c r="T262" s="1124" t="s">
        <v>838</v>
      </c>
      <c r="U262" s="1301">
        <v>46320</v>
      </c>
      <c r="V262" s="1124">
        <v>0.63700000000000001</v>
      </c>
      <c r="W262" s="1124">
        <v>0.66</v>
      </c>
      <c r="X262" s="1124">
        <v>15.17</v>
      </c>
    </row>
    <row r="263" spans="2:24" ht="14.4" customHeight="1" x14ac:dyDescent="0.3">
      <c r="B263" s="452">
        <v>260</v>
      </c>
      <c r="C263" s="1716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K263" s="251">
        <v>109</v>
      </c>
      <c r="L263" s="6"/>
      <c r="M263" s="6"/>
      <c r="N263" s="6"/>
      <c r="O263" s="6"/>
      <c r="P263" s="6"/>
      <c r="S263" s="1286">
        <v>109</v>
      </c>
      <c r="T263" s="1124" t="s">
        <v>840</v>
      </c>
      <c r="U263" s="1301">
        <v>46320</v>
      </c>
      <c r="V263" s="1124">
        <v>0.435</v>
      </c>
      <c r="W263" s="1124">
        <v>0.53</v>
      </c>
      <c r="X263" s="1124">
        <v>13.74</v>
      </c>
    </row>
    <row r="264" spans="2:24" ht="14.4" customHeight="1" x14ac:dyDescent="0.3">
      <c r="B264" s="452">
        <v>261</v>
      </c>
      <c r="C264" s="1716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K264" s="251">
        <v>110</v>
      </c>
      <c r="L264" s="6"/>
      <c r="M264" s="6"/>
      <c r="N264" s="6"/>
      <c r="O264" s="6"/>
      <c r="P264" s="6"/>
      <c r="S264" s="1286">
        <v>110</v>
      </c>
      <c r="T264" s="1404" t="s">
        <v>830</v>
      </c>
      <c r="U264" s="1405">
        <v>46320</v>
      </c>
      <c r="V264" s="1404">
        <v>0.35699999999999998</v>
      </c>
      <c r="W264" s="1404">
        <v>0.25</v>
      </c>
      <c r="X264" s="1404">
        <v>13.56</v>
      </c>
    </row>
    <row r="265" spans="2:24" ht="14.4" customHeight="1" x14ac:dyDescent="0.3">
      <c r="B265" s="452">
        <v>262</v>
      </c>
      <c r="C265" s="1716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K265" s="251">
        <v>111</v>
      </c>
      <c r="L265" s="6"/>
      <c r="M265" s="6"/>
      <c r="N265" s="6"/>
      <c r="O265" s="6"/>
      <c r="P265" s="6"/>
      <c r="S265" s="1286">
        <v>111</v>
      </c>
      <c r="T265" s="1404" t="s">
        <v>832</v>
      </c>
      <c r="U265" s="1405">
        <v>46320</v>
      </c>
      <c r="V265" s="1404">
        <v>0.33700000000000002</v>
      </c>
      <c r="W265" s="1404">
        <v>0.33</v>
      </c>
      <c r="X265" s="1404">
        <v>11.7</v>
      </c>
    </row>
    <row r="266" spans="2:24" ht="14.4" customHeight="1" x14ac:dyDescent="0.3">
      <c r="B266" s="452">
        <v>263</v>
      </c>
      <c r="C266" s="1716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K266" s="251">
        <v>112</v>
      </c>
      <c r="L266" s="6"/>
      <c r="M266" s="6"/>
      <c r="N266" s="6"/>
      <c r="O266" s="6"/>
      <c r="P266" s="6"/>
      <c r="S266" s="1286">
        <v>112</v>
      </c>
      <c r="T266" s="1404" t="s">
        <v>834</v>
      </c>
      <c r="U266" s="1405">
        <v>46320</v>
      </c>
      <c r="V266" s="1404">
        <v>0.44600000000000001</v>
      </c>
      <c r="W266" s="1404">
        <v>0.45</v>
      </c>
      <c r="X266" s="1404">
        <v>14</v>
      </c>
    </row>
    <row r="267" spans="2:24" ht="14.4" customHeight="1" x14ac:dyDescent="0.3">
      <c r="B267" s="452">
        <v>264</v>
      </c>
      <c r="C267" s="1716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K267" s="251">
        <v>113</v>
      </c>
      <c r="L267" s="6"/>
      <c r="M267" s="6"/>
      <c r="N267" s="6"/>
      <c r="O267" s="6"/>
      <c r="P267" s="6"/>
      <c r="S267" s="1286">
        <v>113</v>
      </c>
      <c r="T267" s="1323" t="s">
        <v>830</v>
      </c>
      <c r="U267" s="1324">
        <v>46321</v>
      </c>
      <c r="V267" s="1323">
        <v>0.372</v>
      </c>
      <c r="W267" s="1323">
        <v>0.72</v>
      </c>
      <c r="X267" s="1323">
        <v>17.899999999999999</v>
      </c>
    </row>
    <row r="268" spans="2:24" ht="14.4" customHeight="1" x14ac:dyDescent="0.3">
      <c r="B268" s="452">
        <v>265</v>
      </c>
      <c r="C268" s="1716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K268" s="251">
        <v>114</v>
      </c>
      <c r="L268" s="6"/>
      <c r="M268" s="6"/>
      <c r="N268" s="6"/>
      <c r="O268" s="6"/>
      <c r="P268" s="6"/>
      <c r="S268" s="1286">
        <v>114</v>
      </c>
      <c r="T268" s="1323" t="s">
        <v>832</v>
      </c>
      <c r="U268" s="1324">
        <v>46321</v>
      </c>
      <c r="V268" s="1323">
        <v>0.47599999999999998</v>
      </c>
      <c r="W268" s="1323">
        <v>0.66</v>
      </c>
      <c r="X268" s="1323">
        <v>18.34</v>
      </c>
    </row>
    <row r="269" spans="2:24" ht="14.4" customHeight="1" x14ac:dyDescent="0.3">
      <c r="B269" s="452">
        <v>266</v>
      </c>
      <c r="C269" s="1716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K269" s="251">
        <v>115</v>
      </c>
      <c r="L269" s="6"/>
      <c r="M269" s="6"/>
      <c r="N269" s="6"/>
      <c r="O269" s="6"/>
      <c r="P269" s="6"/>
      <c r="S269" s="1286">
        <v>115</v>
      </c>
      <c r="T269" s="1323" t="s">
        <v>834</v>
      </c>
      <c r="U269" s="1324">
        <v>46321</v>
      </c>
      <c r="V269" s="1323">
        <v>0.30599999999999999</v>
      </c>
      <c r="W269" s="1323">
        <v>0.6</v>
      </c>
      <c r="X269" s="1323">
        <v>18.55</v>
      </c>
    </row>
    <row r="270" spans="2:24" ht="14.4" customHeight="1" x14ac:dyDescent="0.3">
      <c r="B270" s="452">
        <v>267</v>
      </c>
      <c r="C270" s="1716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  <c r="K270" s="251">
        <v>116</v>
      </c>
      <c r="L270" s="6"/>
      <c r="M270" s="6"/>
      <c r="N270" s="6"/>
      <c r="O270" s="6"/>
      <c r="P270" s="6"/>
      <c r="S270" s="1286">
        <v>116</v>
      </c>
      <c r="T270" s="1312" t="s">
        <v>836</v>
      </c>
      <c r="U270" s="1322">
        <v>46322</v>
      </c>
      <c r="V270" s="1312">
        <v>0.63500000000000001</v>
      </c>
      <c r="W270" s="1312">
        <v>0.65</v>
      </c>
      <c r="X270" s="1312">
        <v>17.36</v>
      </c>
    </row>
    <row r="271" spans="2:24" ht="14.4" customHeight="1" x14ac:dyDescent="0.3">
      <c r="B271" s="452">
        <v>268</v>
      </c>
      <c r="C271" s="1716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  <c r="K271" s="251">
        <v>117</v>
      </c>
      <c r="L271" s="6"/>
      <c r="M271" s="6"/>
      <c r="N271" s="6"/>
      <c r="O271" s="6"/>
      <c r="P271" s="6"/>
      <c r="S271" s="1286">
        <v>117</v>
      </c>
      <c r="T271" s="1312" t="s">
        <v>838</v>
      </c>
      <c r="U271" s="1322">
        <v>46322</v>
      </c>
      <c r="V271" s="1312">
        <v>0.67900000000000005</v>
      </c>
      <c r="W271" s="1312">
        <v>0.57999999999999996</v>
      </c>
      <c r="X271" s="1312">
        <v>17.29</v>
      </c>
    </row>
    <row r="272" spans="2:24" ht="14.4" customHeight="1" x14ac:dyDescent="0.3">
      <c r="B272" s="452">
        <v>269</v>
      </c>
      <c r="C272" s="1716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  <c r="K272" s="251">
        <v>118</v>
      </c>
      <c r="L272" s="6"/>
      <c r="M272" s="6"/>
      <c r="N272" s="6"/>
      <c r="O272" s="6"/>
      <c r="P272" s="6"/>
      <c r="S272" s="1286">
        <v>118</v>
      </c>
      <c r="T272" s="1312" t="s">
        <v>840</v>
      </c>
      <c r="U272" s="1322">
        <v>46322</v>
      </c>
      <c r="V272" s="1312">
        <v>0.71899999999999997</v>
      </c>
      <c r="W272" s="1312">
        <v>0.65</v>
      </c>
      <c r="X272" s="1312">
        <v>17.420000000000002</v>
      </c>
    </row>
    <row r="273" spans="2:24" x14ac:dyDescent="0.3">
      <c r="B273" s="452">
        <v>270</v>
      </c>
      <c r="C273" s="1716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  <c r="K273" s="251">
        <v>119</v>
      </c>
      <c r="L273" s="6"/>
      <c r="M273" s="6"/>
      <c r="N273" s="6"/>
      <c r="O273" s="6"/>
      <c r="P273" s="6"/>
      <c r="S273" s="1286">
        <v>119</v>
      </c>
      <c r="T273" s="1390" t="s">
        <v>830</v>
      </c>
      <c r="U273" s="1391">
        <v>46322</v>
      </c>
      <c r="V273" s="1390">
        <v>0.42499999999999999</v>
      </c>
      <c r="W273" s="1390">
        <v>0.7</v>
      </c>
      <c r="X273" s="1390">
        <v>13.2</v>
      </c>
    </row>
    <row r="274" spans="2:24" x14ac:dyDescent="0.3">
      <c r="B274" s="452">
        <v>271</v>
      </c>
      <c r="C274" s="1716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  <c r="S274" s="1286">
        <v>120</v>
      </c>
      <c r="T274" s="1390" t="s">
        <v>832</v>
      </c>
      <c r="U274" s="1391">
        <v>46322</v>
      </c>
      <c r="V274" s="1390">
        <v>0.49</v>
      </c>
      <c r="W274" s="1390">
        <v>0.54</v>
      </c>
      <c r="X274" s="1390">
        <v>12.85</v>
      </c>
    </row>
    <row r="275" spans="2:24" x14ac:dyDescent="0.3">
      <c r="B275" s="452">
        <v>272</v>
      </c>
      <c r="C275" s="1717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  <c r="S275" s="1286">
        <v>121</v>
      </c>
      <c r="T275" s="1390" t="s">
        <v>834</v>
      </c>
      <c r="U275" s="1391">
        <v>46322</v>
      </c>
      <c r="V275" s="1390">
        <v>0.41899999999999998</v>
      </c>
      <c r="W275" s="1390">
        <v>0.73</v>
      </c>
      <c r="X275" s="1390">
        <v>17.39</v>
      </c>
    </row>
    <row r="276" spans="2:24" ht="14.4" customHeight="1" x14ac:dyDescent="0.3">
      <c r="B276" s="1312">
        <v>273</v>
      </c>
      <c r="C276" s="1713">
        <v>22</v>
      </c>
      <c r="D276" s="1312" t="s">
        <v>458</v>
      </c>
      <c r="E276" s="1313">
        <v>46315</v>
      </c>
      <c r="F276" s="1312">
        <v>0.437</v>
      </c>
      <c r="G276" s="1312">
        <v>0.41</v>
      </c>
      <c r="H276" s="1312">
        <v>16.559999999999999</v>
      </c>
      <c r="S276" s="1286">
        <v>122</v>
      </c>
      <c r="T276" s="6"/>
      <c r="U276" s="62"/>
      <c r="V276" s="6"/>
      <c r="W276" s="6"/>
      <c r="X276" s="6"/>
    </row>
    <row r="277" spans="2:24" ht="14.4" customHeight="1" x14ac:dyDescent="0.3">
      <c r="B277" s="1312">
        <v>274</v>
      </c>
      <c r="C277" s="1714"/>
      <c r="D277" s="1312" t="s">
        <v>459</v>
      </c>
      <c r="E277" s="1313">
        <v>46315</v>
      </c>
      <c r="F277" s="1312">
        <v>0.501</v>
      </c>
      <c r="G277" s="1312">
        <v>0.4</v>
      </c>
      <c r="H277" s="1312">
        <v>16.739999999999998</v>
      </c>
      <c r="S277" s="1286">
        <v>123</v>
      </c>
      <c r="T277" s="6"/>
      <c r="U277" s="62"/>
      <c r="V277" s="6"/>
      <c r="W277" s="6"/>
      <c r="X277" s="6"/>
    </row>
    <row r="278" spans="2:24" ht="14.4" customHeight="1" x14ac:dyDescent="0.3">
      <c r="B278" s="1312">
        <v>275</v>
      </c>
      <c r="C278" s="1714"/>
      <c r="D278" s="1312" t="s">
        <v>460</v>
      </c>
      <c r="E278" s="1313">
        <v>46315</v>
      </c>
      <c r="F278" s="1312">
        <v>0.44400000000000001</v>
      </c>
      <c r="G278" s="1312">
        <v>0.45</v>
      </c>
      <c r="H278" s="1312">
        <v>16.45</v>
      </c>
      <c r="S278" s="1286">
        <v>124</v>
      </c>
      <c r="T278" s="6"/>
      <c r="U278" s="62"/>
      <c r="V278" s="6"/>
      <c r="W278" s="6"/>
      <c r="X278" s="6"/>
    </row>
    <row r="279" spans="2:24" ht="14.4" customHeight="1" x14ac:dyDescent="0.3">
      <c r="B279" s="1312">
        <v>276</v>
      </c>
      <c r="C279" s="1714"/>
      <c r="D279" s="1312" t="s">
        <v>848</v>
      </c>
      <c r="E279" s="1313">
        <v>46315</v>
      </c>
      <c r="F279" s="1312">
        <v>0.46200000000000002</v>
      </c>
      <c r="G279" s="1312">
        <v>0.43</v>
      </c>
      <c r="H279" s="1312">
        <v>16.73</v>
      </c>
      <c r="S279" s="1286">
        <v>125</v>
      </c>
      <c r="T279" s="6"/>
      <c r="U279" s="62"/>
      <c r="V279" s="6"/>
      <c r="W279" s="6"/>
      <c r="X279" s="6"/>
    </row>
    <row r="280" spans="2:24" ht="14.4" customHeight="1" x14ac:dyDescent="0.3">
      <c r="B280" s="1312">
        <v>277</v>
      </c>
      <c r="C280" s="1714"/>
      <c r="D280" s="1312" t="s">
        <v>849</v>
      </c>
      <c r="E280" s="1313">
        <v>46315</v>
      </c>
      <c r="F280" s="1312">
        <v>0.44500000000000001</v>
      </c>
      <c r="G280" s="1312">
        <v>0.39</v>
      </c>
      <c r="H280" s="1312">
        <v>16.73</v>
      </c>
      <c r="S280" s="1286">
        <v>126</v>
      </c>
      <c r="T280" s="6"/>
      <c r="U280" s="62"/>
      <c r="V280" s="6"/>
      <c r="W280" s="6"/>
      <c r="X280" s="6"/>
    </row>
    <row r="281" spans="2:24" ht="14.4" customHeight="1" x14ac:dyDescent="0.3">
      <c r="B281" s="1312">
        <v>278</v>
      </c>
      <c r="C281" s="1714"/>
      <c r="D281" s="1312" t="s">
        <v>461</v>
      </c>
      <c r="E281" s="1313">
        <v>46315</v>
      </c>
      <c r="F281" s="1312">
        <v>0.54</v>
      </c>
      <c r="G281" s="1312">
        <v>0.32</v>
      </c>
      <c r="H281" s="1312">
        <v>15.09</v>
      </c>
      <c r="S281" s="1286">
        <v>127</v>
      </c>
      <c r="T281" s="6"/>
      <c r="U281" s="62"/>
      <c r="V281" s="6"/>
      <c r="W281" s="6"/>
      <c r="X281" s="6"/>
    </row>
    <row r="282" spans="2:24" ht="14.4" customHeight="1" x14ac:dyDescent="0.3">
      <c r="B282" s="1312">
        <v>279</v>
      </c>
      <c r="C282" s="1714"/>
      <c r="D282" s="1312" t="s">
        <v>462</v>
      </c>
      <c r="E282" s="1313">
        <v>46315</v>
      </c>
      <c r="F282" s="1312">
        <v>0.54700000000000004</v>
      </c>
      <c r="G282" s="1312">
        <v>0.53</v>
      </c>
      <c r="H282" s="1312">
        <v>15.59</v>
      </c>
      <c r="S282" s="1286">
        <v>128</v>
      </c>
      <c r="T282" s="6"/>
      <c r="U282" s="62"/>
      <c r="V282" s="6"/>
      <c r="W282" s="6"/>
      <c r="X282" s="6"/>
    </row>
    <row r="283" spans="2:24" ht="14.4" customHeight="1" x14ac:dyDescent="0.3">
      <c r="B283" s="1312">
        <v>280</v>
      </c>
      <c r="C283" s="1714"/>
      <c r="D283" s="1312" t="s">
        <v>463</v>
      </c>
      <c r="E283" s="1313">
        <v>46315</v>
      </c>
      <c r="F283" s="1312">
        <v>0.61299999999999999</v>
      </c>
      <c r="G283" s="1312">
        <v>0.47</v>
      </c>
      <c r="H283" s="1312">
        <v>15.75</v>
      </c>
      <c r="S283" s="1286">
        <v>129</v>
      </c>
      <c r="T283" s="6"/>
      <c r="U283" s="62"/>
      <c r="V283" s="6"/>
      <c r="W283" s="6"/>
      <c r="X283" s="6"/>
    </row>
    <row r="284" spans="2:24" ht="14.4" customHeight="1" x14ac:dyDescent="0.3">
      <c r="B284" s="1312">
        <v>281</v>
      </c>
      <c r="C284" s="1733"/>
      <c r="D284" s="1312" t="s">
        <v>852</v>
      </c>
      <c r="E284" s="1313">
        <v>46315</v>
      </c>
      <c r="F284" s="1312">
        <v>0.52400000000000002</v>
      </c>
      <c r="G284" s="1312">
        <v>0.43</v>
      </c>
      <c r="H284" s="1312">
        <v>15.68</v>
      </c>
      <c r="S284" s="1286">
        <v>130</v>
      </c>
      <c r="T284" s="6"/>
      <c r="U284" s="62"/>
      <c r="V284" s="6"/>
      <c r="W284" s="6"/>
      <c r="X284" s="6"/>
    </row>
    <row r="285" spans="2:24" ht="14.4" customHeight="1" x14ac:dyDescent="0.3">
      <c r="B285" s="452">
        <v>282</v>
      </c>
      <c r="C285" s="1701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  <c r="S285" s="1286">
        <v>131</v>
      </c>
      <c r="T285" s="6"/>
      <c r="U285" s="62"/>
      <c r="V285" s="6"/>
      <c r="W285" s="6"/>
      <c r="X285" s="6"/>
    </row>
    <row r="286" spans="2:24" ht="14.4" customHeight="1" x14ac:dyDescent="0.3">
      <c r="B286" s="452">
        <v>283</v>
      </c>
      <c r="C286" s="1696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  <c r="S286" s="1286">
        <v>132</v>
      </c>
      <c r="T286" s="6"/>
      <c r="U286" s="62"/>
      <c r="V286" s="6"/>
      <c r="W286" s="6"/>
      <c r="X286" s="6"/>
    </row>
    <row r="287" spans="2:24" ht="14.4" customHeight="1" x14ac:dyDescent="0.3">
      <c r="B287" s="452">
        <v>284</v>
      </c>
      <c r="C287" s="1696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24" ht="14.4" customHeight="1" x14ac:dyDescent="0.3">
      <c r="B288" s="452">
        <v>285</v>
      </c>
      <c r="C288" s="1696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696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696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696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696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696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696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696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696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696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697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2">
        <v>301</v>
      </c>
      <c r="C299" s="1713">
        <v>24</v>
      </c>
      <c r="D299" s="1312" t="s">
        <v>461</v>
      </c>
      <c r="E299" s="1313">
        <v>46317</v>
      </c>
      <c r="F299" s="1312">
        <v>0.47699999999999998</v>
      </c>
      <c r="G299" s="1312">
        <v>0.59</v>
      </c>
      <c r="H299" s="1312">
        <v>17.48</v>
      </c>
    </row>
    <row r="300" spans="2:8" ht="14.4" customHeight="1" x14ac:dyDescent="0.3">
      <c r="B300" s="1312">
        <v>302</v>
      </c>
      <c r="C300" s="1714"/>
      <c r="D300" s="1312" t="s">
        <v>462</v>
      </c>
      <c r="E300" s="1313">
        <v>46317</v>
      </c>
      <c r="F300" s="1312">
        <v>0.58499999999999996</v>
      </c>
      <c r="G300" s="1312">
        <v>0.62</v>
      </c>
      <c r="H300" s="1312">
        <v>18.14</v>
      </c>
    </row>
    <row r="301" spans="2:8" ht="14.4" customHeight="1" x14ac:dyDescent="0.3">
      <c r="B301" s="1312">
        <v>303</v>
      </c>
      <c r="C301" s="1714"/>
      <c r="D301" s="1312" t="s">
        <v>463</v>
      </c>
      <c r="E301" s="1313">
        <v>46317</v>
      </c>
      <c r="F301" s="1312">
        <v>0.65500000000000003</v>
      </c>
      <c r="G301" s="1312">
        <v>0.7</v>
      </c>
      <c r="H301" s="1312">
        <v>17.64</v>
      </c>
    </row>
    <row r="302" spans="2:8" ht="14.4" customHeight="1" x14ac:dyDescent="0.3">
      <c r="B302" s="1312">
        <v>304</v>
      </c>
      <c r="C302" s="1714"/>
      <c r="D302" s="1312" t="s">
        <v>852</v>
      </c>
      <c r="E302" s="1313">
        <v>46317</v>
      </c>
      <c r="F302" s="1312">
        <v>0.52700000000000002</v>
      </c>
      <c r="G302" s="1312">
        <v>0.57999999999999996</v>
      </c>
      <c r="H302" s="1312">
        <v>16.440000000000001</v>
      </c>
    </row>
    <row r="303" spans="2:8" ht="14.4" customHeight="1" x14ac:dyDescent="0.3">
      <c r="B303" s="1312">
        <v>305</v>
      </c>
      <c r="C303" s="1714"/>
      <c r="D303" s="1312" t="s">
        <v>853</v>
      </c>
      <c r="E303" s="1313">
        <v>46317</v>
      </c>
      <c r="F303" s="1312">
        <v>0.497</v>
      </c>
      <c r="G303" s="1312">
        <v>0.48</v>
      </c>
      <c r="H303" s="1312">
        <v>16.98</v>
      </c>
    </row>
    <row r="304" spans="2:8" ht="14.4" customHeight="1" x14ac:dyDescent="0.3">
      <c r="B304" s="1312">
        <v>306</v>
      </c>
      <c r="C304" s="1714"/>
      <c r="D304" s="1312" t="s">
        <v>854</v>
      </c>
      <c r="E304" s="1313">
        <v>46317</v>
      </c>
      <c r="F304" s="1312">
        <v>0.64400000000000002</v>
      </c>
      <c r="G304" s="1312">
        <v>0.43</v>
      </c>
      <c r="H304" s="1312">
        <v>18.07</v>
      </c>
    </row>
    <row r="305" spans="2:8" ht="14.4" customHeight="1" x14ac:dyDescent="0.3">
      <c r="B305" s="1312">
        <v>307</v>
      </c>
      <c r="C305" s="1714"/>
      <c r="D305" s="1698" t="s">
        <v>981</v>
      </c>
      <c r="E305" s="1699"/>
      <c r="F305" s="1699"/>
      <c r="G305" s="1699"/>
      <c r="H305" s="1700"/>
    </row>
    <row r="306" spans="2:8" ht="14.4" customHeight="1" x14ac:dyDescent="0.3">
      <c r="B306" s="1312">
        <v>308</v>
      </c>
      <c r="C306" s="1714"/>
      <c r="D306" s="1312" t="s">
        <v>982</v>
      </c>
      <c r="E306" s="1313">
        <v>46318</v>
      </c>
      <c r="F306" s="1312">
        <v>0.72399999999999998</v>
      </c>
      <c r="G306" s="1312">
        <v>0.85</v>
      </c>
      <c r="H306" s="1312">
        <v>14.15</v>
      </c>
    </row>
    <row r="307" spans="2:8" ht="14.4" customHeight="1" x14ac:dyDescent="0.3">
      <c r="B307" s="1312">
        <v>309</v>
      </c>
      <c r="C307" s="1714"/>
      <c r="D307" s="1312" t="s">
        <v>983</v>
      </c>
      <c r="E307" s="1313">
        <v>46318</v>
      </c>
      <c r="F307" s="1312">
        <v>0.75700000000000001</v>
      </c>
      <c r="G307" s="1312">
        <v>0.48</v>
      </c>
      <c r="H307" s="1312">
        <v>11.23</v>
      </c>
    </row>
    <row r="308" spans="2:8" ht="14.4" customHeight="1" x14ac:dyDescent="0.3">
      <c r="B308" s="1312">
        <v>310</v>
      </c>
      <c r="C308" s="1714"/>
      <c r="D308" s="1312" t="s">
        <v>984</v>
      </c>
      <c r="E308" s="1313">
        <v>46318</v>
      </c>
      <c r="F308" s="1312">
        <v>0.78800000000000003</v>
      </c>
      <c r="G308" s="1312">
        <v>0.79</v>
      </c>
      <c r="H308" s="1312">
        <v>13.92</v>
      </c>
    </row>
    <row r="309" spans="2:8" ht="14.4" customHeight="1" x14ac:dyDescent="0.3">
      <c r="B309" s="452">
        <v>311</v>
      </c>
      <c r="C309" s="1696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696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696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696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696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696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696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696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697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1705" t="s">
        <v>1006</v>
      </c>
      <c r="D318" s="1706"/>
      <c r="E318" s="1706"/>
      <c r="F318" s="1706"/>
      <c r="G318" s="1706"/>
      <c r="H318" s="1706"/>
    </row>
    <row r="319" spans="2:8" x14ac:dyDescent="0.3">
      <c r="B319" s="6">
        <v>321</v>
      </c>
      <c r="C319" s="1702" t="s">
        <v>969</v>
      </c>
      <c r="D319" s="1703"/>
      <c r="E319" s="1703"/>
      <c r="F319" s="1703"/>
      <c r="G319" s="1703"/>
      <c r="H319" s="1704"/>
    </row>
    <row r="320" spans="2:8" x14ac:dyDescent="0.3">
      <c r="B320" s="1312">
        <v>322</v>
      </c>
      <c r="C320" s="1693">
        <v>26</v>
      </c>
      <c r="D320" s="1312" t="s">
        <v>461</v>
      </c>
      <c r="E320" s="1313">
        <v>46321</v>
      </c>
      <c r="F320" s="1312">
        <v>0.51600000000000001</v>
      </c>
      <c r="G320" s="1312">
        <v>0.43</v>
      </c>
      <c r="H320" s="1312">
        <v>18.739999999999998</v>
      </c>
    </row>
    <row r="321" spans="2:8" x14ac:dyDescent="0.3">
      <c r="B321" s="1312">
        <v>323</v>
      </c>
      <c r="C321" s="1694"/>
      <c r="D321" s="1312" t="s">
        <v>462</v>
      </c>
      <c r="E321" s="1313">
        <v>46321</v>
      </c>
      <c r="F321" s="1312">
        <v>0.58299999999999996</v>
      </c>
      <c r="G321" s="1312">
        <v>0.5</v>
      </c>
      <c r="H321" s="1312">
        <v>18.690000000000001</v>
      </c>
    </row>
    <row r="322" spans="2:8" x14ac:dyDescent="0.3">
      <c r="B322" s="1312">
        <v>324</v>
      </c>
      <c r="C322" s="1694"/>
      <c r="D322" s="1312" t="s">
        <v>463</v>
      </c>
      <c r="E322" s="1313">
        <v>46321</v>
      </c>
      <c r="F322" s="1312">
        <v>0.54600000000000004</v>
      </c>
      <c r="G322" s="1312">
        <v>0.46</v>
      </c>
      <c r="H322" s="1312">
        <v>17.52</v>
      </c>
    </row>
    <row r="323" spans="2:8" x14ac:dyDescent="0.3">
      <c r="B323" s="1312">
        <v>325</v>
      </c>
      <c r="C323" s="1694"/>
      <c r="D323" s="1312" t="s">
        <v>852</v>
      </c>
      <c r="E323" s="1313">
        <v>46321</v>
      </c>
      <c r="F323" s="1312">
        <v>0.53300000000000003</v>
      </c>
      <c r="G323" s="1312">
        <v>0.4</v>
      </c>
      <c r="H323" s="1312">
        <v>17.78</v>
      </c>
    </row>
    <row r="324" spans="2:8" x14ac:dyDescent="0.3">
      <c r="B324" s="1312">
        <v>326</v>
      </c>
      <c r="C324" s="1694"/>
      <c r="D324" s="1312" t="s">
        <v>853</v>
      </c>
      <c r="E324" s="1313">
        <v>46321</v>
      </c>
      <c r="F324" s="1312">
        <v>0.55200000000000005</v>
      </c>
      <c r="G324" s="1312">
        <v>0.41</v>
      </c>
      <c r="H324" s="1312">
        <v>17.77</v>
      </c>
    </row>
    <row r="325" spans="2:8" x14ac:dyDescent="0.3">
      <c r="B325" s="1312">
        <v>327</v>
      </c>
      <c r="C325" s="1695"/>
      <c r="D325" s="1312" t="s">
        <v>854</v>
      </c>
      <c r="E325" s="1313">
        <v>46321</v>
      </c>
      <c r="F325" s="1312">
        <v>0.51800000000000002</v>
      </c>
      <c r="G325" s="1312">
        <v>0.41</v>
      </c>
      <c r="H325" s="1312">
        <v>17.82</v>
      </c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452">
        <v>329</v>
      </c>
      <c r="C327" s="1690">
        <v>27</v>
      </c>
      <c r="D327" s="452" t="s">
        <v>461</v>
      </c>
      <c r="E327" s="453">
        <v>46322</v>
      </c>
      <c r="F327" s="452">
        <v>0.48499999999999999</v>
      </c>
      <c r="G327" s="452">
        <v>0.72</v>
      </c>
      <c r="H327" s="452">
        <v>16.96</v>
      </c>
    </row>
    <row r="328" spans="2:8" x14ac:dyDescent="0.3">
      <c r="B328" s="452">
        <v>330</v>
      </c>
      <c r="C328" s="1691"/>
      <c r="D328" s="452" t="s">
        <v>462</v>
      </c>
      <c r="E328" s="453">
        <v>46322</v>
      </c>
      <c r="F328" s="452">
        <v>0.45400000000000001</v>
      </c>
      <c r="G328" s="452">
        <v>0.49</v>
      </c>
      <c r="H328" s="452">
        <v>14.02</v>
      </c>
    </row>
    <row r="329" spans="2:8" x14ac:dyDescent="0.3">
      <c r="B329" s="452">
        <v>331</v>
      </c>
      <c r="C329" s="1692"/>
      <c r="D329" s="452" t="s">
        <v>463</v>
      </c>
      <c r="E329" s="453">
        <v>46322</v>
      </c>
      <c r="F329" s="452">
        <v>0.42399999999999999</v>
      </c>
      <c r="G329" s="452">
        <v>0.65</v>
      </c>
      <c r="H329" s="452">
        <v>16.34</v>
      </c>
    </row>
    <row r="330" spans="2:8" x14ac:dyDescent="0.3">
      <c r="B330" s="6">
        <v>332</v>
      </c>
      <c r="C330" s="6"/>
      <c r="D330" s="6"/>
      <c r="E330" s="6"/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7">
    <mergeCell ref="C276:C284"/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121:C129"/>
    <mergeCell ref="T2:V2"/>
    <mergeCell ref="C52:C60"/>
    <mergeCell ref="C67:C75"/>
    <mergeCell ref="C25:C36"/>
    <mergeCell ref="C61:C66"/>
    <mergeCell ref="C76:C87"/>
    <mergeCell ref="L249:P249"/>
    <mergeCell ref="C249:C275"/>
    <mergeCell ref="C181:C192"/>
    <mergeCell ref="C88:C99"/>
    <mergeCell ref="C231:C248"/>
    <mergeCell ref="C202:C210"/>
    <mergeCell ref="C211:C230"/>
    <mergeCell ref="C193:C201"/>
    <mergeCell ref="C37:C48"/>
    <mergeCell ref="C327:C329"/>
    <mergeCell ref="C320:C325"/>
    <mergeCell ref="C309:C317"/>
    <mergeCell ref="D305:H305"/>
    <mergeCell ref="C285:C298"/>
    <mergeCell ref="C319:H319"/>
    <mergeCell ref="C318:H318"/>
    <mergeCell ref="C299:C308"/>
  </mergeCells>
  <phoneticPr fontId="122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60" zoomScaleNormal="60" workbookViewId="0">
      <pane ySplit="4" topLeftCell="A110" activePane="bottomLeft" state="frozen"/>
      <selection pane="bottomLeft" activeCell="I125" sqref="I125:I127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796" t="s">
        <v>63</v>
      </c>
      <c r="B3" s="1797"/>
      <c r="C3" s="1797"/>
      <c r="D3" s="1797"/>
      <c r="E3" s="1797"/>
      <c r="F3" s="1797"/>
      <c r="G3" s="1797"/>
      <c r="H3" s="1797"/>
      <c r="I3" s="1797"/>
      <c r="J3" s="1797"/>
      <c r="K3" s="1797"/>
      <c r="L3" s="1797"/>
    </row>
    <row r="4" spans="1:36" ht="28.8" x14ac:dyDescent="0.3">
      <c r="A4" s="1800" t="s">
        <v>0</v>
      </c>
      <c r="B4" s="1800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798">
        <v>46265</v>
      </c>
      <c r="B5" s="1799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711">
        <v>1</v>
      </c>
      <c r="J5" s="900">
        <f>(720-G5)/60</f>
        <v>10.433333333333334</v>
      </c>
      <c r="K5" s="901">
        <f>J5/12</f>
        <v>0.86944444444444446</v>
      </c>
      <c r="L5" s="1786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795">
        <v>46265</v>
      </c>
      <c r="B6" s="1568"/>
      <c r="C6" s="769" t="s">
        <v>13</v>
      </c>
      <c r="D6" s="592"/>
      <c r="E6" s="586"/>
      <c r="F6" s="501"/>
      <c r="G6" s="502">
        <f>(F6-E6)*1440</f>
        <v>0</v>
      </c>
      <c r="H6" s="587"/>
      <c r="I6" s="1711"/>
      <c r="J6" s="809">
        <f>(720-G6)/60</f>
        <v>12</v>
      </c>
      <c r="K6" s="812">
        <f t="shared" ref="K6:K8" si="1">J6/12</f>
        <v>1</v>
      </c>
      <c r="L6" s="1786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SUM(Q49:Q65)</f>
        <v>352.7</v>
      </c>
      <c r="AI6" s="949">
        <f>SUM(S49:S65)</f>
        <v>55.3</v>
      </c>
      <c r="AJ6" s="950">
        <f>AH6/SUM(AH6:AI6)</f>
        <v>0.86446078431372542</v>
      </c>
    </row>
    <row r="7" spans="1:36" ht="44.4" customHeight="1" thickBot="1" x14ac:dyDescent="0.45">
      <c r="A7" s="1795">
        <v>46266</v>
      </c>
      <c r="B7" s="1568"/>
      <c r="C7" s="769" t="s">
        <v>12</v>
      </c>
      <c r="D7" s="592"/>
      <c r="E7" s="586"/>
      <c r="F7" s="501"/>
      <c r="G7" s="502">
        <f>(F7-E7)*1440</f>
        <v>0</v>
      </c>
      <c r="H7" s="587"/>
      <c r="I7" s="1711"/>
      <c r="J7" s="809">
        <f>(720-G7)/60</f>
        <v>12</v>
      </c>
      <c r="K7" s="812">
        <f t="shared" si="1"/>
        <v>1</v>
      </c>
      <c r="L7" s="1786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49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795">
        <v>46266</v>
      </c>
      <c r="B8" s="1568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712"/>
      <c r="J8" s="809">
        <f t="shared" ref="J8:J14" si="5">(720-G8)/60</f>
        <v>10.9</v>
      </c>
      <c r="K8" s="812">
        <f t="shared" si="1"/>
        <v>0.90833333333333333</v>
      </c>
      <c r="L8" s="1786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794">
        <v>46267</v>
      </c>
      <c r="B9" s="1566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707">
        <v>2</v>
      </c>
      <c r="J9" s="810">
        <f t="shared" si="5"/>
        <v>10</v>
      </c>
      <c r="K9" s="813">
        <f>J9/12</f>
        <v>0.83333333333333337</v>
      </c>
      <c r="L9" s="1785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794">
        <v>46267</v>
      </c>
      <c r="B10" s="1566"/>
      <c r="C10" s="826" t="s">
        <v>13</v>
      </c>
      <c r="D10" s="594"/>
      <c r="E10" s="498"/>
      <c r="F10" s="498"/>
      <c r="G10" s="499">
        <f t="shared" si="4"/>
        <v>0</v>
      </c>
      <c r="H10" s="589"/>
      <c r="I10" s="1708"/>
      <c r="J10" s="810">
        <f t="shared" si="5"/>
        <v>12</v>
      </c>
      <c r="K10" s="813">
        <f t="shared" ref="K10:K14" si="6">J10/12</f>
        <v>1</v>
      </c>
      <c r="L10" s="1785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794">
        <v>46268</v>
      </c>
      <c r="B11" s="1566"/>
      <c r="C11" s="826" t="s">
        <v>12</v>
      </c>
      <c r="D11" s="594"/>
      <c r="E11" s="498"/>
      <c r="F11" s="498"/>
      <c r="G11" s="499">
        <f t="shared" si="4"/>
        <v>0</v>
      </c>
      <c r="H11" s="589"/>
      <c r="I11" s="1708"/>
      <c r="J11" s="810">
        <f t="shared" si="5"/>
        <v>12</v>
      </c>
      <c r="K11" s="813">
        <f t="shared" si="6"/>
        <v>1</v>
      </c>
      <c r="L11" s="1785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794">
        <v>46268</v>
      </c>
      <c r="B12" s="1566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708"/>
      <c r="J12" s="810">
        <f t="shared" si="5"/>
        <v>11</v>
      </c>
      <c r="K12" s="813">
        <f t="shared" si="6"/>
        <v>0.91666666666666663</v>
      </c>
      <c r="L12" s="1785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794">
        <v>46269</v>
      </c>
      <c r="B13" s="1566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708"/>
      <c r="J13" s="810">
        <f t="shared" si="5"/>
        <v>0</v>
      </c>
      <c r="K13" s="813">
        <f t="shared" si="6"/>
        <v>0</v>
      </c>
      <c r="L13" s="1785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794">
        <v>46269</v>
      </c>
      <c r="B14" s="1566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709"/>
      <c r="J14" s="810">
        <f t="shared" si="5"/>
        <v>0</v>
      </c>
      <c r="K14" s="813">
        <f t="shared" si="6"/>
        <v>0</v>
      </c>
      <c r="L14" s="1785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795">
        <v>46270</v>
      </c>
      <c r="B15" s="1568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710">
        <v>3</v>
      </c>
      <c r="J15" s="809">
        <f>(720-G15)/60</f>
        <v>0</v>
      </c>
      <c r="K15" s="812">
        <f>J15/12</f>
        <v>0</v>
      </c>
      <c r="L15" s="1786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0" si="7">P15/60</f>
        <v>2.9666666666666668</v>
      </c>
      <c r="T15" s="360"/>
    </row>
    <row r="16" spans="1:36" ht="43.2" x14ac:dyDescent="0.3">
      <c r="A16" s="1795">
        <v>46270</v>
      </c>
      <c r="B16" s="1568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711"/>
      <c r="J16" s="809">
        <f t="shared" ref="J16:J19" si="8">(720-G16)/60</f>
        <v>11</v>
      </c>
      <c r="K16" s="812">
        <f t="shared" ref="K16:K19" si="9">J16/12</f>
        <v>0.91666666666666663</v>
      </c>
      <c r="L16" s="1786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795">
        <v>46271</v>
      </c>
      <c r="B17" s="1568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711"/>
      <c r="J17" s="809">
        <f t="shared" si="8"/>
        <v>9.8333333333333339</v>
      </c>
      <c r="K17" s="812">
        <f t="shared" si="9"/>
        <v>0.81944444444444453</v>
      </c>
      <c r="L17" s="1786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795">
        <v>46271</v>
      </c>
      <c r="B18" s="1568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711"/>
      <c r="J18" s="809">
        <f t="shared" si="8"/>
        <v>12</v>
      </c>
      <c r="K18" s="812">
        <f t="shared" si="9"/>
        <v>1</v>
      </c>
      <c r="L18" s="1786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795">
        <v>46272</v>
      </c>
      <c r="B19" s="1568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712"/>
      <c r="J19" s="809">
        <f t="shared" si="8"/>
        <v>11.683333333333334</v>
      </c>
      <c r="K19" s="812">
        <f t="shared" si="9"/>
        <v>0.97361111111111109</v>
      </c>
      <c r="L19" s="1787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794">
        <v>46272</v>
      </c>
      <c r="B20" s="1566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801">
        <v>4</v>
      </c>
      <c r="J20" s="810">
        <f>(720-G20)/60</f>
        <v>10.766666666666667</v>
      </c>
      <c r="K20" s="813">
        <f>J20/12</f>
        <v>0.89722222222222225</v>
      </c>
      <c r="L20" s="1787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794">
        <v>46273</v>
      </c>
      <c r="B21" s="1566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802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785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794">
        <v>46273</v>
      </c>
      <c r="B22" s="1566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802"/>
      <c r="J22" s="810">
        <f t="shared" si="10"/>
        <v>9.4499999999999993</v>
      </c>
      <c r="K22" s="813">
        <f t="shared" si="11"/>
        <v>0.78749999999999998</v>
      </c>
      <c r="L22" s="1785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794">
        <v>46274</v>
      </c>
      <c r="B23" s="1566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803"/>
      <c r="J23" s="810">
        <f t="shared" si="10"/>
        <v>3</v>
      </c>
      <c r="K23" s="813">
        <f t="shared" si="11"/>
        <v>0.25</v>
      </c>
      <c r="L23" s="1785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758">
        <v>46274</v>
      </c>
      <c r="B24" s="1553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785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795">
        <v>46275</v>
      </c>
      <c r="B25" s="1568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804">
        <v>5</v>
      </c>
      <c r="J25" s="809">
        <f>(720-G25)/60</f>
        <v>10.566666666666666</v>
      </c>
      <c r="K25" s="812">
        <f>J25/12</f>
        <v>0.88055555555555554</v>
      </c>
      <c r="L25" s="1786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795">
        <v>46275</v>
      </c>
      <c r="B26" s="1568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805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786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795">
        <v>46276</v>
      </c>
      <c r="B27" s="1568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806"/>
      <c r="J27" s="809">
        <f t="shared" si="13"/>
        <v>10.983333333333333</v>
      </c>
      <c r="K27" s="812">
        <f t="shared" si="14"/>
        <v>0.91527777777777775</v>
      </c>
      <c r="L27" s="1787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811">
        <v>46276</v>
      </c>
      <c r="B28" s="1567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788">
        <v>6</v>
      </c>
      <c r="J28" s="810">
        <f>(720-G28)/60</f>
        <v>2</v>
      </c>
      <c r="K28" s="813">
        <f>J28/12</f>
        <v>0.16666666666666666</v>
      </c>
      <c r="L28" s="1787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807">
        <v>46277</v>
      </c>
      <c r="B29" s="1808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789"/>
      <c r="J29" s="810">
        <f t="shared" ref="J29:J33" si="15">(720-G29)/60</f>
        <v>0</v>
      </c>
      <c r="K29" s="813">
        <f t="shared" ref="K29:K33" si="16">J29/12</f>
        <v>0</v>
      </c>
      <c r="L29" s="1785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809">
        <v>46277</v>
      </c>
      <c r="B30" s="1810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789"/>
      <c r="J30" s="810">
        <f t="shared" si="15"/>
        <v>0</v>
      </c>
      <c r="K30" s="813">
        <f t="shared" si="16"/>
        <v>0</v>
      </c>
      <c r="L30" s="1785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811">
        <v>46278</v>
      </c>
      <c r="B31" s="1567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789"/>
      <c r="J31" s="810">
        <f t="shared" si="15"/>
        <v>0</v>
      </c>
      <c r="K31" s="813">
        <f t="shared" si="16"/>
        <v>0</v>
      </c>
      <c r="L31" s="1785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812">
        <v>46278</v>
      </c>
      <c r="B32" s="1576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789"/>
      <c r="J32" s="810">
        <f t="shared" si="15"/>
        <v>0</v>
      </c>
      <c r="K32" s="813">
        <f t="shared" si="16"/>
        <v>0</v>
      </c>
      <c r="L32" s="1785"/>
      <c r="O32" s="62">
        <v>46292</v>
      </c>
      <c r="P32" s="66">
        <f>SUM(G59:G60)</f>
        <v>300</v>
      </c>
      <c r="Q32" s="66">
        <f t="shared" ref="Q32:Q49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813">
        <v>46279</v>
      </c>
      <c r="B33" s="1578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790"/>
      <c r="J33" s="810">
        <f t="shared" si="15"/>
        <v>0</v>
      </c>
      <c r="K33" s="813">
        <f t="shared" si="16"/>
        <v>0</v>
      </c>
      <c r="L33" s="1787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798">
        <v>46279</v>
      </c>
      <c r="B34" s="1799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780">
        <v>7</v>
      </c>
      <c r="J34" s="809">
        <f>(720-G34)/60</f>
        <v>10</v>
      </c>
      <c r="K34" s="812">
        <f>J34/12</f>
        <v>0.83333333333333337</v>
      </c>
      <c r="L34" s="1787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795">
        <v>46280</v>
      </c>
      <c r="B35" s="1568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711"/>
      <c r="J35" s="809">
        <f t="shared" ref="J35:J36" si="20">(720-G35)/60</f>
        <v>12</v>
      </c>
      <c r="K35" s="812">
        <f t="shared" ref="K35:K36" si="21">J35/12</f>
        <v>1</v>
      </c>
      <c r="L35" s="1786">
        <f>SUM(J35:J36)/24</f>
        <v>1</v>
      </c>
      <c r="O35" s="62">
        <v>46295</v>
      </c>
      <c r="P35" s="66">
        <f>SUM(G65:G66)</f>
        <v>1440</v>
      </c>
      <c r="Q35" s="66">
        <f>(1440-P35)/60</f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795">
        <v>46280</v>
      </c>
      <c r="B36" s="1568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712"/>
      <c r="J36" s="809">
        <f t="shared" si="20"/>
        <v>12</v>
      </c>
      <c r="K36" s="812">
        <f t="shared" si="21"/>
        <v>1</v>
      </c>
      <c r="L36" s="1786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794">
        <v>46281</v>
      </c>
      <c r="B37" s="1566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782">
        <v>8</v>
      </c>
      <c r="J37" s="810">
        <f>(720-G37)/60</f>
        <v>12</v>
      </c>
      <c r="K37" s="813">
        <f>J37/12</f>
        <v>1</v>
      </c>
      <c r="L37" s="1785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794">
        <v>46281</v>
      </c>
      <c r="B38" s="1566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783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785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794">
        <v>46282</v>
      </c>
      <c r="B39" s="1566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783"/>
      <c r="J39" s="810">
        <f t="shared" si="22"/>
        <v>12</v>
      </c>
      <c r="K39" s="813">
        <f t="shared" si="23"/>
        <v>1</v>
      </c>
      <c r="L39" s="1785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748">
        <v>46282</v>
      </c>
      <c r="B40" s="1749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784"/>
      <c r="J40" s="939">
        <f t="shared" si="22"/>
        <v>12</v>
      </c>
      <c r="K40" s="940">
        <f t="shared" si="23"/>
        <v>1</v>
      </c>
      <c r="L40" s="1785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762">
        <v>46283</v>
      </c>
      <c r="B41" s="1763"/>
      <c r="C41" s="966" t="s">
        <v>12</v>
      </c>
      <c r="D41" s="989" t="s">
        <v>540</v>
      </c>
      <c r="E41" s="990">
        <v>6.9444444444444447E-4</v>
      </c>
      <c r="F41" s="990">
        <v>0.12222222222222222</v>
      </c>
      <c r="G41" s="991">
        <f t="shared" si="4"/>
        <v>175</v>
      </c>
      <c r="H41" s="992" t="s">
        <v>646</v>
      </c>
      <c r="I41" s="1772">
        <v>9</v>
      </c>
      <c r="J41" s="993">
        <f t="shared" si="22"/>
        <v>9.0833333333333339</v>
      </c>
      <c r="K41" s="994">
        <f t="shared" si="23"/>
        <v>0.75694444444444453</v>
      </c>
      <c r="L41" s="1781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762">
        <v>46283</v>
      </c>
      <c r="B42" s="1763"/>
      <c r="C42" s="966" t="s">
        <v>13</v>
      </c>
      <c r="D42" s="995" t="s">
        <v>647</v>
      </c>
      <c r="E42" s="990">
        <v>6.9444444444444447E-4</v>
      </c>
      <c r="F42" s="990">
        <v>6.9444444444444447E-4</v>
      </c>
      <c r="G42" s="991">
        <f t="shared" si="4"/>
        <v>0</v>
      </c>
      <c r="H42" s="1020" t="s">
        <v>648</v>
      </c>
      <c r="I42" s="1773"/>
      <c r="J42" s="993">
        <f t="shared" si="22"/>
        <v>12</v>
      </c>
      <c r="K42" s="994">
        <f t="shared" si="23"/>
        <v>1</v>
      </c>
      <c r="L42" s="1781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762">
        <v>46284</v>
      </c>
      <c r="B43" s="1763"/>
      <c r="C43" s="966" t="s">
        <v>12</v>
      </c>
      <c r="D43" s="1021" t="s">
        <v>507</v>
      </c>
      <c r="E43" s="990">
        <v>6.9444444444444447E-4</v>
      </c>
      <c r="F43" s="990">
        <v>6.9444444444444447E-4</v>
      </c>
      <c r="G43" s="991">
        <f t="shared" si="4"/>
        <v>0</v>
      </c>
      <c r="H43" s="996" t="s">
        <v>648</v>
      </c>
      <c r="I43" s="1773"/>
      <c r="J43" s="993">
        <f t="shared" si="22"/>
        <v>12</v>
      </c>
      <c r="K43" s="994">
        <f t="shared" si="23"/>
        <v>1</v>
      </c>
      <c r="L43" s="1781">
        <f>SUM(J43:J44)/24</f>
        <v>0.75</v>
      </c>
      <c r="O43" s="62">
        <v>46303</v>
      </c>
      <c r="P43" s="66">
        <f>SUM(G81:G82)</f>
        <v>30</v>
      </c>
      <c r="Q43" s="66">
        <f>(1440-P43)/60</f>
        <v>23.5</v>
      </c>
      <c r="R43" s="63">
        <f>Q43/24</f>
        <v>0.97916666666666663</v>
      </c>
      <c r="S43" s="66">
        <f>P43/60</f>
        <v>0.5</v>
      </c>
      <c r="T43" s="6"/>
    </row>
    <row r="44" spans="1:20" ht="28.8" x14ac:dyDescent="0.3">
      <c r="A44" s="1762">
        <v>46284</v>
      </c>
      <c r="B44" s="1763"/>
      <c r="C44" s="966" t="s">
        <v>13</v>
      </c>
      <c r="D44" s="1021" t="s">
        <v>650</v>
      </c>
      <c r="E44" s="990">
        <v>6.9444444444444447E-4</v>
      </c>
      <c r="F44" s="990">
        <v>0.25069444444444444</v>
      </c>
      <c r="G44" s="991">
        <f t="shared" si="4"/>
        <v>360</v>
      </c>
      <c r="H44" s="1020" t="s">
        <v>649</v>
      </c>
      <c r="I44" s="1774"/>
      <c r="J44" s="993">
        <f t="shared" si="22"/>
        <v>6</v>
      </c>
      <c r="K44" s="994">
        <f t="shared" si="23"/>
        <v>0.5</v>
      </c>
      <c r="L44" s="1781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748">
        <v>46285</v>
      </c>
      <c r="B45" s="1749"/>
      <c r="C45" s="907" t="s">
        <v>12</v>
      </c>
      <c r="D45" s="1027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8" t="s">
        <v>652</v>
      </c>
      <c r="I45" s="1769">
        <v>10</v>
      </c>
      <c r="J45" s="939">
        <f t="shared" si="22"/>
        <v>0</v>
      </c>
      <c r="K45" s="940">
        <f t="shared" si="23"/>
        <v>0</v>
      </c>
      <c r="L45" s="1792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748">
        <v>46285</v>
      </c>
      <c r="B46" s="1749"/>
      <c r="C46" s="907" t="s">
        <v>13</v>
      </c>
      <c r="D46" s="1054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5" t="s">
        <v>655</v>
      </c>
      <c r="I46" s="1770"/>
      <c r="J46" s="939">
        <f t="shared" si="22"/>
        <v>0</v>
      </c>
      <c r="K46" s="940">
        <f t="shared" si="23"/>
        <v>0</v>
      </c>
      <c r="L46" s="1792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748">
        <v>46286</v>
      </c>
      <c r="B47" s="1749"/>
      <c r="C47" s="907" t="s">
        <v>12</v>
      </c>
      <c r="D47" s="1067" t="s">
        <v>506</v>
      </c>
      <c r="E47" s="937">
        <v>6.9444444444444447E-4</v>
      </c>
      <c r="F47" s="937">
        <v>0.4</v>
      </c>
      <c r="G47" s="938">
        <f t="shared" si="25"/>
        <v>575</v>
      </c>
      <c r="H47" s="1069" t="s">
        <v>664</v>
      </c>
      <c r="I47" s="1770"/>
      <c r="J47" s="939">
        <f>(720-G47)/60</f>
        <v>2.4166666666666665</v>
      </c>
      <c r="K47" s="940">
        <f t="shared" si="23"/>
        <v>0.20138888888888887</v>
      </c>
      <c r="L47" s="1792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748">
        <v>46286</v>
      </c>
      <c r="B48" s="1749"/>
      <c r="C48" s="907" t="s">
        <v>13</v>
      </c>
      <c r="D48" s="1073" t="s">
        <v>540</v>
      </c>
      <c r="E48" s="937">
        <v>6.9444444444444447E-4</v>
      </c>
      <c r="F48" s="1074">
        <v>2.1527777777777778E-2</v>
      </c>
      <c r="G48" s="938">
        <f t="shared" ref="G48" si="27">(F48-E48)*1440</f>
        <v>30</v>
      </c>
      <c r="H48" s="1075" t="s">
        <v>666</v>
      </c>
      <c r="I48" s="1770"/>
      <c r="J48" s="939">
        <f t="shared" si="22"/>
        <v>11.5</v>
      </c>
      <c r="K48" s="940">
        <f t="shared" si="23"/>
        <v>0.95833333333333337</v>
      </c>
      <c r="L48" s="1792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748">
        <v>46287</v>
      </c>
      <c r="B49" s="1749"/>
      <c r="C49" s="907" t="s">
        <v>12</v>
      </c>
      <c r="D49" s="1079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0" t="s">
        <v>689</v>
      </c>
      <c r="I49" s="1770"/>
      <c r="J49" s="939">
        <f t="shared" si="22"/>
        <v>12</v>
      </c>
      <c r="K49" s="940">
        <f t="shared" si="23"/>
        <v>1</v>
      </c>
      <c r="L49" s="1792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748">
        <v>46287</v>
      </c>
      <c r="B50" s="1749"/>
      <c r="C50" s="907" t="s">
        <v>13</v>
      </c>
      <c r="D50" s="1082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3" t="s">
        <v>693</v>
      </c>
      <c r="I50" s="1770"/>
      <c r="J50" s="939">
        <f t="shared" si="22"/>
        <v>9.25</v>
      </c>
      <c r="K50" s="940">
        <f t="shared" si="23"/>
        <v>0.77083333333333337</v>
      </c>
      <c r="L50" s="1792"/>
      <c r="O50" s="62">
        <v>46310</v>
      </c>
      <c r="P50" s="66">
        <f>SUM(G95:G96)</f>
        <v>0</v>
      </c>
      <c r="Q50" s="66">
        <f t="shared" ref="Q50:Q61" si="29">(1440-P50)/60</f>
        <v>24</v>
      </c>
      <c r="R50" s="63">
        <f t="shared" ref="R50:R61" si="30">Q50/24</f>
        <v>1</v>
      </c>
      <c r="S50" s="66">
        <f t="shared" si="7"/>
        <v>0</v>
      </c>
      <c r="T50" s="6"/>
    </row>
    <row r="51" spans="1:20" ht="14.4" customHeight="1" x14ac:dyDescent="0.3">
      <c r="A51" s="1748">
        <v>46288</v>
      </c>
      <c r="B51" s="1749"/>
      <c r="C51" s="907" t="s">
        <v>12</v>
      </c>
      <c r="D51" s="1097" t="s">
        <v>506</v>
      </c>
      <c r="E51" s="1098">
        <v>6.9444444444444447E-4</v>
      </c>
      <c r="F51" s="937">
        <v>0.18819444444444444</v>
      </c>
      <c r="G51" s="938">
        <f t="shared" si="28"/>
        <v>270</v>
      </c>
      <c r="H51" s="1099" t="s">
        <v>698</v>
      </c>
      <c r="I51" s="1770"/>
      <c r="J51" s="939">
        <f t="shared" si="22"/>
        <v>7.5</v>
      </c>
      <c r="K51" s="940">
        <f t="shared" si="23"/>
        <v>0.625</v>
      </c>
      <c r="L51" s="1792">
        <f>SUM(J51:J52)/24</f>
        <v>0.8125</v>
      </c>
      <c r="O51" s="62">
        <v>46311</v>
      </c>
      <c r="P51" s="66">
        <f t="shared" ref="P51:P52" si="31">SUM(G96:G97)</f>
        <v>0</v>
      </c>
      <c r="Q51" s="66">
        <f t="shared" ref="Q51:Q55" si="32">(1440-P51)/60</f>
        <v>24</v>
      </c>
      <c r="R51" s="63">
        <f t="shared" ref="R51:R55" si="33">Q51/24</f>
        <v>1</v>
      </c>
      <c r="S51" s="66">
        <f t="shared" ref="S51:S55" si="34">P51/60</f>
        <v>0</v>
      </c>
      <c r="T51" s="6"/>
    </row>
    <row r="52" spans="1:20" ht="14.4" customHeight="1" x14ac:dyDescent="0.3">
      <c r="A52" s="1748">
        <v>46288</v>
      </c>
      <c r="B52" s="1749"/>
      <c r="C52" s="907" t="s">
        <v>13</v>
      </c>
      <c r="D52" s="1097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099" t="s">
        <v>699</v>
      </c>
      <c r="I52" s="1770"/>
      <c r="J52" s="939">
        <f t="shared" si="22"/>
        <v>12</v>
      </c>
      <c r="K52" s="940">
        <f t="shared" si="23"/>
        <v>1</v>
      </c>
      <c r="L52" s="1792"/>
      <c r="O52" s="62">
        <v>46312</v>
      </c>
      <c r="P52" s="66">
        <f t="shared" si="31"/>
        <v>0</v>
      </c>
      <c r="Q52" s="66">
        <f t="shared" si="32"/>
        <v>24</v>
      </c>
      <c r="R52" s="63">
        <f t="shared" si="33"/>
        <v>1</v>
      </c>
      <c r="S52" s="66">
        <f t="shared" si="34"/>
        <v>0</v>
      </c>
      <c r="T52" s="6"/>
    </row>
    <row r="53" spans="1:20" x14ac:dyDescent="0.3">
      <c r="A53" s="1748">
        <v>46289</v>
      </c>
      <c r="B53" s="1749"/>
      <c r="C53" s="907" t="s">
        <v>12</v>
      </c>
      <c r="D53" s="1097" t="s">
        <v>506</v>
      </c>
      <c r="E53" s="937">
        <v>6.9444444444444447E-4</v>
      </c>
      <c r="F53" s="937">
        <v>6.9444444444444447E-4</v>
      </c>
      <c r="G53" s="938">
        <f t="shared" ref="G53:G57" si="35">(F53-E53)*1440</f>
        <v>0</v>
      </c>
      <c r="H53" s="1099" t="s">
        <v>702</v>
      </c>
      <c r="I53" s="1771"/>
      <c r="J53" s="939">
        <f t="shared" si="22"/>
        <v>12</v>
      </c>
      <c r="K53" s="940">
        <f t="shared" si="23"/>
        <v>1</v>
      </c>
      <c r="L53" s="1792">
        <f>SUM(J53:J54)/24</f>
        <v>1</v>
      </c>
      <c r="O53" s="62">
        <v>46313</v>
      </c>
      <c r="P53" s="66">
        <f>SUM(G101:G102)</f>
        <v>475</v>
      </c>
      <c r="Q53" s="66">
        <f t="shared" si="32"/>
        <v>16.083333333333332</v>
      </c>
      <c r="R53" s="63">
        <f t="shared" si="33"/>
        <v>0.67013888888888884</v>
      </c>
      <c r="S53" s="66">
        <f t="shared" si="34"/>
        <v>7.916666666666667</v>
      </c>
      <c r="T53" s="6"/>
    </row>
    <row r="54" spans="1:20" ht="14.4" customHeight="1" x14ac:dyDescent="0.3">
      <c r="A54" s="1762">
        <v>46289</v>
      </c>
      <c r="B54" s="1763"/>
      <c r="C54" s="966" t="s">
        <v>13</v>
      </c>
      <c r="D54" s="1108" t="s">
        <v>169</v>
      </c>
      <c r="E54" s="990">
        <v>6.9444444444444447E-4</v>
      </c>
      <c r="F54" s="1109">
        <v>6.9444444444444447E-4</v>
      </c>
      <c r="G54" s="991">
        <f t="shared" si="35"/>
        <v>0</v>
      </c>
      <c r="H54" s="1110" t="s">
        <v>703</v>
      </c>
      <c r="I54" s="1772">
        <v>11</v>
      </c>
      <c r="J54" s="993">
        <f t="shared" si="22"/>
        <v>12</v>
      </c>
      <c r="K54" s="994">
        <f t="shared" si="23"/>
        <v>1</v>
      </c>
      <c r="L54" s="1792"/>
      <c r="O54" s="62">
        <v>46314</v>
      </c>
      <c r="P54" s="66">
        <f>SUM(G103:G104)</f>
        <v>89</v>
      </c>
      <c r="Q54" s="66">
        <f t="shared" si="32"/>
        <v>22.516666666666666</v>
      </c>
      <c r="R54" s="63">
        <f t="shared" si="33"/>
        <v>0.93819444444444444</v>
      </c>
      <c r="S54" s="66">
        <f t="shared" si="34"/>
        <v>1.4833333333333334</v>
      </c>
      <c r="T54" s="6"/>
    </row>
    <row r="55" spans="1:20" ht="28.8" x14ac:dyDescent="0.3">
      <c r="A55" s="1762">
        <v>46290</v>
      </c>
      <c r="B55" s="1763"/>
      <c r="C55" s="966" t="s">
        <v>12</v>
      </c>
      <c r="D55" s="1120" t="s">
        <v>506</v>
      </c>
      <c r="E55" s="990">
        <v>6.9444444444444447E-4</v>
      </c>
      <c r="F55" s="990">
        <v>0.1125</v>
      </c>
      <c r="G55" s="991">
        <f t="shared" si="35"/>
        <v>161</v>
      </c>
      <c r="H55" s="1121" t="s">
        <v>707</v>
      </c>
      <c r="I55" s="1773"/>
      <c r="J55" s="993">
        <f t="shared" si="22"/>
        <v>9.3166666666666664</v>
      </c>
      <c r="K55" s="994">
        <f t="shared" si="23"/>
        <v>0.77638888888888891</v>
      </c>
      <c r="L55" s="1793">
        <f>SUM(J55:J56)/24</f>
        <v>0.38819444444444445</v>
      </c>
      <c r="O55" s="62">
        <v>46315</v>
      </c>
      <c r="P55" s="66">
        <f>SUM(G106:G107)</f>
        <v>260.00000000000006</v>
      </c>
      <c r="Q55" s="66">
        <f t="shared" si="32"/>
        <v>19.666666666666668</v>
      </c>
      <c r="R55" s="63">
        <f t="shared" si="33"/>
        <v>0.81944444444444453</v>
      </c>
      <c r="S55" s="66">
        <f t="shared" si="34"/>
        <v>4.3333333333333339</v>
      </c>
      <c r="T55" s="6"/>
    </row>
    <row r="56" spans="1:20" ht="28.8" x14ac:dyDescent="0.3">
      <c r="A56" s="1762">
        <v>46290</v>
      </c>
      <c r="B56" s="1763"/>
      <c r="C56" s="966" t="s">
        <v>13</v>
      </c>
      <c r="D56" s="1128" t="s">
        <v>739</v>
      </c>
      <c r="E56" s="990">
        <v>6.9444444444444447E-4</v>
      </c>
      <c r="F56" s="990">
        <v>0.50069444444444444</v>
      </c>
      <c r="G56" s="991">
        <f t="shared" si="35"/>
        <v>720</v>
      </c>
      <c r="H56" s="1129" t="s">
        <v>740</v>
      </c>
      <c r="I56" s="1773"/>
      <c r="J56" s="993">
        <f t="shared" si="22"/>
        <v>0</v>
      </c>
      <c r="K56" s="994">
        <f t="shared" si="23"/>
        <v>0</v>
      </c>
      <c r="L56" s="1793"/>
      <c r="O56" s="62">
        <v>46316</v>
      </c>
      <c r="P56" s="66">
        <f>SUM(G108:G109)</f>
        <v>300</v>
      </c>
      <c r="Q56" s="66">
        <f t="shared" si="29"/>
        <v>19</v>
      </c>
      <c r="R56" s="63">
        <f t="shared" si="30"/>
        <v>0.79166666666666663</v>
      </c>
      <c r="S56" s="66">
        <f>P56/60</f>
        <v>5</v>
      </c>
      <c r="T56" s="6"/>
    </row>
    <row r="57" spans="1:20" ht="30" customHeight="1" x14ac:dyDescent="0.3">
      <c r="A57" s="1762">
        <v>46291</v>
      </c>
      <c r="B57" s="1763"/>
      <c r="C57" s="966" t="s">
        <v>12</v>
      </c>
      <c r="D57" s="1156" t="s">
        <v>540</v>
      </c>
      <c r="E57" s="990">
        <v>6.9444444444444447E-4</v>
      </c>
      <c r="F57" s="990">
        <v>0.50069444444444444</v>
      </c>
      <c r="G57" s="991">
        <f t="shared" si="35"/>
        <v>720</v>
      </c>
      <c r="H57" s="1158" t="s">
        <v>748</v>
      </c>
      <c r="I57" s="1773"/>
      <c r="J57" s="993">
        <f t="shared" si="22"/>
        <v>0</v>
      </c>
      <c r="K57" s="994">
        <f t="shared" si="23"/>
        <v>0</v>
      </c>
      <c r="L57" s="1793">
        <f>SUM(J57:J58)/24</f>
        <v>0</v>
      </c>
      <c r="O57" s="62">
        <v>46317</v>
      </c>
      <c r="P57" s="66">
        <f>SUM(G110:G111)</f>
        <v>80.000000000000028</v>
      </c>
      <c r="Q57" s="66">
        <f t="shared" si="29"/>
        <v>22.666666666666668</v>
      </c>
      <c r="R57" s="63">
        <f t="shared" si="30"/>
        <v>0.94444444444444453</v>
      </c>
      <c r="S57" s="66">
        <f>P57/60</f>
        <v>1.3333333333333337</v>
      </c>
      <c r="T57" s="6"/>
    </row>
    <row r="58" spans="1:20" ht="28.8" customHeight="1" x14ac:dyDescent="0.3">
      <c r="A58" s="1762">
        <v>46291</v>
      </c>
      <c r="B58" s="1763"/>
      <c r="C58" s="966" t="s">
        <v>13</v>
      </c>
      <c r="D58" s="1156" t="s">
        <v>506</v>
      </c>
      <c r="E58" s="990">
        <v>6.9444444444444447E-4</v>
      </c>
      <c r="F58" s="990">
        <v>0.50069444444444444</v>
      </c>
      <c r="G58" s="991">
        <f t="shared" ref="G58:G69" si="36">(F58-E58)*1440</f>
        <v>720</v>
      </c>
      <c r="H58" s="1157" t="s">
        <v>749</v>
      </c>
      <c r="I58" s="1774"/>
      <c r="J58" s="993">
        <f t="shared" si="22"/>
        <v>0</v>
      </c>
      <c r="K58" s="994">
        <f t="shared" si="23"/>
        <v>0</v>
      </c>
      <c r="L58" s="1793"/>
      <c r="O58" s="62">
        <v>46318</v>
      </c>
      <c r="P58" s="66">
        <f>SUM(G113:G114)</f>
        <v>629</v>
      </c>
      <c r="Q58" s="66">
        <f>(1440-P58)/60</f>
        <v>13.516666666666667</v>
      </c>
      <c r="R58" s="63">
        <f t="shared" si="30"/>
        <v>0.56319444444444444</v>
      </c>
      <c r="S58" s="66">
        <f>P58/60</f>
        <v>10.483333333333333</v>
      </c>
      <c r="T58" s="6"/>
    </row>
    <row r="59" spans="1:20" ht="28.8" x14ac:dyDescent="0.3">
      <c r="A59" s="1748">
        <v>46292</v>
      </c>
      <c r="B59" s="1749"/>
      <c r="C59" s="907" t="s">
        <v>12</v>
      </c>
      <c r="D59" s="1159" t="s">
        <v>540</v>
      </c>
      <c r="E59" s="937">
        <v>6.9444444444444447E-4</v>
      </c>
      <c r="F59" s="937">
        <v>0.1673611111111111</v>
      </c>
      <c r="G59" s="938">
        <f t="shared" si="36"/>
        <v>240</v>
      </c>
      <c r="H59" s="1160" t="s">
        <v>748</v>
      </c>
      <c r="I59" s="1769">
        <v>12</v>
      </c>
      <c r="J59" s="939">
        <f t="shared" si="22"/>
        <v>8</v>
      </c>
      <c r="K59" s="940">
        <f t="shared" si="23"/>
        <v>0.66666666666666663</v>
      </c>
      <c r="L59" s="1791">
        <f>SUM(J59:J60)/24</f>
        <v>0.79166666666666663</v>
      </c>
      <c r="O59" s="62">
        <v>46319</v>
      </c>
      <c r="P59" s="66">
        <f>SUM(G115:G116)</f>
        <v>0</v>
      </c>
      <c r="Q59" s="66">
        <f t="shared" si="29"/>
        <v>24</v>
      </c>
      <c r="R59" s="63">
        <f t="shared" si="30"/>
        <v>1</v>
      </c>
      <c r="S59" s="66">
        <f>P59/60</f>
        <v>0</v>
      </c>
      <c r="T59" s="6"/>
    </row>
    <row r="60" spans="1:20" x14ac:dyDescent="0.3">
      <c r="A60" s="1748">
        <v>46292</v>
      </c>
      <c r="B60" s="1749"/>
      <c r="C60" s="907" t="s">
        <v>13</v>
      </c>
      <c r="D60" s="1159" t="s">
        <v>506</v>
      </c>
      <c r="E60" s="937">
        <v>6.9444444444444447E-4</v>
      </c>
      <c r="F60" s="937">
        <v>4.2361111111111113E-2</v>
      </c>
      <c r="G60" s="938">
        <f t="shared" ref="G60" si="37">(F60-E60)*1440</f>
        <v>60.000000000000007</v>
      </c>
      <c r="H60" s="1161" t="s">
        <v>750</v>
      </c>
      <c r="I60" s="1770"/>
      <c r="J60" s="939">
        <f t="shared" si="22"/>
        <v>11</v>
      </c>
      <c r="K60" s="940">
        <f t="shared" si="23"/>
        <v>0.91666666666666663</v>
      </c>
      <c r="L60" s="1791"/>
      <c r="O60" s="62">
        <v>46320</v>
      </c>
      <c r="P60" s="66">
        <f>SUM(G117:G118)</f>
        <v>270</v>
      </c>
      <c r="Q60" s="66">
        <f t="shared" ref="Q60" si="38">(1440-P60)/60</f>
        <v>19.5</v>
      </c>
      <c r="R60" s="63">
        <f t="shared" ref="R60" si="39">Q60/24</f>
        <v>0.8125</v>
      </c>
      <c r="S60" s="66">
        <f>P60/60</f>
        <v>4.5</v>
      </c>
      <c r="T60" s="6"/>
    </row>
    <row r="61" spans="1:20" x14ac:dyDescent="0.3">
      <c r="A61" s="1748">
        <v>46293</v>
      </c>
      <c r="B61" s="1749"/>
      <c r="C61" s="907" t="s">
        <v>12</v>
      </c>
      <c r="D61" s="1164" t="s">
        <v>739</v>
      </c>
      <c r="E61" s="937">
        <v>6.9444444444444447E-4</v>
      </c>
      <c r="F61" s="937">
        <v>6.9444444444444447E-4</v>
      </c>
      <c r="G61" s="938">
        <f t="shared" si="36"/>
        <v>0</v>
      </c>
      <c r="H61" s="1165" t="s">
        <v>756</v>
      </c>
      <c r="I61" s="1770"/>
      <c r="J61" s="939">
        <f t="shared" si="22"/>
        <v>12</v>
      </c>
      <c r="K61" s="940">
        <f t="shared" si="23"/>
        <v>1</v>
      </c>
      <c r="L61" s="1791">
        <f>SUM(J61:J62)/24</f>
        <v>1</v>
      </c>
      <c r="M61" s="43"/>
      <c r="O61" s="62">
        <v>46321</v>
      </c>
      <c r="P61" s="66">
        <f>SUM(G119:G120)</f>
        <v>720</v>
      </c>
      <c r="Q61" s="66">
        <f t="shared" si="29"/>
        <v>12</v>
      </c>
      <c r="R61" s="63">
        <f t="shared" si="30"/>
        <v>0.5</v>
      </c>
      <c r="S61" s="66">
        <f t="shared" ref="S61:S64" si="40">P61/60</f>
        <v>12</v>
      </c>
      <c r="T61" s="6"/>
    </row>
    <row r="62" spans="1:20" ht="28.8" x14ac:dyDescent="0.3">
      <c r="A62" s="1748">
        <v>46293</v>
      </c>
      <c r="B62" s="1749"/>
      <c r="C62" s="907" t="s">
        <v>13</v>
      </c>
      <c r="D62" s="1164" t="s">
        <v>506</v>
      </c>
      <c r="E62" s="937">
        <v>6.9444444444444447E-4</v>
      </c>
      <c r="F62" s="937">
        <v>6.9444444444444447E-4</v>
      </c>
      <c r="G62" s="938">
        <f t="shared" si="36"/>
        <v>0</v>
      </c>
      <c r="H62" s="1166" t="s">
        <v>755</v>
      </c>
      <c r="I62" s="1770"/>
      <c r="J62" s="939">
        <f t="shared" si="22"/>
        <v>12</v>
      </c>
      <c r="K62" s="940">
        <f t="shared" si="23"/>
        <v>1</v>
      </c>
      <c r="L62" s="1791"/>
      <c r="N62" s="10"/>
      <c r="O62" s="62">
        <v>46322</v>
      </c>
      <c r="P62" s="66">
        <f>SUM(G121:G122)</f>
        <v>0</v>
      </c>
      <c r="Q62" s="66">
        <f t="shared" ref="Q62:Q65" si="41">(1440-P62)/60</f>
        <v>24</v>
      </c>
      <c r="R62" s="63">
        <f t="shared" ref="R62:R65" si="42">Q62/24</f>
        <v>1</v>
      </c>
      <c r="S62" s="66">
        <f t="shared" si="40"/>
        <v>0</v>
      </c>
      <c r="T62" s="6"/>
    </row>
    <row r="63" spans="1:20" x14ac:dyDescent="0.3">
      <c r="A63" s="1748">
        <v>46294</v>
      </c>
      <c r="B63" s="1749"/>
      <c r="C63" s="907" t="s">
        <v>12</v>
      </c>
      <c r="D63" s="1167" t="s">
        <v>540</v>
      </c>
      <c r="E63" s="937">
        <v>6.9444444444444447E-4</v>
      </c>
      <c r="F63" s="937">
        <v>1.4583333333333334E-2</v>
      </c>
      <c r="G63" s="938">
        <f t="shared" si="36"/>
        <v>20</v>
      </c>
      <c r="H63" s="1168" t="s">
        <v>757</v>
      </c>
      <c r="I63" s="1771"/>
      <c r="J63" s="939">
        <f t="shared" si="22"/>
        <v>11.666666666666666</v>
      </c>
      <c r="K63" s="940">
        <f t="shared" si="23"/>
        <v>0.97222222222222221</v>
      </c>
      <c r="L63" s="452"/>
      <c r="O63" s="62">
        <v>46323</v>
      </c>
      <c r="P63" s="66">
        <f>SUM(G123:G124)</f>
        <v>90</v>
      </c>
      <c r="Q63" s="66">
        <f t="shared" si="41"/>
        <v>22.5</v>
      </c>
      <c r="R63" s="63">
        <f t="shared" si="42"/>
        <v>0.9375</v>
      </c>
      <c r="S63" s="66">
        <f t="shared" si="40"/>
        <v>1.5</v>
      </c>
      <c r="T63" s="6"/>
    </row>
    <row r="64" spans="1:20" x14ac:dyDescent="0.3">
      <c r="A64" s="1758">
        <v>46294</v>
      </c>
      <c r="B64" s="1553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6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  <c r="O64" s="62">
        <v>46324</v>
      </c>
      <c r="P64" s="66">
        <f>SUM(G125:G126)</f>
        <v>405</v>
      </c>
      <c r="Q64" s="66">
        <f t="shared" si="41"/>
        <v>17.25</v>
      </c>
      <c r="R64" s="63">
        <f t="shared" si="42"/>
        <v>0.71875</v>
      </c>
      <c r="S64" s="66">
        <f t="shared" si="40"/>
        <v>6.75</v>
      </c>
      <c r="T64" s="6"/>
    </row>
    <row r="65" spans="1:20" x14ac:dyDescent="0.3">
      <c r="A65" s="1758">
        <v>46295</v>
      </c>
      <c r="B65" s="1553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6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O65" s="62">
        <v>46325</v>
      </c>
      <c r="P65" s="66">
        <f>SUM(G127:G128)</f>
        <v>0</v>
      </c>
      <c r="Q65" s="66">
        <f t="shared" si="41"/>
        <v>24</v>
      </c>
      <c r="R65" s="63">
        <f t="shared" si="42"/>
        <v>1</v>
      </c>
      <c r="S65" s="66">
        <f t="shared" ref="S65:S74" si="43">P65/60</f>
        <v>0</v>
      </c>
      <c r="T65" s="6"/>
    </row>
    <row r="66" spans="1:20" x14ac:dyDescent="0.3">
      <c r="A66" s="1758">
        <v>46295</v>
      </c>
      <c r="B66" s="1553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6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O66" s="62"/>
      <c r="P66" s="66"/>
      <c r="Q66" s="66"/>
      <c r="R66" s="63"/>
      <c r="S66" s="66">
        <f t="shared" si="43"/>
        <v>0</v>
      </c>
      <c r="T66" s="6"/>
    </row>
    <row r="67" spans="1:20" x14ac:dyDescent="0.3">
      <c r="A67" s="1748">
        <v>46296</v>
      </c>
      <c r="B67" s="1749"/>
      <c r="C67" s="907" t="s">
        <v>12</v>
      </c>
      <c r="D67" s="1198"/>
      <c r="E67" s="937">
        <v>6.9444444444444447E-4</v>
      </c>
      <c r="F67" s="937">
        <v>0.50069444444444444</v>
      </c>
      <c r="G67" s="938">
        <f t="shared" si="36"/>
        <v>720</v>
      </c>
      <c r="H67" s="1271" t="s">
        <v>807</v>
      </c>
      <c r="I67" s="106"/>
      <c r="J67" s="939">
        <f t="shared" si="22"/>
        <v>0</v>
      </c>
      <c r="K67" s="940">
        <f t="shared" si="23"/>
        <v>0</v>
      </c>
      <c r="L67" s="1754">
        <f>SUM(J67:J68)/24</f>
        <v>0</v>
      </c>
      <c r="M67" s="29"/>
      <c r="O67" s="62"/>
      <c r="P67" s="66"/>
      <c r="Q67" s="66"/>
      <c r="R67" s="63"/>
      <c r="S67" s="66">
        <f t="shared" si="43"/>
        <v>0</v>
      </c>
      <c r="T67" s="6"/>
    </row>
    <row r="68" spans="1:20" x14ac:dyDescent="0.3">
      <c r="A68" s="1748">
        <v>46296</v>
      </c>
      <c r="B68" s="1749"/>
      <c r="C68" s="907" t="s">
        <v>13</v>
      </c>
      <c r="D68" s="1198"/>
      <c r="E68" s="937">
        <v>6.9444444444444447E-4</v>
      </c>
      <c r="F68" s="937">
        <v>0.50069444444444444</v>
      </c>
      <c r="G68" s="938">
        <f t="shared" si="36"/>
        <v>720</v>
      </c>
      <c r="H68" s="1271" t="s">
        <v>807</v>
      </c>
      <c r="I68" s="106"/>
      <c r="J68" s="939">
        <f t="shared" si="22"/>
        <v>0</v>
      </c>
      <c r="K68" s="940">
        <f t="shared" si="23"/>
        <v>0</v>
      </c>
      <c r="L68" s="1755"/>
      <c r="O68" s="62"/>
      <c r="P68" s="66"/>
      <c r="Q68" s="66"/>
      <c r="R68" s="63"/>
      <c r="S68" s="66">
        <f t="shared" si="43"/>
        <v>0</v>
      </c>
      <c r="T68" s="6"/>
    </row>
    <row r="69" spans="1:20" x14ac:dyDescent="0.3">
      <c r="A69" s="1748">
        <v>46297</v>
      </c>
      <c r="B69" s="1749"/>
      <c r="C69" s="907" t="s">
        <v>12</v>
      </c>
      <c r="D69" s="1198"/>
      <c r="E69" s="937">
        <v>6.9444444444444447E-4</v>
      </c>
      <c r="F69" s="937">
        <v>0.50069444444444444</v>
      </c>
      <c r="G69" s="938">
        <f t="shared" si="36"/>
        <v>720</v>
      </c>
      <c r="H69" s="1271" t="s">
        <v>808</v>
      </c>
      <c r="I69" s="106"/>
      <c r="J69" s="939">
        <f t="shared" si="22"/>
        <v>0</v>
      </c>
      <c r="K69" s="940">
        <f t="shared" si="23"/>
        <v>0</v>
      </c>
      <c r="L69" s="1754">
        <f t="shared" ref="L69" si="44">SUM(J69:J70)/24</f>
        <v>0</v>
      </c>
      <c r="O69" s="62"/>
      <c r="P69" s="66"/>
      <c r="Q69" s="66"/>
      <c r="R69" s="63"/>
      <c r="S69" s="66">
        <f t="shared" si="43"/>
        <v>0</v>
      </c>
      <c r="T69" s="6"/>
    </row>
    <row r="70" spans="1:20" x14ac:dyDescent="0.3">
      <c r="A70" s="1748">
        <v>46297</v>
      </c>
      <c r="B70" s="1749"/>
      <c r="C70" s="907" t="s">
        <v>13</v>
      </c>
      <c r="D70" s="1198"/>
      <c r="E70" s="937">
        <v>6.9444444444444447E-4</v>
      </c>
      <c r="F70" s="937">
        <v>0.50069444444444444</v>
      </c>
      <c r="G70" s="938">
        <f t="shared" ref="G70:G76" si="45">(F70-E70)*1440</f>
        <v>720</v>
      </c>
      <c r="H70" s="1271" t="s">
        <v>809</v>
      </c>
      <c r="I70" s="106"/>
      <c r="J70" s="939">
        <f t="shared" ref="J70:J76" si="46">(720-G70)/60</f>
        <v>0</v>
      </c>
      <c r="K70" s="940">
        <f t="shared" ref="K70:K76" si="47">J70/12</f>
        <v>0</v>
      </c>
      <c r="L70" s="1755"/>
      <c r="O70" s="62"/>
      <c r="P70" s="66"/>
      <c r="Q70" s="66"/>
      <c r="R70" s="63"/>
      <c r="S70" s="66">
        <f t="shared" si="43"/>
        <v>0</v>
      </c>
      <c r="T70" s="6"/>
    </row>
    <row r="71" spans="1:20" x14ac:dyDescent="0.3">
      <c r="A71" s="1748">
        <v>46298</v>
      </c>
      <c r="B71" s="1749"/>
      <c r="C71" s="907" t="s">
        <v>12</v>
      </c>
      <c r="D71" s="1198"/>
      <c r="E71" s="937">
        <v>6.9444444444444447E-4</v>
      </c>
      <c r="F71" s="937">
        <v>0.50069444444444444</v>
      </c>
      <c r="G71" s="938">
        <f t="shared" si="45"/>
        <v>720</v>
      </c>
      <c r="H71" s="1271" t="s">
        <v>809</v>
      </c>
      <c r="I71" s="106"/>
      <c r="J71" s="939">
        <f t="shared" si="46"/>
        <v>0</v>
      </c>
      <c r="K71" s="940">
        <f t="shared" si="47"/>
        <v>0</v>
      </c>
      <c r="L71" s="1754">
        <f t="shared" ref="L71:L73" si="48">SUM(J71:J72)/24</f>
        <v>0</v>
      </c>
      <c r="O71" s="6"/>
      <c r="P71" s="66"/>
      <c r="Q71" s="66"/>
      <c r="R71" s="63"/>
      <c r="S71" s="66">
        <f t="shared" si="43"/>
        <v>0</v>
      </c>
      <c r="T71" s="6"/>
    </row>
    <row r="72" spans="1:20" x14ac:dyDescent="0.3">
      <c r="A72" s="1748">
        <v>46298</v>
      </c>
      <c r="B72" s="1749"/>
      <c r="C72" s="907" t="s">
        <v>13</v>
      </c>
      <c r="D72" s="1198"/>
      <c r="E72" s="937">
        <v>6.9444444444444447E-4</v>
      </c>
      <c r="F72" s="937">
        <v>0.50069444444444444</v>
      </c>
      <c r="G72" s="938">
        <f t="shared" si="45"/>
        <v>720</v>
      </c>
      <c r="H72" s="1271" t="s">
        <v>809</v>
      </c>
      <c r="I72" s="106"/>
      <c r="J72" s="939">
        <f t="shared" si="46"/>
        <v>0</v>
      </c>
      <c r="K72" s="940">
        <f t="shared" si="47"/>
        <v>0</v>
      </c>
      <c r="L72" s="1755"/>
      <c r="O72" s="6"/>
      <c r="P72" s="66"/>
      <c r="Q72" s="66"/>
      <c r="R72" s="63"/>
      <c r="S72" s="66">
        <f t="shared" si="43"/>
        <v>0</v>
      </c>
      <c r="T72" s="6"/>
    </row>
    <row r="73" spans="1:20" x14ac:dyDescent="0.3">
      <c r="A73" s="1762">
        <v>46299</v>
      </c>
      <c r="B73" s="1763"/>
      <c r="C73" s="966" t="s">
        <v>12</v>
      </c>
      <c r="D73" s="1184"/>
      <c r="E73" s="990">
        <v>6.9444444444444447E-4</v>
      </c>
      <c r="F73" s="990">
        <v>6.9444444444444447E-4</v>
      </c>
      <c r="G73" s="991">
        <f t="shared" si="45"/>
        <v>0</v>
      </c>
      <c r="H73" s="1273" t="s">
        <v>811</v>
      </c>
      <c r="I73" s="122"/>
      <c r="J73" s="993">
        <f t="shared" si="46"/>
        <v>12</v>
      </c>
      <c r="K73" s="994">
        <f t="shared" si="47"/>
        <v>1</v>
      </c>
      <c r="L73" s="1775">
        <f t="shared" si="48"/>
        <v>0.99305555555555569</v>
      </c>
      <c r="O73" s="6"/>
      <c r="P73" s="66"/>
      <c r="Q73" s="66"/>
      <c r="R73" s="63"/>
      <c r="S73" s="66">
        <f t="shared" si="43"/>
        <v>0</v>
      </c>
      <c r="T73" s="6"/>
    </row>
    <row r="74" spans="1:20" x14ac:dyDescent="0.3">
      <c r="A74" s="1762">
        <v>46299</v>
      </c>
      <c r="B74" s="1763"/>
      <c r="C74" s="966" t="s">
        <v>13</v>
      </c>
      <c r="D74" s="1184"/>
      <c r="E74" s="990">
        <v>6.9444444444444447E-4</v>
      </c>
      <c r="F74" s="990">
        <v>7.6388888888888886E-3</v>
      </c>
      <c r="G74" s="991">
        <f t="shared" si="45"/>
        <v>10</v>
      </c>
      <c r="H74" s="1185" t="s">
        <v>768</v>
      </c>
      <c r="I74" s="1772">
        <v>13</v>
      </c>
      <c r="J74" s="993">
        <f t="shared" si="46"/>
        <v>11.833333333333334</v>
      </c>
      <c r="K74" s="994">
        <f t="shared" si="47"/>
        <v>0.98611111111111116</v>
      </c>
      <c r="L74" s="1776"/>
      <c r="O74" s="6"/>
      <c r="P74" s="66"/>
      <c r="Q74" s="66"/>
      <c r="R74" s="63"/>
      <c r="S74" s="66">
        <f t="shared" si="43"/>
        <v>0</v>
      </c>
      <c r="T74" s="6"/>
    </row>
    <row r="75" spans="1:20" x14ac:dyDescent="0.3">
      <c r="A75" s="1762">
        <v>46300</v>
      </c>
      <c r="B75" s="1763"/>
      <c r="C75" s="966" t="s">
        <v>12</v>
      </c>
      <c r="D75" s="1184"/>
      <c r="E75" s="990">
        <v>6.9444444444444447E-4</v>
      </c>
      <c r="F75" s="990">
        <v>6.9444444444444447E-4</v>
      </c>
      <c r="G75" s="991">
        <f t="shared" si="45"/>
        <v>0</v>
      </c>
      <c r="H75" s="1273" t="s">
        <v>810</v>
      </c>
      <c r="I75" s="1773"/>
      <c r="J75" s="993">
        <f t="shared" si="46"/>
        <v>12</v>
      </c>
      <c r="K75" s="994">
        <f t="shared" si="47"/>
        <v>1</v>
      </c>
      <c r="L75" s="1775">
        <f>SUM(J75:J76)/24</f>
        <v>0.5</v>
      </c>
      <c r="O75" s="6"/>
      <c r="P75" s="6"/>
      <c r="Q75" s="6"/>
      <c r="R75" s="6"/>
      <c r="S75" s="6"/>
      <c r="T75" s="6"/>
    </row>
    <row r="76" spans="1:20" x14ac:dyDescent="0.3">
      <c r="A76" s="1762">
        <v>46300</v>
      </c>
      <c r="B76" s="1763"/>
      <c r="C76" s="966" t="s">
        <v>13</v>
      </c>
      <c r="D76" s="1184"/>
      <c r="E76" s="990">
        <v>6.9444444444444447E-4</v>
      </c>
      <c r="F76" s="990">
        <v>0.50069444444444444</v>
      </c>
      <c r="G76" s="991">
        <f t="shared" si="45"/>
        <v>720</v>
      </c>
      <c r="H76" s="1192" t="s">
        <v>776</v>
      </c>
      <c r="I76" s="1773"/>
      <c r="J76" s="993">
        <f t="shared" si="46"/>
        <v>0</v>
      </c>
      <c r="K76" s="994">
        <f t="shared" si="47"/>
        <v>0</v>
      </c>
      <c r="L76" s="1776"/>
      <c r="O76" s="6"/>
      <c r="P76" s="6"/>
      <c r="Q76" s="6"/>
      <c r="R76" s="6"/>
      <c r="S76" s="6"/>
      <c r="T76" s="6"/>
    </row>
    <row r="77" spans="1:20" x14ac:dyDescent="0.3">
      <c r="A77" s="1762">
        <v>46301</v>
      </c>
      <c r="B77" s="1763"/>
      <c r="C77" s="966" t="s">
        <v>12</v>
      </c>
      <c r="D77" s="1184"/>
      <c r="E77" s="990">
        <v>6.9444444444444447E-4</v>
      </c>
      <c r="F77" s="990">
        <v>0.50069444444444444</v>
      </c>
      <c r="G77" s="991">
        <f t="shared" ref="G77:G142" si="49">(F77-E77)*1440</f>
        <v>720</v>
      </c>
      <c r="H77" s="1197" t="s">
        <v>778</v>
      </c>
      <c r="I77" s="1774"/>
      <c r="J77" s="993">
        <f t="shared" ref="J77:J142" si="50">(720-G77)/60</f>
        <v>0</v>
      </c>
      <c r="K77" s="994">
        <f t="shared" ref="K77:K142" si="51">J77/12</f>
        <v>0</v>
      </c>
      <c r="L77" s="1775">
        <f>SUM(J77:J78)/24</f>
        <v>0.16666666666666666</v>
      </c>
      <c r="O77" s="6"/>
      <c r="P77" s="6"/>
      <c r="Q77" s="6"/>
      <c r="R77" s="6"/>
      <c r="S77" s="6"/>
      <c r="T77" s="6"/>
    </row>
    <row r="78" spans="1:20" x14ac:dyDescent="0.3">
      <c r="A78" s="1748">
        <v>46301</v>
      </c>
      <c r="B78" s="1749"/>
      <c r="C78" s="907" t="s">
        <v>13</v>
      </c>
      <c r="D78" s="1198"/>
      <c r="E78" s="937">
        <v>6.9444444444444447E-4</v>
      </c>
      <c r="F78" s="937">
        <v>0.33402777777777776</v>
      </c>
      <c r="G78" s="938">
        <f t="shared" si="49"/>
        <v>480</v>
      </c>
      <c r="H78" s="1199" t="s">
        <v>777</v>
      </c>
      <c r="I78" s="1769">
        <v>14</v>
      </c>
      <c r="J78" s="939">
        <f t="shared" si="50"/>
        <v>4</v>
      </c>
      <c r="K78" s="940">
        <f t="shared" si="51"/>
        <v>0.33333333333333331</v>
      </c>
      <c r="L78" s="1776"/>
      <c r="O78" s="6"/>
      <c r="P78" s="6"/>
      <c r="Q78" s="6"/>
      <c r="R78" s="6"/>
      <c r="S78" s="6"/>
      <c r="T78" s="6"/>
    </row>
    <row r="79" spans="1:20" ht="28.8" x14ac:dyDescent="0.3">
      <c r="A79" s="1748">
        <v>46302</v>
      </c>
      <c r="B79" s="1749"/>
      <c r="C79" s="907" t="s">
        <v>12</v>
      </c>
      <c r="D79" s="1209" t="s">
        <v>783</v>
      </c>
      <c r="E79" s="937">
        <v>6.9444444444444447E-4</v>
      </c>
      <c r="F79" s="937">
        <v>6.9444444444444447E-4</v>
      </c>
      <c r="G79" s="938">
        <f t="shared" si="49"/>
        <v>0</v>
      </c>
      <c r="H79" s="1208" t="s">
        <v>781</v>
      </c>
      <c r="I79" s="1770"/>
      <c r="J79" s="939">
        <f t="shared" si="50"/>
        <v>12</v>
      </c>
      <c r="K79" s="940">
        <f t="shared" si="51"/>
        <v>1</v>
      </c>
      <c r="L79" s="1754">
        <f>SUM(J79:J80)/24</f>
        <v>0.98611111111111105</v>
      </c>
      <c r="O79" s="6"/>
      <c r="P79" s="6"/>
      <c r="Q79" s="6"/>
      <c r="R79" s="6"/>
      <c r="S79" s="6"/>
      <c r="T79" s="6"/>
    </row>
    <row r="80" spans="1:20" x14ac:dyDescent="0.3">
      <c r="A80" s="1748">
        <v>46302</v>
      </c>
      <c r="B80" s="1749"/>
      <c r="C80" s="907" t="s">
        <v>13</v>
      </c>
      <c r="D80" s="1209" t="s">
        <v>784</v>
      </c>
      <c r="E80" s="937">
        <v>6.9444444444444447E-4</v>
      </c>
      <c r="F80" s="937">
        <v>1.4583333333333334E-2</v>
      </c>
      <c r="G80" s="938">
        <f t="shared" si="49"/>
        <v>20</v>
      </c>
      <c r="H80" s="1207" t="s">
        <v>782</v>
      </c>
      <c r="I80" s="1771"/>
      <c r="J80" s="939">
        <f t="shared" si="50"/>
        <v>11.666666666666666</v>
      </c>
      <c r="K80" s="940">
        <f t="shared" si="51"/>
        <v>0.97222222222222221</v>
      </c>
      <c r="L80" s="1755"/>
      <c r="O80" s="6"/>
      <c r="P80" s="6"/>
      <c r="Q80" s="6"/>
      <c r="R80" s="6"/>
      <c r="S80" s="6"/>
      <c r="T80" s="6"/>
    </row>
    <row r="81" spans="1:20" x14ac:dyDescent="0.3">
      <c r="A81" s="1756">
        <v>46303</v>
      </c>
      <c r="B81" s="1757"/>
      <c r="C81" s="1214" t="s">
        <v>12</v>
      </c>
      <c r="D81" s="1220" t="s">
        <v>783</v>
      </c>
      <c r="E81" s="1215">
        <v>6.9444444444444447E-4</v>
      </c>
      <c r="F81" s="1215">
        <v>6.9444444444444447E-4</v>
      </c>
      <c r="G81" s="1216">
        <f>(F81-E81)*1440</f>
        <v>0</v>
      </c>
      <c r="H81" s="1221" t="s">
        <v>788</v>
      </c>
      <c r="I81" s="1759">
        <v>15</v>
      </c>
      <c r="J81" s="1218">
        <f t="shared" si="50"/>
        <v>12</v>
      </c>
      <c r="K81" s="1219">
        <f t="shared" si="51"/>
        <v>1</v>
      </c>
      <c r="L81" s="1754">
        <f>SUM(J81:J82)/24</f>
        <v>0.97916666666666663</v>
      </c>
      <c r="O81" s="6"/>
      <c r="P81" s="6"/>
      <c r="Q81" s="6"/>
      <c r="R81" s="6"/>
      <c r="S81" s="6"/>
      <c r="T81" s="6"/>
    </row>
    <row r="82" spans="1:20" x14ac:dyDescent="0.3">
      <c r="A82" s="1756">
        <v>46303</v>
      </c>
      <c r="B82" s="1757"/>
      <c r="C82" s="1214" t="s">
        <v>13</v>
      </c>
      <c r="D82" s="1220" t="s">
        <v>789</v>
      </c>
      <c r="E82" s="1215">
        <v>6.9444444444444447E-4</v>
      </c>
      <c r="F82" s="1215">
        <v>2.1527777777777778E-2</v>
      </c>
      <c r="G82" s="1216">
        <f>(F82-E82)*1440</f>
        <v>30</v>
      </c>
      <c r="H82" s="1221" t="s">
        <v>790</v>
      </c>
      <c r="I82" s="1760"/>
      <c r="J82" s="1218">
        <f t="shared" si="50"/>
        <v>11.5</v>
      </c>
      <c r="K82" s="1219">
        <f t="shared" si="51"/>
        <v>0.95833333333333337</v>
      </c>
      <c r="L82" s="1755"/>
      <c r="O82" s="6"/>
      <c r="P82" s="6"/>
      <c r="Q82" s="6"/>
      <c r="R82" s="6"/>
      <c r="S82" s="6"/>
      <c r="T82" s="6"/>
    </row>
    <row r="83" spans="1:20" x14ac:dyDescent="0.3">
      <c r="A83" s="1756">
        <v>46304</v>
      </c>
      <c r="B83" s="1757"/>
      <c r="C83" s="1214" t="s">
        <v>12</v>
      </c>
      <c r="D83" s="1220" t="s">
        <v>791</v>
      </c>
      <c r="E83" s="1215">
        <v>6.9444444444444447E-4</v>
      </c>
      <c r="F83" s="1222">
        <v>8.4027777777777785E-2</v>
      </c>
      <c r="G83" s="1216">
        <f t="shared" si="49"/>
        <v>120.00000000000001</v>
      </c>
      <c r="H83" s="1217"/>
      <c r="I83" s="1761"/>
      <c r="J83" s="1218">
        <f t="shared" si="50"/>
        <v>10</v>
      </c>
      <c r="K83" s="1219">
        <f t="shared" si="51"/>
        <v>0.83333333333333337</v>
      </c>
      <c r="L83" s="1754">
        <f>SUM(J83:J84)/24</f>
        <v>0.91666666666666663</v>
      </c>
      <c r="O83" s="6"/>
      <c r="P83" s="6"/>
      <c r="Q83" s="6"/>
      <c r="R83" s="6"/>
      <c r="S83" s="6"/>
      <c r="T83" s="6"/>
    </row>
    <row r="84" spans="1:20" x14ac:dyDescent="0.3">
      <c r="A84" s="1758">
        <v>46304</v>
      </c>
      <c r="B84" s="1553"/>
      <c r="C84" s="36" t="s">
        <v>13</v>
      </c>
      <c r="D84" s="65"/>
      <c r="E84" s="67"/>
      <c r="F84" s="67"/>
      <c r="G84" s="496">
        <f t="shared" si="49"/>
        <v>0</v>
      </c>
      <c r="H84" s="1261" t="s">
        <v>803</v>
      </c>
      <c r="I84" s="417"/>
      <c r="J84" s="418">
        <f t="shared" si="50"/>
        <v>12</v>
      </c>
      <c r="K84" s="811">
        <f t="shared" si="51"/>
        <v>1</v>
      </c>
      <c r="L84" s="1755"/>
      <c r="O84" s="6"/>
      <c r="P84" s="6"/>
      <c r="Q84" s="6"/>
      <c r="R84" s="6"/>
      <c r="S84" s="6"/>
      <c r="T84" s="6"/>
    </row>
    <row r="85" spans="1:20" ht="28.8" x14ac:dyDescent="0.3">
      <c r="A85" s="1758">
        <v>46305</v>
      </c>
      <c r="B85" s="1553"/>
      <c r="C85" s="36" t="s">
        <v>12</v>
      </c>
      <c r="D85" s="65"/>
      <c r="E85" s="67"/>
      <c r="F85" s="67"/>
      <c r="G85" s="496">
        <f t="shared" si="49"/>
        <v>0</v>
      </c>
      <c r="H85" s="1262" t="s">
        <v>804</v>
      </c>
      <c r="I85" s="417"/>
      <c r="J85" s="418">
        <f t="shared" si="50"/>
        <v>12</v>
      </c>
      <c r="K85" s="811">
        <f t="shared" si="51"/>
        <v>1</v>
      </c>
      <c r="L85" s="1754">
        <f>SUM(J85:J86)/24</f>
        <v>0.8965277777777777</v>
      </c>
      <c r="O85" s="6"/>
      <c r="P85" s="6"/>
      <c r="Q85" s="6"/>
      <c r="R85" s="6"/>
      <c r="S85" s="6"/>
      <c r="T85" s="6"/>
    </row>
    <row r="86" spans="1:20" ht="28.8" x14ac:dyDescent="0.3">
      <c r="A86" s="1748">
        <v>46305</v>
      </c>
      <c r="B86" s="1749"/>
      <c r="C86" s="907" t="s">
        <v>13</v>
      </c>
      <c r="D86" s="1263" t="s">
        <v>789</v>
      </c>
      <c r="E86" s="937">
        <v>0.50069444444444444</v>
      </c>
      <c r="F86" s="937">
        <v>0.60416666666666663</v>
      </c>
      <c r="G86" s="938">
        <f t="shared" si="49"/>
        <v>148.99999999999994</v>
      </c>
      <c r="H86" s="1275" t="s">
        <v>814</v>
      </c>
      <c r="I86" s="1769">
        <v>16</v>
      </c>
      <c r="J86" s="939">
        <f t="shared" si="50"/>
        <v>9.5166666666666675</v>
      </c>
      <c r="K86" s="940">
        <f t="shared" si="51"/>
        <v>0.79305555555555562</v>
      </c>
      <c r="L86" s="1755"/>
      <c r="O86" s="6"/>
      <c r="P86" s="6"/>
      <c r="Q86" s="6"/>
      <c r="R86" s="6"/>
      <c r="S86" s="6"/>
      <c r="T86" s="6"/>
    </row>
    <row r="87" spans="1:20" ht="28.8" x14ac:dyDescent="0.3">
      <c r="A87" s="1748">
        <v>46306</v>
      </c>
      <c r="B87" s="1749"/>
      <c r="C87" s="907" t="s">
        <v>12</v>
      </c>
      <c r="D87" s="1263" t="s">
        <v>783</v>
      </c>
      <c r="E87" s="937">
        <v>0.50069444444444444</v>
      </c>
      <c r="F87" s="937">
        <v>0.79166666666666663</v>
      </c>
      <c r="G87" s="938">
        <f t="shared" si="49"/>
        <v>418.99999999999994</v>
      </c>
      <c r="H87" s="1264" t="s">
        <v>795</v>
      </c>
      <c r="I87" s="1770"/>
      <c r="J87" s="939">
        <f t="shared" si="50"/>
        <v>5.0166666666666675</v>
      </c>
      <c r="K87" s="940">
        <f t="shared" si="51"/>
        <v>0.41805555555555562</v>
      </c>
      <c r="L87" s="1754">
        <f>SUM(J87:J88)/24</f>
        <v>0.7090277777777777</v>
      </c>
      <c r="O87" s="6"/>
      <c r="P87" s="6"/>
      <c r="Q87" s="6"/>
      <c r="R87" s="6"/>
      <c r="S87" s="6"/>
      <c r="T87" s="6"/>
    </row>
    <row r="88" spans="1:20" x14ac:dyDescent="0.3">
      <c r="A88" s="1748">
        <v>46306</v>
      </c>
      <c r="B88" s="1749"/>
      <c r="C88" s="907" t="s">
        <v>13</v>
      </c>
      <c r="D88" s="1198"/>
      <c r="E88" s="937">
        <v>6.9444444444444447E-4</v>
      </c>
      <c r="F88" s="937">
        <v>6.9444444444444447E-4</v>
      </c>
      <c r="G88" s="938">
        <f t="shared" si="49"/>
        <v>0</v>
      </c>
      <c r="H88" s="1271" t="s">
        <v>805</v>
      </c>
      <c r="I88" s="1771"/>
      <c r="J88" s="939">
        <f t="shared" si="50"/>
        <v>12</v>
      </c>
      <c r="K88" s="940">
        <f t="shared" si="51"/>
        <v>1</v>
      </c>
      <c r="L88" s="1755"/>
      <c r="O88" s="6"/>
      <c r="P88" s="6"/>
      <c r="Q88" s="6"/>
      <c r="R88" s="6"/>
      <c r="S88" s="6"/>
      <c r="T88" s="6"/>
    </row>
    <row r="89" spans="1:20" x14ac:dyDescent="0.3">
      <c r="A89" s="1746">
        <v>46307</v>
      </c>
      <c r="B89" s="1747"/>
      <c r="C89" s="1265" t="s">
        <v>12</v>
      </c>
      <c r="D89" s="1266"/>
      <c r="E89" s="1267">
        <v>6.9444444444444447E-4</v>
      </c>
      <c r="F89" s="1267">
        <v>6.9444444444444447E-4</v>
      </c>
      <c r="G89" s="1268">
        <f t="shared" si="49"/>
        <v>0</v>
      </c>
      <c r="H89" s="1269" t="s">
        <v>796</v>
      </c>
      <c r="I89" s="1777">
        <v>17</v>
      </c>
      <c r="J89" s="1251">
        <f t="shared" si="50"/>
        <v>12</v>
      </c>
      <c r="K89" s="1270">
        <f t="shared" si="51"/>
        <v>1</v>
      </c>
      <c r="L89" s="1764">
        <f>SUM(J89:J90)/24</f>
        <v>1</v>
      </c>
      <c r="O89" s="6"/>
      <c r="P89" s="6"/>
      <c r="Q89" s="6"/>
      <c r="R89" s="6"/>
      <c r="S89" s="6"/>
      <c r="T89" s="6"/>
    </row>
    <row r="90" spans="1:20" x14ac:dyDescent="0.3">
      <c r="A90" s="1746">
        <v>46307</v>
      </c>
      <c r="B90" s="1747"/>
      <c r="C90" s="1265" t="s">
        <v>13</v>
      </c>
      <c r="D90" s="1266"/>
      <c r="E90" s="1267">
        <v>6.9444444444444447E-4</v>
      </c>
      <c r="F90" s="1267">
        <v>6.9444444444444447E-4</v>
      </c>
      <c r="G90" s="1268">
        <f t="shared" si="49"/>
        <v>0</v>
      </c>
      <c r="H90" s="1269" t="s">
        <v>796</v>
      </c>
      <c r="I90" s="1778"/>
      <c r="J90" s="1251">
        <f t="shared" si="50"/>
        <v>12</v>
      </c>
      <c r="K90" s="1270">
        <f t="shared" si="51"/>
        <v>1</v>
      </c>
      <c r="L90" s="1765"/>
      <c r="O90" s="6"/>
      <c r="P90" s="6"/>
      <c r="Q90" s="6"/>
      <c r="R90" s="6"/>
      <c r="S90" s="6"/>
      <c r="T90" s="6"/>
    </row>
    <row r="91" spans="1:20" ht="28.2" customHeight="1" x14ac:dyDescent="0.3">
      <c r="A91" s="1746">
        <v>46308</v>
      </c>
      <c r="B91" s="1747"/>
      <c r="C91" s="1265" t="s">
        <v>12</v>
      </c>
      <c r="D91" s="1266"/>
      <c r="E91" s="1267">
        <v>6.9444444444444447E-4</v>
      </c>
      <c r="F91" s="1267">
        <v>0.26458333333333334</v>
      </c>
      <c r="G91" s="1268">
        <f t="shared" si="49"/>
        <v>380</v>
      </c>
      <c r="H91" s="1272" t="s">
        <v>806</v>
      </c>
      <c r="I91" s="1779"/>
      <c r="J91" s="1251">
        <f t="shared" si="50"/>
        <v>5.666666666666667</v>
      </c>
      <c r="K91" s="1270">
        <f t="shared" si="51"/>
        <v>0.47222222222222227</v>
      </c>
      <c r="L91" s="1744">
        <f>SUM(J91:J92)/24</f>
        <v>0.73611111111111116</v>
      </c>
      <c r="O91" s="62"/>
      <c r="P91" s="69">
        <f>SUM(P5:P58)</f>
        <v>25369</v>
      </c>
      <c r="Q91" s="69">
        <f>SUM(Q5:Q58)</f>
        <v>873.18333333333305</v>
      </c>
      <c r="R91" s="70">
        <f>Q91/(Q91+S91)</f>
        <v>0.67375257201646077</v>
      </c>
      <c r="S91" s="66">
        <f>SUM(S5:S58)</f>
        <v>422.81666666666672</v>
      </c>
      <c r="T91" s="6"/>
    </row>
    <row r="92" spans="1:20" x14ac:dyDescent="0.3">
      <c r="A92" s="1748">
        <v>46308</v>
      </c>
      <c r="B92" s="1749"/>
      <c r="C92" s="907" t="s">
        <v>13</v>
      </c>
      <c r="D92" s="1198"/>
      <c r="E92" s="937">
        <v>6.9444444444444447E-4</v>
      </c>
      <c r="F92" s="937">
        <v>6.9444444444444447E-4</v>
      </c>
      <c r="G92" s="938">
        <f t="shared" si="49"/>
        <v>0</v>
      </c>
      <c r="H92" s="1274" t="s">
        <v>815</v>
      </c>
      <c r="I92" s="1769">
        <v>18</v>
      </c>
      <c r="J92" s="939">
        <f t="shared" si="50"/>
        <v>12</v>
      </c>
      <c r="K92" s="940">
        <f t="shared" si="51"/>
        <v>1</v>
      </c>
      <c r="L92" s="1745"/>
      <c r="O92" s="62"/>
      <c r="P92" s="71">
        <f>P91/60</f>
        <v>422.81666666666666</v>
      </c>
      <c r="Q92" s="43">
        <f>Q91/24</f>
        <v>36.382638888888877</v>
      </c>
      <c r="R92" s="946">
        <f>Q92+S92</f>
        <v>53.999999999999986</v>
      </c>
      <c r="S92" s="43">
        <f>S91/24</f>
        <v>17.617361111111112</v>
      </c>
    </row>
    <row r="93" spans="1:20" s="951" customFormat="1" x14ac:dyDescent="0.3">
      <c r="A93" s="1748">
        <v>46309</v>
      </c>
      <c r="B93" s="1749"/>
      <c r="C93" s="907" t="s">
        <v>12</v>
      </c>
      <c r="D93" s="1198"/>
      <c r="E93" s="937">
        <v>4.2361111111111099E-2</v>
      </c>
      <c r="F93" s="937">
        <v>4.2361111111111113E-2</v>
      </c>
      <c r="G93" s="938">
        <f t="shared" si="49"/>
        <v>1.9984014443252818E-14</v>
      </c>
      <c r="H93" s="1276" t="s">
        <v>805</v>
      </c>
      <c r="I93" s="1770"/>
      <c r="J93" s="939">
        <f t="shared" si="50"/>
        <v>12</v>
      </c>
      <c r="K93" s="940">
        <f t="shared" si="51"/>
        <v>1</v>
      </c>
      <c r="L93" s="1744">
        <f>SUM(J93:J94)/24</f>
        <v>1</v>
      </c>
      <c r="O93" s="1"/>
      <c r="P93" s="1"/>
      <c r="Q93" s="10"/>
      <c r="R93" s="1"/>
      <c r="S93" s="1"/>
      <c r="T93" s="1"/>
    </row>
    <row r="94" spans="1:20" s="951" customFormat="1" ht="28.8" x14ac:dyDescent="0.3">
      <c r="A94" s="1748">
        <v>46309</v>
      </c>
      <c r="B94" s="1749"/>
      <c r="C94" s="907" t="s">
        <v>13</v>
      </c>
      <c r="D94" s="1198"/>
      <c r="E94" s="937">
        <v>4.2361111111111099E-2</v>
      </c>
      <c r="F94" s="937">
        <v>4.2361111111111113E-2</v>
      </c>
      <c r="G94" s="938">
        <f t="shared" si="49"/>
        <v>1.9984014443252818E-14</v>
      </c>
      <c r="H94" s="1277" t="s">
        <v>817</v>
      </c>
      <c r="I94" s="1771"/>
      <c r="J94" s="939">
        <f t="shared" si="50"/>
        <v>12</v>
      </c>
      <c r="K94" s="940">
        <f t="shared" si="51"/>
        <v>1</v>
      </c>
      <c r="L94" s="1745"/>
      <c r="O94" s="1"/>
      <c r="P94" s="10"/>
      <c r="Q94" s="1"/>
      <c r="R94" s="1"/>
      <c r="S94" s="1"/>
      <c r="T94" s="1"/>
    </row>
    <row r="95" spans="1:20" x14ac:dyDescent="0.3">
      <c r="A95" s="1746">
        <v>46310</v>
      </c>
      <c r="B95" s="1747"/>
      <c r="C95" s="1265" t="s">
        <v>12</v>
      </c>
      <c r="D95" s="1266"/>
      <c r="E95" s="1267">
        <v>6.9444444444444447E-4</v>
      </c>
      <c r="F95" s="1267">
        <v>6.9444444444444447E-4</v>
      </c>
      <c r="G95" s="1268">
        <f t="shared" si="49"/>
        <v>0</v>
      </c>
      <c r="H95" s="1280" t="s">
        <v>821</v>
      </c>
      <c r="I95" s="1777">
        <v>19</v>
      </c>
      <c r="J95" s="1251">
        <f t="shared" si="50"/>
        <v>12</v>
      </c>
      <c r="K95" s="1270">
        <f t="shared" si="51"/>
        <v>1</v>
      </c>
      <c r="L95" s="1742">
        <f>SUM(J95:J96)/24</f>
        <v>1</v>
      </c>
    </row>
    <row r="96" spans="1:20" ht="28.8" x14ac:dyDescent="0.3">
      <c r="A96" s="1746">
        <v>46310</v>
      </c>
      <c r="B96" s="1747"/>
      <c r="C96" s="1265" t="s">
        <v>13</v>
      </c>
      <c r="D96" s="1266"/>
      <c r="E96" s="1267">
        <v>4.2361111111111099E-2</v>
      </c>
      <c r="F96" s="1267">
        <v>4.2361111111111099E-2</v>
      </c>
      <c r="G96" s="1268">
        <f t="shared" si="49"/>
        <v>0</v>
      </c>
      <c r="H96" s="1281" t="s">
        <v>823</v>
      </c>
      <c r="I96" s="1778"/>
      <c r="J96" s="1251">
        <f t="shared" si="50"/>
        <v>12</v>
      </c>
      <c r="K96" s="1270">
        <f t="shared" si="51"/>
        <v>1</v>
      </c>
      <c r="L96" s="1743"/>
    </row>
    <row r="97" spans="1:20" x14ac:dyDescent="0.3">
      <c r="A97" s="1746">
        <v>46311</v>
      </c>
      <c r="B97" s="1747"/>
      <c r="C97" s="1265" t="s">
        <v>12</v>
      </c>
      <c r="D97" s="1266"/>
      <c r="E97" s="1267">
        <v>6.9444444444444447E-4</v>
      </c>
      <c r="F97" s="1267">
        <v>6.9444444444444447E-4</v>
      </c>
      <c r="G97" s="1268">
        <f t="shared" si="49"/>
        <v>0</v>
      </c>
      <c r="H97" s="1310" t="s">
        <v>811</v>
      </c>
      <c r="I97" s="1779"/>
      <c r="J97" s="1251">
        <f t="shared" si="50"/>
        <v>12</v>
      </c>
      <c r="K97" s="1270">
        <f t="shared" si="51"/>
        <v>1</v>
      </c>
      <c r="L97" s="1742">
        <f>SUM(J97:J98)/24</f>
        <v>1</v>
      </c>
      <c r="S97" s="136"/>
    </row>
    <row r="98" spans="1:20" s="951" customFormat="1" x14ac:dyDescent="0.3">
      <c r="A98" s="1748">
        <v>46311</v>
      </c>
      <c r="B98" s="1749"/>
      <c r="C98" s="907" t="s">
        <v>13</v>
      </c>
      <c r="D98" s="1198"/>
      <c r="E98" s="937">
        <v>4.2361111111111113E-2</v>
      </c>
      <c r="F98" s="937">
        <v>4.2361111111111113E-2</v>
      </c>
      <c r="G98" s="938">
        <f t="shared" si="49"/>
        <v>0</v>
      </c>
      <c r="H98" s="1311" t="s">
        <v>845</v>
      </c>
      <c r="I98" s="1769">
        <v>20</v>
      </c>
      <c r="J98" s="939">
        <f t="shared" si="50"/>
        <v>12</v>
      </c>
      <c r="K98" s="940">
        <f t="shared" si="51"/>
        <v>1</v>
      </c>
      <c r="L98" s="1743"/>
      <c r="O98" s="1"/>
      <c r="P98" s="1"/>
      <c r="Q98" s="1094"/>
      <c r="R98" s="1"/>
      <c r="S98" s="136"/>
      <c r="T98" s="1"/>
    </row>
    <row r="99" spans="1:20" x14ac:dyDescent="0.3">
      <c r="A99" s="1748">
        <v>46312</v>
      </c>
      <c r="B99" s="1749"/>
      <c r="C99" s="907" t="s">
        <v>12</v>
      </c>
      <c r="D99" s="1198"/>
      <c r="E99" s="937">
        <v>6.9444444444444447E-4</v>
      </c>
      <c r="F99" s="937">
        <v>6.9444444444444447E-4</v>
      </c>
      <c r="G99" s="938">
        <f t="shared" si="49"/>
        <v>0</v>
      </c>
      <c r="H99" s="1316" t="s">
        <v>847</v>
      </c>
      <c r="I99" s="1770"/>
      <c r="J99" s="939">
        <f t="shared" si="50"/>
        <v>12</v>
      </c>
      <c r="K99" s="940">
        <f t="shared" si="51"/>
        <v>1</v>
      </c>
      <c r="L99" s="1744">
        <f>SUM(J99:J100)/24</f>
        <v>1</v>
      </c>
    </row>
    <row r="100" spans="1:20" x14ac:dyDescent="0.3">
      <c r="A100" s="1748">
        <v>46312</v>
      </c>
      <c r="B100" s="1749"/>
      <c r="C100" s="907" t="s">
        <v>13</v>
      </c>
      <c r="D100" s="1198"/>
      <c r="E100" s="937">
        <v>6.9444444444444447E-4</v>
      </c>
      <c r="F100" s="937">
        <v>6.9444444444444447E-4</v>
      </c>
      <c r="G100" s="938">
        <f t="shared" si="49"/>
        <v>0</v>
      </c>
      <c r="H100" s="1338" t="s">
        <v>893</v>
      </c>
      <c r="I100" s="1771"/>
      <c r="J100" s="939">
        <f t="shared" si="50"/>
        <v>12</v>
      </c>
      <c r="K100" s="940">
        <f t="shared" si="51"/>
        <v>1</v>
      </c>
      <c r="L100" s="1745"/>
      <c r="S100" s="1056" t="s">
        <v>657</v>
      </c>
    </row>
    <row r="101" spans="1:20" s="1339" customFormat="1" x14ac:dyDescent="0.3">
      <c r="A101" s="1746">
        <v>46313</v>
      </c>
      <c r="B101" s="1747"/>
      <c r="C101" s="1265" t="s">
        <v>12</v>
      </c>
      <c r="D101" s="1266"/>
      <c r="E101" s="1267">
        <v>6.9444444444444447E-4</v>
      </c>
      <c r="F101" s="1267">
        <v>4.583333333333333E-2</v>
      </c>
      <c r="G101" s="1268">
        <f t="shared" si="49"/>
        <v>65</v>
      </c>
      <c r="H101" s="1340" t="s">
        <v>894</v>
      </c>
      <c r="I101" s="1766">
        <v>21</v>
      </c>
      <c r="J101" s="1251">
        <f t="shared" si="50"/>
        <v>10.916666666666666</v>
      </c>
      <c r="K101" s="1270">
        <f t="shared" si="51"/>
        <v>0.90972222222222221</v>
      </c>
      <c r="L101" s="1742">
        <f>SUM(J101:J102)/24</f>
        <v>0.67013888888888884</v>
      </c>
      <c r="O101" s="1"/>
      <c r="P101" s="1"/>
      <c r="Q101" s="1"/>
      <c r="R101" s="1"/>
      <c r="S101" s="1"/>
      <c r="T101" s="1"/>
    </row>
    <row r="102" spans="1:20" s="1339" customFormat="1" ht="28.8" x14ac:dyDescent="0.3">
      <c r="A102" s="1746">
        <v>46313</v>
      </c>
      <c r="B102" s="1747"/>
      <c r="C102" s="1265" t="s">
        <v>13</v>
      </c>
      <c r="D102" s="1266"/>
      <c r="E102" s="1267">
        <v>6.9444444444444447E-4</v>
      </c>
      <c r="F102" s="1267">
        <v>0.28541666666666665</v>
      </c>
      <c r="G102" s="1268">
        <f t="shared" si="49"/>
        <v>410</v>
      </c>
      <c r="H102" s="1343" t="s">
        <v>908</v>
      </c>
      <c r="I102" s="1752"/>
      <c r="J102" s="1251">
        <f t="shared" si="50"/>
        <v>5.166666666666667</v>
      </c>
      <c r="K102" s="1270">
        <f t="shared" si="51"/>
        <v>0.43055555555555558</v>
      </c>
      <c r="L102" s="1743"/>
      <c r="O102" s="1"/>
      <c r="P102" s="1"/>
      <c r="Q102" s="1"/>
      <c r="R102" s="1"/>
      <c r="S102" s="1"/>
      <c r="T102" s="1"/>
    </row>
    <row r="103" spans="1:20" x14ac:dyDescent="0.3">
      <c r="A103" s="1746">
        <v>46314</v>
      </c>
      <c r="B103" s="1747"/>
      <c r="C103" s="1265" t="s">
        <v>12</v>
      </c>
      <c r="D103" s="1266"/>
      <c r="E103" s="1267">
        <v>6.9444444444444447E-4</v>
      </c>
      <c r="F103" s="1267">
        <v>6.25E-2</v>
      </c>
      <c r="G103" s="1268">
        <f t="shared" si="49"/>
        <v>89</v>
      </c>
      <c r="H103" s="1346" t="s">
        <v>910</v>
      </c>
      <c r="I103" s="1752"/>
      <c r="J103" s="1251">
        <f t="shared" si="50"/>
        <v>10.516666666666667</v>
      </c>
      <c r="K103" s="1270">
        <f t="shared" si="51"/>
        <v>0.87638888888888899</v>
      </c>
      <c r="L103" s="1742">
        <f>SUM(J103:J104)/24</f>
        <v>0.93819444444444444</v>
      </c>
    </row>
    <row r="104" spans="1:20" s="1339" customFormat="1" x14ac:dyDescent="0.3">
      <c r="A104" s="1746">
        <v>46314</v>
      </c>
      <c r="B104" s="1747"/>
      <c r="C104" s="1265" t="s">
        <v>13</v>
      </c>
      <c r="D104" s="1266"/>
      <c r="E104" s="1267">
        <v>4.2361111111111113E-2</v>
      </c>
      <c r="F104" s="1267">
        <v>4.2361111111111113E-2</v>
      </c>
      <c r="G104" s="1268">
        <f t="shared" si="49"/>
        <v>0</v>
      </c>
      <c r="H104" s="1347" t="s">
        <v>932</v>
      </c>
      <c r="I104" s="1753"/>
      <c r="J104" s="1251">
        <f t="shared" si="50"/>
        <v>12</v>
      </c>
      <c r="K104" s="1270">
        <f t="shared" si="51"/>
        <v>1</v>
      </c>
      <c r="L104" s="1743"/>
      <c r="O104" s="1"/>
      <c r="P104" s="1"/>
      <c r="Q104" s="1"/>
      <c r="R104" s="1"/>
      <c r="S104" s="1"/>
      <c r="T104" s="1"/>
    </row>
    <row r="105" spans="1:20" s="951" customFormat="1" ht="31.2" customHeight="1" x14ac:dyDescent="0.3">
      <c r="A105" s="1767">
        <v>46314</v>
      </c>
      <c r="B105" s="1768"/>
      <c r="C105" s="907" t="s">
        <v>13</v>
      </c>
      <c r="D105" s="1198"/>
      <c r="E105" s="937">
        <v>4.2361111111111113E-2</v>
      </c>
      <c r="F105" s="937">
        <v>4.2361111111111113E-2</v>
      </c>
      <c r="G105" s="938">
        <f t="shared" si="49"/>
        <v>0</v>
      </c>
      <c r="H105" s="1348" t="s">
        <v>933</v>
      </c>
      <c r="I105" s="1750">
        <v>22</v>
      </c>
      <c r="J105" s="939">
        <f t="shared" si="50"/>
        <v>12</v>
      </c>
      <c r="K105" s="940">
        <f t="shared" si="51"/>
        <v>1</v>
      </c>
      <c r="L105" s="1744">
        <f>SUM(J105:J106)/24</f>
        <v>1</v>
      </c>
      <c r="O105" s="1"/>
      <c r="P105" s="1"/>
      <c r="Q105" s="1"/>
      <c r="R105" s="1"/>
      <c r="S105" s="1"/>
      <c r="T105" s="1"/>
    </row>
    <row r="106" spans="1:20" s="951" customFormat="1" ht="14.4" customHeight="1" x14ac:dyDescent="0.3">
      <c r="A106" s="1748">
        <v>46315</v>
      </c>
      <c r="B106" s="1749"/>
      <c r="C106" s="907" t="s">
        <v>12</v>
      </c>
      <c r="D106" s="1198"/>
      <c r="E106" s="937">
        <v>4.2361111111111113E-2</v>
      </c>
      <c r="F106" s="937">
        <v>4.2361111111111113E-2</v>
      </c>
      <c r="G106" s="938">
        <f t="shared" si="49"/>
        <v>0</v>
      </c>
      <c r="H106" s="1363"/>
      <c r="I106" s="1751"/>
      <c r="J106" s="939">
        <f t="shared" si="50"/>
        <v>12</v>
      </c>
      <c r="K106" s="940">
        <f t="shared" si="51"/>
        <v>1</v>
      </c>
      <c r="L106" s="1745"/>
      <c r="O106" s="1"/>
      <c r="P106" s="1"/>
      <c r="Q106" s="1"/>
      <c r="R106" s="1"/>
      <c r="S106" s="1"/>
      <c r="T106" s="1"/>
    </row>
    <row r="107" spans="1:20" s="951" customFormat="1" ht="14.4" customHeight="1" x14ac:dyDescent="0.3">
      <c r="A107" s="1748">
        <v>46315</v>
      </c>
      <c r="B107" s="1749"/>
      <c r="C107" s="907" t="s">
        <v>13</v>
      </c>
      <c r="D107" s="1198"/>
      <c r="E107" s="937">
        <v>0.1111111111111111</v>
      </c>
      <c r="F107" s="937">
        <v>0.29166666666666669</v>
      </c>
      <c r="G107" s="938">
        <f>(F107-E107)*1440</f>
        <v>260.00000000000006</v>
      </c>
      <c r="H107" s="1362" t="s">
        <v>939</v>
      </c>
      <c r="I107" s="1751"/>
      <c r="J107" s="939">
        <f t="shared" si="50"/>
        <v>7.6666666666666661</v>
      </c>
      <c r="K107" s="940">
        <f t="shared" si="51"/>
        <v>0.63888888888888884</v>
      </c>
      <c r="L107" s="1744">
        <f>SUM(J107:J108)/24</f>
        <v>0.81944444444444431</v>
      </c>
      <c r="O107" s="1"/>
      <c r="P107" s="1"/>
      <c r="Q107" s="1"/>
      <c r="R107" s="1"/>
      <c r="S107" s="1"/>
      <c r="T107" s="1"/>
    </row>
    <row r="108" spans="1:20" ht="14.4" customHeight="1" x14ac:dyDescent="0.3">
      <c r="A108" s="1746">
        <v>46316</v>
      </c>
      <c r="B108" s="1747"/>
      <c r="C108" s="1265" t="s">
        <v>12</v>
      </c>
      <c r="D108" s="1266"/>
      <c r="E108" s="1267">
        <v>6.9444444444444447E-4</v>
      </c>
      <c r="F108" s="1267">
        <v>6.9444444444444447E-4</v>
      </c>
      <c r="G108" s="1268">
        <f t="shared" si="49"/>
        <v>0</v>
      </c>
      <c r="H108" s="1374"/>
      <c r="I108" s="1752">
        <v>23</v>
      </c>
      <c r="J108" s="1251">
        <f t="shared" si="50"/>
        <v>12</v>
      </c>
      <c r="K108" s="1270">
        <f t="shared" si="51"/>
        <v>1</v>
      </c>
      <c r="L108" s="1745"/>
    </row>
    <row r="109" spans="1:20" ht="14.4" customHeight="1" x14ac:dyDescent="0.3">
      <c r="A109" s="1746">
        <v>46316</v>
      </c>
      <c r="B109" s="1747"/>
      <c r="C109" s="1265" t="s">
        <v>13</v>
      </c>
      <c r="D109" s="1266"/>
      <c r="E109" s="1267">
        <v>6.25E-2</v>
      </c>
      <c r="F109" s="1267">
        <v>0.27083333333333331</v>
      </c>
      <c r="G109" s="1268">
        <f t="shared" si="49"/>
        <v>300</v>
      </c>
      <c r="H109" s="1375" t="s">
        <v>942</v>
      </c>
      <c r="I109" s="1752"/>
      <c r="J109" s="1251">
        <f t="shared" si="50"/>
        <v>7</v>
      </c>
      <c r="K109" s="1270">
        <f t="shared" si="51"/>
        <v>0.58333333333333337</v>
      </c>
      <c r="L109" s="1742">
        <f>SUM(J109:J110)/24</f>
        <v>0.76388888888888895</v>
      </c>
    </row>
    <row r="110" spans="1:20" ht="14.4" customHeight="1" x14ac:dyDescent="0.3">
      <c r="A110" s="1746">
        <v>46317</v>
      </c>
      <c r="B110" s="1747"/>
      <c r="C110" s="1265" t="s">
        <v>12</v>
      </c>
      <c r="D110" s="1266"/>
      <c r="E110" s="1267">
        <v>0.72222222222222221</v>
      </c>
      <c r="F110" s="1267">
        <v>0.75</v>
      </c>
      <c r="G110" s="1268">
        <f t="shared" si="49"/>
        <v>40.000000000000014</v>
      </c>
      <c r="H110" s="1375" t="s">
        <v>946</v>
      </c>
      <c r="I110" s="1753"/>
      <c r="J110" s="1251">
        <f t="shared" si="50"/>
        <v>11.333333333333334</v>
      </c>
      <c r="K110" s="1270">
        <f t="shared" si="51"/>
        <v>0.94444444444444453</v>
      </c>
      <c r="L110" s="1743"/>
    </row>
    <row r="111" spans="1:20" ht="14.4" customHeight="1" x14ac:dyDescent="0.3">
      <c r="A111" s="1748">
        <v>46317</v>
      </c>
      <c r="B111" s="1749"/>
      <c r="C111" s="907" t="s">
        <v>12</v>
      </c>
      <c r="D111" s="1198"/>
      <c r="E111" s="937">
        <v>0.72222222222222221</v>
      </c>
      <c r="F111" s="937">
        <v>0.75</v>
      </c>
      <c r="G111" s="938">
        <f t="shared" ref="G111" si="52">(F111-E111)*1440</f>
        <v>40.000000000000014</v>
      </c>
      <c r="H111" s="1371" t="s">
        <v>945</v>
      </c>
      <c r="I111" s="1750">
        <v>24</v>
      </c>
      <c r="J111" s="939">
        <f t="shared" si="50"/>
        <v>11.333333333333334</v>
      </c>
      <c r="K111" s="940">
        <f t="shared" si="51"/>
        <v>0.94444444444444453</v>
      </c>
      <c r="L111" s="1744">
        <f>SUM(J111:J112)/24</f>
        <v>0.97222222222222232</v>
      </c>
    </row>
    <row r="112" spans="1:20" ht="14.4" customHeight="1" x14ac:dyDescent="0.3">
      <c r="A112" s="1748">
        <v>46317</v>
      </c>
      <c r="B112" s="1749"/>
      <c r="C112" s="907" t="s">
        <v>13</v>
      </c>
      <c r="D112" s="1198"/>
      <c r="E112" s="937">
        <v>4.2361111111111113E-2</v>
      </c>
      <c r="F112" s="937">
        <v>4.2361111111111113E-2</v>
      </c>
      <c r="G112" s="938">
        <f t="shared" si="49"/>
        <v>0</v>
      </c>
      <c r="H112" s="1371" t="s">
        <v>947</v>
      </c>
      <c r="I112" s="1751"/>
      <c r="J112" s="939">
        <f t="shared" si="50"/>
        <v>12</v>
      </c>
      <c r="K112" s="940">
        <f t="shared" si="51"/>
        <v>1</v>
      </c>
      <c r="L112" s="1745"/>
    </row>
    <row r="113" spans="1:20" ht="14.4" customHeight="1" x14ac:dyDescent="0.3">
      <c r="A113" s="1748">
        <v>46318</v>
      </c>
      <c r="B113" s="1749"/>
      <c r="C113" s="907" t="s">
        <v>12</v>
      </c>
      <c r="D113" s="1198"/>
      <c r="E113" s="937">
        <v>0.47916666666666669</v>
      </c>
      <c r="F113" s="1385">
        <v>0.8125</v>
      </c>
      <c r="G113" s="938">
        <f>(F113-E113)*1440</f>
        <v>480</v>
      </c>
      <c r="H113" s="1386" t="s">
        <v>956</v>
      </c>
      <c r="I113" s="1751"/>
      <c r="J113" s="939">
        <f t="shared" si="50"/>
        <v>4</v>
      </c>
      <c r="K113" s="940">
        <f t="shared" si="51"/>
        <v>0.33333333333333331</v>
      </c>
      <c r="L113" s="1744">
        <f>SUM(J113:J114)/24</f>
        <v>0.56319444444444444</v>
      </c>
    </row>
    <row r="114" spans="1:20" ht="14.4" customHeight="1" x14ac:dyDescent="0.3">
      <c r="A114" s="1748">
        <v>46318</v>
      </c>
      <c r="B114" s="1749"/>
      <c r="C114" s="907" t="s">
        <v>13</v>
      </c>
      <c r="D114" s="1198"/>
      <c r="E114" s="937">
        <v>0.1673611111111111</v>
      </c>
      <c r="F114" s="937">
        <v>0.27083333333333331</v>
      </c>
      <c r="G114" s="938">
        <f t="shared" si="49"/>
        <v>149</v>
      </c>
      <c r="H114" s="1381" t="s">
        <v>955</v>
      </c>
      <c r="I114" s="1751"/>
      <c r="J114" s="939">
        <f t="shared" si="50"/>
        <v>9.5166666666666675</v>
      </c>
      <c r="K114" s="940">
        <f t="shared" si="51"/>
        <v>0.79305555555555562</v>
      </c>
      <c r="L114" s="1745"/>
    </row>
    <row r="115" spans="1:20" ht="14.4" customHeight="1" x14ac:dyDescent="0.3">
      <c r="A115" s="1746">
        <v>46319</v>
      </c>
      <c r="B115" s="1747"/>
      <c r="C115" s="1265" t="s">
        <v>12</v>
      </c>
      <c r="D115" s="1266"/>
      <c r="E115" s="1267">
        <v>4.2361111111111113E-2</v>
      </c>
      <c r="F115" s="1267">
        <v>4.2361111111111113E-2</v>
      </c>
      <c r="G115" s="1268">
        <f t="shared" si="49"/>
        <v>0</v>
      </c>
      <c r="H115" s="1392" t="s">
        <v>947</v>
      </c>
      <c r="I115" s="1752">
        <v>25</v>
      </c>
      <c r="J115" s="1251">
        <f t="shared" si="50"/>
        <v>12</v>
      </c>
      <c r="K115" s="1270">
        <f t="shared" si="51"/>
        <v>1</v>
      </c>
      <c r="L115" s="1742">
        <f>SUM(J115:J116)/24</f>
        <v>1</v>
      </c>
    </row>
    <row r="116" spans="1:20" ht="14.4" customHeight="1" x14ac:dyDescent="0.3">
      <c r="A116" s="1746">
        <v>46319</v>
      </c>
      <c r="B116" s="1747"/>
      <c r="C116" s="1265" t="s">
        <v>13</v>
      </c>
      <c r="D116" s="1266"/>
      <c r="E116" s="1267">
        <v>4.2361111111111113E-2</v>
      </c>
      <c r="F116" s="1267">
        <v>4.2361111111111113E-2</v>
      </c>
      <c r="G116" s="1268">
        <f t="shared" si="49"/>
        <v>0</v>
      </c>
      <c r="H116" s="1393" t="s">
        <v>965</v>
      </c>
      <c r="I116" s="1752"/>
      <c r="J116" s="1251">
        <f t="shared" si="50"/>
        <v>12</v>
      </c>
      <c r="K116" s="1270">
        <f t="shared" si="51"/>
        <v>1</v>
      </c>
      <c r="L116" s="1743"/>
    </row>
    <row r="117" spans="1:20" x14ac:dyDescent="0.3">
      <c r="A117" s="1746">
        <v>46320</v>
      </c>
      <c r="B117" s="1747"/>
      <c r="C117" s="1265" t="s">
        <v>12</v>
      </c>
      <c r="D117" s="1266"/>
      <c r="E117" s="1267">
        <v>4.2361111111111113E-2</v>
      </c>
      <c r="F117" s="1267">
        <v>4.2361111111111113E-2</v>
      </c>
      <c r="G117" s="1268">
        <f t="shared" si="49"/>
        <v>0</v>
      </c>
      <c r="H117" s="1393" t="s">
        <v>966</v>
      </c>
      <c r="I117" s="1753"/>
      <c r="J117" s="1251">
        <f t="shared" si="50"/>
        <v>12</v>
      </c>
      <c r="K117" s="1270">
        <f t="shared" si="51"/>
        <v>1</v>
      </c>
      <c r="L117" s="1744">
        <f>SUM(J117:J118)/24</f>
        <v>0.8125</v>
      </c>
    </row>
    <row r="118" spans="1:20" ht="28.8" x14ac:dyDescent="0.3">
      <c r="A118" s="1748">
        <v>46320</v>
      </c>
      <c r="B118" s="1749"/>
      <c r="C118" s="907" t="s">
        <v>13</v>
      </c>
      <c r="D118" s="1198"/>
      <c r="E118" s="937">
        <v>4.2361111111111113E-2</v>
      </c>
      <c r="F118" s="937">
        <v>0.2298611111111111</v>
      </c>
      <c r="G118" s="938">
        <f t="shared" si="49"/>
        <v>270</v>
      </c>
      <c r="H118" s="1394" t="s">
        <v>967</v>
      </c>
      <c r="I118" s="1738">
        <v>26</v>
      </c>
      <c r="J118" s="939">
        <f t="shared" si="50"/>
        <v>7.5</v>
      </c>
      <c r="K118" s="940">
        <f t="shared" si="51"/>
        <v>0.625</v>
      </c>
      <c r="L118" s="1745"/>
    </row>
    <row r="119" spans="1:20" x14ac:dyDescent="0.3">
      <c r="A119" s="1748">
        <v>46321</v>
      </c>
      <c r="B119" s="1749"/>
      <c r="C119" s="907" t="s">
        <v>12</v>
      </c>
      <c r="D119" s="1198"/>
      <c r="E119" s="937">
        <v>0</v>
      </c>
      <c r="F119" s="937">
        <v>0.5</v>
      </c>
      <c r="G119" s="938">
        <f t="shared" si="49"/>
        <v>720</v>
      </c>
      <c r="H119" s="1395" t="s">
        <v>973</v>
      </c>
      <c r="I119" s="1739"/>
      <c r="J119" s="939">
        <f t="shared" si="50"/>
        <v>0</v>
      </c>
      <c r="K119" s="940">
        <f t="shared" si="51"/>
        <v>0</v>
      </c>
      <c r="L119" s="1744">
        <f>SUM(J119:J120)/24</f>
        <v>0.5</v>
      </c>
    </row>
    <row r="120" spans="1:20" x14ac:dyDescent="0.3">
      <c r="A120" s="1748">
        <v>46321</v>
      </c>
      <c r="B120" s="1749"/>
      <c r="C120" s="907" t="s">
        <v>13</v>
      </c>
      <c r="D120" s="1198"/>
      <c r="E120" s="937">
        <v>4.2361111111111113E-2</v>
      </c>
      <c r="F120" s="937">
        <v>4.2361111111111113E-2</v>
      </c>
      <c r="G120" s="938">
        <f t="shared" si="49"/>
        <v>0</v>
      </c>
      <c r="H120" s="1395" t="s">
        <v>974</v>
      </c>
      <c r="I120" s="1740"/>
      <c r="J120" s="939">
        <f t="shared" si="50"/>
        <v>12</v>
      </c>
      <c r="K120" s="940">
        <f t="shared" si="51"/>
        <v>1</v>
      </c>
      <c r="L120" s="1745"/>
    </row>
    <row r="121" spans="1:20" ht="14.4" customHeight="1" x14ac:dyDescent="0.3">
      <c r="A121" s="1746">
        <v>46322</v>
      </c>
      <c r="B121" s="1747"/>
      <c r="C121" s="1265" t="s">
        <v>12</v>
      </c>
      <c r="D121" s="1266"/>
      <c r="E121" s="1267">
        <v>4.2361111111111113E-2</v>
      </c>
      <c r="F121" s="1267">
        <v>4.2361111111111113E-2</v>
      </c>
      <c r="G121" s="1268">
        <f t="shared" si="49"/>
        <v>0</v>
      </c>
      <c r="H121" s="1403" t="s">
        <v>947</v>
      </c>
      <c r="I121" s="1724">
        <v>27</v>
      </c>
      <c r="J121" s="1251">
        <f t="shared" si="50"/>
        <v>12</v>
      </c>
      <c r="K121" s="1270">
        <f t="shared" si="51"/>
        <v>1</v>
      </c>
      <c r="L121" s="1742">
        <f>SUM(J121:J122)/24</f>
        <v>1</v>
      </c>
    </row>
    <row r="122" spans="1:20" ht="14.4" customHeight="1" x14ac:dyDescent="0.3">
      <c r="A122" s="1746">
        <v>46322</v>
      </c>
      <c r="B122" s="1747"/>
      <c r="C122" s="1265" t="s">
        <v>13</v>
      </c>
      <c r="D122" s="1266"/>
      <c r="E122" s="1267">
        <v>4.2361111111111113E-2</v>
      </c>
      <c r="F122" s="1267">
        <v>4.2361111111111113E-2</v>
      </c>
      <c r="G122" s="1268">
        <f t="shared" si="49"/>
        <v>0</v>
      </c>
      <c r="H122" s="1406" t="s">
        <v>988</v>
      </c>
      <c r="I122" s="1725"/>
      <c r="J122" s="1251">
        <f t="shared" si="50"/>
        <v>12</v>
      </c>
      <c r="K122" s="1270">
        <f t="shared" si="51"/>
        <v>1</v>
      </c>
      <c r="L122" s="1743"/>
    </row>
    <row r="123" spans="1:20" x14ac:dyDescent="0.3">
      <c r="A123" s="1746">
        <v>46323</v>
      </c>
      <c r="B123" s="1747"/>
      <c r="C123" s="1265" t="s">
        <v>12</v>
      </c>
      <c r="D123" s="1266"/>
      <c r="E123" s="1267">
        <v>4.2361111111111113E-2</v>
      </c>
      <c r="F123" s="1410">
        <v>0.10486111111111111</v>
      </c>
      <c r="G123" s="1268">
        <f t="shared" si="49"/>
        <v>90</v>
      </c>
      <c r="H123" s="1411" t="s">
        <v>1003</v>
      </c>
      <c r="I123" s="1725"/>
      <c r="J123" s="1251">
        <f t="shared" si="50"/>
        <v>10.5</v>
      </c>
      <c r="K123" s="1270">
        <f t="shared" si="51"/>
        <v>0.875</v>
      </c>
      <c r="L123" s="1742">
        <f>SUM(J123:J124)/24</f>
        <v>0.9375</v>
      </c>
    </row>
    <row r="124" spans="1:20" x14ac:dyDescent="0.3">
      <c r="A124" s="1746">
        <v>46323</v>
      </c>
      <c r="B124" s="1747"/>
      <c r="C124" s="1265" t="s">
        <v>13</v>
      </c>
      <c r="D124" s="1266"/>
      <c r="E124" s="1267">
        <v>4.2361111111111113E-2</v>
      </c>
      <c r="F124" s="1267">
        <v>4.2361111111111113E-2</v>
      </c>
      <c r="G124" s="1268">
        <f t="shared" si="49"/>
        <v>0</v>
      </c>
      <c r="H124" s="1412" t="s">
        <v>1004</v>
      </c>
      <c r="I124" s="1726"/>
      <c r="J124" s="1251">
        <f t="shared" si="50"/>
        <v>12</v>
      </c>
      <c r="K124" s="1270">
        <f t="shared" si="51"/>
        <v>1</v>
      </c>
      <c r="L124" s="1743"/>
    </row>
    <row r="125" spans="1:20" x14ac:dyDescent="0.3">
      <c r="A125" s="1748">
        <v>46324</v>
      </c>
      <c r="B125" s="1749"/>
      <c r="C125" s="907" t="s">
        <v>12</v>
      </c>
      <c r="D125" s="1198"/>
      <c r="E125" s="937">
        <v>4.2361111111111113E-2</v>
      </c>
      <c r="F125" s="937">
        <v>4.2361111111111113E-2</v>
      </c>
      <c r="G125" s="938">
        <f t="shared" si="49"/>
        <v>0</v>
      </c>
      <c r="H125" s="1414" t="s">
        <v>947</v>
      </c>
      <c r="I125" s="1730">
        <v>28</v>
      </c>
      <c r="J125" s="939">
        <f t="shared" si="50"/>
        <v>12</v>
      </c>
      <c r="K125" s="940">
        <f t="shared" si="51"/>
        <v>1</v>
      </c>
      <c r="L125" s="1744">
        <f>SUM(J125:J126)/24</f>
        <v>0.71875</v>
      </c>
      <c r="O125" s="951"/>
      <c r="P125" s="951"/>
      <c r="Q125" s="951"/>
      <c r="R125" s="951"/>
      <c r="S125" s="951"/>
      <c r="T125" s="951"/>
    </row>
    <row r="126" spans="1:20" x14ac:dyDescent="0.3">
      <c r="A126" s="1748">
        <v>46324</v>
      </c>
      <c r="B126" s="1749"/>
      <c r="C126" s="907" t="s">
        <v>13</v>
      </c>
      <c r="D126" s="1198"/>
      <c r="E126" s="937">
        <v>7.2916666666666671E-2</v>
      </c>
      <c r="F126" s="937">
        <v>0.35416666666666669</v>
      </c>
      <c r="G126" s="938">
        <f t="shared" si="49"/>
        <v>405</v>
      </c>
      <c r="H126" s="1417" t="s">
        <v>1009</v>
      </c>
      <c r="I126" s="1731"/>
      <c r="J126" s="939">
        <f t="shared" si="50"/>
        <v>5.25</v>
      </c>
      <c r="K126" s="940">
        <f t="shared" si="51"/>
        <v>0.4375</v>
      </c>
      <c r="L126" s="1745"/>
      <c r="O126" s="951"/>
      <c r="P126" s="951"/>
      <c r="Q126" s="951"/>
      <c r="R126" s="951"/>
      <c r="S126" s="951"/>
      <c r="T126" s="951"/>
    </row>
    <row r="127" spans="1:20" x14ac:dyDescent="0.3">
      <c r="A127" s="1748">
        <v>46325</v>
      </c>
      <c r="B127" s="1749"/>
      <c r="C127" s="907" t="s">
        <v>12</v>
      </c>
      <c r="D127" s="1198"/>
      <c r="E127" s="937">
        <v>4.2361111111111113E-2</v>
      </c>
      <c r="F127" s="937">
        <v>4.2361111111111113E-2</v>
      </c>
      <c r="G127" s="938">
        <f t="shared" si="49"/>
        <v>0</v>
      </c>
      <c r="H127" s="1430" t="s">
        <v>1043</v>
      </c>
      <c r="I127" s="1732"/>
      <c r="J127" s="939">
        <f t="shared" si="50"/>
        <v>12</v>
      </c>
      <c r="K127" s="940">
        <f t="shared" si="51"/>
        <v>1</v>
      </c>
      <c r="L127" s="1744">
        <f>SUM(J127:J128)/24</f>
        <v>1</v>
      </c>
    </row>
    <row r="128" spans="1:20" x14ac:dyDescent="0.3">
      <c r="A128" s="1746">
        <v>46325</v>
      </c>
      <c r="B128" s="1747"/>
      <c r="C128" s="1265" t="s">
        <v>12</v>
      </c>
      <c r="D128" s="1266"/>
      <c r="E128" s="1267">
        <v>4.2361111111111113E-2</v>
      </c>
      <c r="F128" s="1267">
        <v>4.2361111111111113E-2</v>
      </c>
      <c r="G128" s="1268">
        <f t="shared" si="49"/>
        <v>0</v>
      </c>
      <c r="H128" s="1374" t="s">
        <v>1043</v>
      </c>
      <c r="I128" s="1724">
        <v>29</v>
      </c>
      <c r="J128" s="1251">
        <f t="shared" si="50"/>
        <v>12</v>
      </c>
      <c r="K128" s="1270">
        <f t="shared" si="51"/>
        <v>1</v>
      </c>
      <c r="L128" s="1745"/>
    </row>
    <row r="129" spans="1:20" ht="28.8" x14ac:dyDescent="0.3">
      <c r="A129" s="1746">
        <v>46325</v>
      </c>
      <c r="B129" s="1747"/>
      <c r="C129" s="1265" t="s">
        <v>13</v>
      </c>
      <c r="D129" s="1266"/>
      <c r="E129" s="1267">
        <v>0</v>
      </c>
      <c r="F129" s="1431">
        <v>0.44097222222222221</v>
      </c>
      <c r="G129" s="1268">
        <f>(F129-E129)*1440</f>
        <v>635</v>
      </c>
      <c r="H129" s="1432" t="s">
        <v>1045</v>
      </c>
      <c r="I129" s="1725"/>
      <c r="J129" s="1251">
        <f t="shared" si="50"/>
        <v>1.4166666666666667</v>
      </c>
      <c r="K129" s="1270">
        <f t="shared" si="51"/>
        <v>0.11805555555555557</v>
      </c>
      <c r="L129" s="1742">
        <f>SUM(J129:J130)/24</f>
        <v>0.20486111111111113</v>
      </c>
    </row>
    <row r="130" spans="1:20" ht="28.8" x14ac:dyDescent="0.3">
      <c r="A130" s="1746">
        <v>46326</v>
      </c>
      <c r="B130" s="1747"/>
      <c r="C130" s="1265" t="s">
        <v>12</v>
      </c>
      <c r="D130" s="1266"/>
      <c r="E130" s="1267">
        <v>0</v>
      </c>
      <c r="F130" s="1267">
        <v>0.35416666666666669</v>
      </c>
      <c r="G130" s="1268">
        <f t="shared" si="49"/>
        <v>510</v>
      </c>
      <c r="H130" s="1449" t="s">
        <v>1048</v>
      </c>
      <c r="I130" s="1726"/>
      <c r="J130" s="1251">
        <f t="shared" si="50"/>
        <v>3.5</v>
      </c>
      <c r="K130" s="1270">
        <f t="shared" si="51"/>
        <v>0.29166666666666669</v>
      </c>
      <c r="L130" s="1743"/>
      <c r="O130" s="951"/>
      <c r="P130" s="951"/>
      <c r="Q130" s="951"/>
      <c r="R130" s="951"/>
      <c r="S130" s="951"/>
      <c r="T130" s="951"/>
    </row>
    <row r="131" spans="1:20" x14ac:dyDescent="0.3">
      <c r="A131" s="1758">
        <v>46327</v>
      </c>
      <c r="B131" s="1553"/>
      <c r="C131" s="36" t="s">
        <v>13</v>
      </c>
      <c r="D131" s="65"/>
      <c r="E131" s="67"/>
      <c r="F131" s="67"/>
      <c r="G131" s="496">
        <f t="shared" si="49"/>
        <v>0</v>
      </c>
      <c r="H131" s="436"/>
      <c r="I131" s="417"/>
      <c r="J131" s="418">
        <f t="shared" si="50"/>
        <v>12</v>
      </c>
      <c r="K131" s="811">
        <f t="shared" si="51"/>
        <v>1</v>
      </c>
      <c r="L131" s="6"/>
    </row>
    <row r="132" spans="1:20" x14ac:dyDescent="0.3">
      <c r="A132" s="1758">
        <v>46328</v>
      </c>
      <c r="B132" s="1553"/>
      <c r="C132" s="36" t="s">
        <v>12</v>
      </c>
      <c r="D132" s="65"/>
      <c r="E132" s="67"/>
      <c r="F132" s="67"/>
      <c r="G132" s="496">
        <f t="shared" si="49"/>
        <v>0</v>
      </c>
      <c r="H132" s="436"/>
      <c r="I132" s="417"/>
      <c r="J132" s="418">
        <f t="shared" si="50"/>
        <v>12</v>
      </c>
      <c r="K132" s="811">
        <f t="shared" si="51"/>
        <v>1</v>
      </c>
      <c r="L132" s="6"/>
    </row>
    <row r="133" spans="1:20" x14ac:dyDescent="0.3">
      <c r="A133" s="1758">
        <v>46329</v>
      </c>
      <c r="B133" s="1553"/>
      <c r="C133" s="36" t="s">
        <v>13</v>
      </c>
      <c r="D133" s="65"/>
      <c r="E133" s="67"/>
      <c r="F133" s="67"/>
      <c r="G133" s="496">
        <f t="shared" si="49"/>
        <v>0</v>
      </c>
      <c r="H133" s="436"/>
      <c r="I133" s="417"/>
      <c r="J133" s="418">
        <f t="shared" si="50"/>
        <v>12</v>
      </c>
      <c r="K133" s="811">
        <f t="shared" si="51"/>
        <v>1</v>
      </c>
      <c r="L133" s="6"/>
      <c r="O133" s="1339"/>
      <c r="P133" s="1339"/>
      <c r="Q133" s="1339"/>
      <c r="R133" s="1339"/>
      <c r="S133" s="1339"/>
      <c r="T133" s="1339"/>
    </row>
    <row r="134" spans="1:20" x14ac:dyDescent="0.3">
      <c r="A134" s="1758">
        <v>46330</v>
      </c>
      <c r="B134" s="1553"/>
      <c r="C134" s="36" t="s">
        <v>12</v>
      </c>
      <c r="D134" s="65"/>
      <c r="E134" s="67"/>
      <c r="F134" s="67"/>
      <c r="G134" s="496">
        <f t="shared" si="49"/>
        <v>0</v>
      </c>
      <c r="H134" s="436"/>
      <c r="I134" s="417"/>
      <c r="J134" s="418">
        <f t="shared" si="50"/>
        <v>12</v>
      </c>
      <c r="K134" s="811">
        <f t="shared" si="51"/>
        <v>1</v>
      </c>
      <c r="L134" s="6"/>
      <c r="O134" s="1339"/>
      <c r="P134" s="1339"/>
      <c r="Q134" s="1339"/>
      <c r="R134" s="1339"/>
      <c r="S134" s="1339"/>
      <c r="T134" s="1339"/>
    </row>
    <row r="135" spans="1:20" x14ac:dyDescent="0.3">
      <c r="A135" s="1758">
        <v>46331</v>
      </c>
      <c r="B135" s="1553"/>
      <c r="C135" s="36" t="s">
        <v>13</v>
      </c>
      <c r="D135" s="65"/>
      <c r="E135" s="67"/>
      <c r="F135" s="67"/>
      <c r="G135" s="496">
        <f t="shared" si="49"/>
        <v>0</v>
      </c>
      <c r="H135" s="436"/>
      <c r="I135" s="417"/>
      <c r="J135" s="418">
        <f t="shared" si="50"/>
        <v>12</v>
      </c>
      <c r="K135" s="811">
        <f t="shared" si="51"/>
        <v>1</v>
      </c>
      <c r="L135" s="6"/>
    </row>
    <row r="136" spans="1:20" x14ac:dyDescent="0.3">
      <c r="A136" s="1758">
        <v>46332</v>
      </c>
      <c r="B136" s="1553"/>
      <c r="C136" s="36" t="s">
        <v>12</v>
      </c>
      <c r="D136" s="65"/>
      <c r="E136" s="67"/>
      <c r="F136" s="67"/>
      <c r="G136" s="496">
        <f t="shared" si="49"/>
        <v>0</v>
      </c>
      <c r="H136" s="436"/>
      <c r="I136" s="417"/>
      <c r="J136" s="418">
        <f t="shared" si="50"/>
        <v>12</v>
      </c>
      <c r="K136" s="811">
        <f t="shared" si="51"/>
        <v>1</v>
      </c>
      <c r="L136" s="6"/>
      <c r="O136" s="1339"/>
      <c r="P136" s="1339"/>
      <c r="Q136" s="1339"/>
      <c r="R136" s="1339"/>
      <c r="S136" s="1339"/>
      <c r="T136" s="1339"/>
    </row>
    <row r="137" spans="1:20" x14ac:dyDescent="0.3">
      <c r="A137" s="1758">
        <v>46333</v>
      </c>
      <c r="B137" s="1553"/>
      <c r="C137" s="36" t="s">
        <v>13</v>
      </c>
      <c r="D137" s="65"/>
      <c r="E137" s="67"/>
      <c r="F137" s="67"/>
      <c r="G137" s="496">
        <f t="shared" si="49"/>
        <v>0</v>
      </c>
      <c r="H137" s="436"/>
      <c r="I137" s="417"/>
      <c r="J137" s="418">
        <f t="shared" si="50"/>
        <v>12</v>
      </c>
      <c r="K137" s="811">
        <f t="shared" si="51"/>
        <v>1</v>
      </c>
      <c r="L137" s="6"/>
      <c r="O137" s="951"/>
      <c r="P137" s="951"/>
      <c r="Q137" s="951"/>
      <c r="R137" s="951"/>
      <c r="S137" s="951"/>
      <c r="T137" s="951"/>
    </row>
    <row r="138" spans="1:20" x14ac:dyDescent="0.3">
      <c r="A138" s="1758">
        <v>46334</v>
      </c>
      <c r="B138" s="1553"/>
      <c r="C138" s="36" t="s">
        <v>12</v>
      </c>
      <c r="D138" s="65"/>
      <c r="E138" s="67"/>
      <c r="F138" s="67"/>
      <c r="G138" s="496">
        <f t="shared" si="49"/>
        <v>0</v>
      </c>
      <c r="H138" s="436"/>
      <c r="I138" s="417"/>
      <c r="J138" s="418">
        <f t="shared" si="50"/>
        <v>12</v>
      </c>
      <c r="K138" s="811">
        <f t="shared" si="51"/>
        <v>1</v>
      </c>
      <c r="L138" s="6"/>
      <c r="O138" s="951"/>
      <c r="P138" s="951"/>
      <c r="Q138" s="951"/>
      <c r="R138" s="951"/>
      <c r="S138" s="951"/>
      <c r="T138" s="951"/>
    </row>
    <row r="139" spans="1:20" x14ac:dyDescent="0.3">
      <c r="A139" s="1758">
        <v>46335</v>
      </c>
      <c r="B139" s="1553"/>
      <c r="C139" s="36" t="s">
        <v>13</v>
      </c>
      <c r="D139" s="65"/>
      <c r="E139" s="67"/>
      <c r="F139" s="67"/>
      <c r="G139" s="496">
        <f t="shared" si="49"/>
        <v>0</v>
      </c>
      <c r="H139" s="436"/>
      <c r="I139" s="417"/>
      <c r="J139" s="418">
        <f t="shared" si="50"/>
        <v>12</v>
      </c>
      <c r="K139" s="811">
        <f t="shared" si="51"/>
        <v>1</v>
      </c>
      <c r="L139" s="6"/>
      <c r="O139" s="951"/>
      <c r="P139" s="951"/>
      <c r="Q139" s="951"/>
      <c r="R139" s="951"/>
      <c r="S139" s="951"/>
      <c r="T139" s="951"/>
    </row>
    <row r="140" spans="1:20" x14ac:dyDescent="0.3">
      <c r="A140" s="1758">
        <v>46336</v>
      </c>
      <c r="B140" s="1553"/>
      <c r="C140" s="36" t="s">
        <v>12</v>
      </c>
      <c r="D140" s="65"/>
      <c r="E140" s="67"/>
      <c r="F140" s="67"/>
      <c r="G140" s="496">
        <f t="shared" si="49"/>
        <v>0</v>
      </c>
      <c r="H140" s="436"/>
      <c r="I140" s="417"/>
      <c r="J140" s="418">
        <f t="shared" si="50"/>
        <v>12</v>
      </c>
      <c r="K140" s="811">
        <f t="shared" si="51"/>
        <v>1</v>
      </c>
      <c r="L140" s="6"/>
    </row>
    <row r="141" spans="1:20" x14ac:dyDescent="0.3">
      <c r="A141" s="1758">
        <v>46337</v>
      </c>
      <c r="B141" s="1553"/>
      <c r="C141" s="36" t="s">
        <v>13</v>
      </c>
      <c r="D141" s="65"/>
      <c r="E141" s="67"/>
      <c r="F141" s="67"/>
      <c r="G141" s="496">
        <f t="shared" si="49"/>
        <v>0</v>
      </c>
      <c r="H141" s="436"/>
      <c r="I141" s="417"/>
      <c r="J141" s="418">
        <f t="shared" si="50"/>
        <v>12</v>
      </c>
      <c r="K141" s="811">
        <f t="shared" si="51"/>
        <v>1</v>
      </c>
      <c r="L141" s="6"/>
    </row>
    <row r="142" spans="1:20" x14ac:dyDescent="0.3">
      <c r="A142" s="1758">
        <v>46338</v>
      </c>
      <c r="B142" s="1553"/>
      <c r="C142" s="36" t="s">
        <v>12</v>
      </c>
      <c r="D142" s="65"/>
      <c r="E142" s="67"/>
      <c r="F142" s="67"/>
      <c r="G142" s="496">
        <f t="shared" si="49"/>
        <v>0</v>
      </c>
      <c r="H142" s="436"/>
      <c r="I142" s="417"/>
      <c r="J142" s="418">
        <f t="shared" si="50"/>
        <v>12</v>
      </c>
      <c r="K142" s="811">
        <f t="shared" si="51"/>
        <v>1</v>
      </c>
      <c r="L142" s="6"/>
    </row>
    <row r="143" spans="1:20" x14ac:dyDescent="0.3">
      <c r="A143" s="1758">
        <v>46339</v>
      </c>
      <c r="B143" s="1553"/>
      <c r="C143" s="36" t="s">
        <v>13</v>
      </c>
      <c r="D143" s="65"/>
      <c r="E143" s="67"/>
      <c r="F143" s="67"/>
      <c r="G143" s="496">
        <f t="shared" ref="G143:G181" si="53">(F143-E143)*1440</f>
        <v>0</v>
      </c>
      <c r="H143" s="436"/>
      <c r="I143" s="417"/>
      <c r="J143" s="418">
        <f t="shared" ref="J143:J181" si="54">(720-G143)/60</f>
        <v>12</v>
      </c>
      <c r="K143" s="811">
        <f t="shared" ref="K143:K181" si="55">J143/12</f>
        <v>1</v>
      </c>
      <c r="L143" s="6"/>
    </row>
    <row r="144" spans="1:20" x14ac:dyDescent="0.3">
      <c r="A144" s="1758">
        <v>46340</v>
      </c>
      <c r="B144" s="1553"/>
      <c r="C144" s="36" t="s">
        <v>12</v>
      </c>
      <c r="D144" s="65"/>
      <c r="E144" s="67"/>
      <c r="F144" s="67"/>
      <c r="G144" s="496">
        <f t="shared" si="53"/>
        <v>0</v>
      </c>
      <c r="H144" s="436"/>
      <c r="I144" s="417"/>
      <c r="J144" s="418">
        <f t="shared" si="54"/>
        <v>12</v>
      </c>
      <c r="K144" s="811">
        <f t="shared" si="55"/>
        <v>1</v>
      </c>
      <c r="L144" s="6"/>
    </row>
    <row r="145" spans="1:12" x14ac:dyDescent="0.3">
      <c r="A145" s="1758">
        <v>46341</v>
      </c>
      <c r="B145" s="1553"/>
      <c r="C145" s="36" t="s">
        <v>13</v>
      </c>
      <c r="D145" s="65"/>
      <c r="E145" s="67"/>
      <c r="F145" s="67"/>
      <c r="G145" s="496">
        <f t="shared" si="53"/>
        <v>0</v>
      </c>
      <c r="H145" s="436"/>
      <c r="I145" s="417"/>
      <c r="J145" s="418">
        <f t="shared" si="54"/>
        <v>12</v>
      </c>
      <c r="K145" s="811">
        <f t="shared" si="55"/>
        <v>1</v>
      </c>
      <c r="L145" s="6"/>
    </row>
    <row r="146" spans="1:12" x14ac:dyDescent="0.3">
      <c r="A146" s="1758">
        <v>46342</v>
      </c>
      <c r="B146" s="1553"/>
      <c r="C146" s="36" t="s">
        <v>12</v>
      </c>
      <c r="D146" s="65"/>
      <c r="E146" s="67"/>
      <c r="F146" s="67"/>
      <c r="G146" s="496">
        <f t="shared" si="53"/>
        <v>0</v>
      </c>
      <c r="H146" s="436"/>
      <c r="I146" s="417"/>
      <c r="J146" s="418">
        <f t="shared" si="54"/>
        <v>12</v>
      </c>
      <c r="K146" s="811">
        <f t="shared" si="55"/>
        <v>1</v>
      </c>
      <c r="L146" s="6"/>
    </row>
    <row r="147" spans="1:12" x14ac:dyDescent="0.3">
      <c r="A147" s="1758">
        <v>46343</v>
      </c>
      <c r="B147" s="1553"/>
      <c r="C147" s="36" t="s">
        <v>13</v>
      </c>
      <c r="D147" s="65"/>
      <c r="E147" s="67"/>
      <c r="F147" s="67"/>
      <c r="G147" s="496">
        <f t="shared" si="53"/>
        <v>0</v>
      </c>
      <c r="H147" s="436"/>
      <c r="I147" s="417"/>
      <c r="J147" s="418">
        <f t="shared" si="54"/>
        <v>12</v>
      </c>
      <c r="K147" s="811">
        <f t="shared" si="55"/>
        <v>1</v>
      </c>
      <c r="L147" s="6"/>
    </row>
    <row r="148" spans="1:12" x14ac:dyDescent="0.3">
      <c r="A148" s="1758">
        <v>46344</v>
      </c>
      <c r="B148" s="1553"/>
      <c r="C148" s="36" t="s">
        <v>12</v>
      </c>
      <c r="D148" s="65"/>
      <c r="E148" s="67"/>
      <c r="F148" s="67"/>
      <c r="G148" s="496">
        <f t="shared" si="53"/>
        <v>0</v>
      </c>
      <c r="H148" s="436"/>
      <c r="I148" s="417"/>
      <c r="J148" s="418">
        <f t="shared" si="54"/>
        <v>12</v>
      </c>
      <c r="K148" s="811">
        <f t="shared" si="55"/>
        <v>1</v>
      </c>
      <c r="L148" s="6"/>
    </row>
    <row r="149" spans="1:12" x14ac:dyDescent="0.3">
      <c r="A149" s="1758">
        <v>46345</v>
      </c>
      <c r="B149" s="1553"/>
      <c r="C149" s="36" t="s">
        <v>13</v>
      </c>
      <c r="D149" s="65"/>
      <c r="E149" s="67"/>
      <c r="F149" s="67"/>
      <c r="G149" s="496">
        <f t="shared" si="53"/>
        <v>0</v>
      </c>
      <c r="H149" s="436"/>
      <c r="I149" s="417"/>
      <c r="J149" s="418">
        <f t="shared" si="54"/>
        <v>12</v>
      </c>
      <c r="K149" s="811">
        <f t="shared" si="55"/>
        <v>1</v>
      </c>
      <c r="L149" s="6"/>
    </row>
    <row r="150" spans="1:12" x14ac:dyDescent="0.3">
      <c r="A150" s="1758">
        <v>46346</v>
      </c>
      <c r="B150" s="1553"/>
      <c r="C150" s="36" t="s">
        <v>12</v>
      </c>
      <c r="D150" s="65"/>
      <c r="E150" s="67"/>
      <c r="F150" s="67"/>
      <c r="G150" s="496">
        <f t="shared" si="53"/>
        <v>0</v>
      </c>
      <c r="H150" s="436"/>
      <c r="I150" s="417"/>
      <c r="J150" s="418">
        <f t="shared" si="54"/>
        <v>12</v>
      </c>
      <c r="K150" s="811">
        <f t="shared" si="55"/>
        <v>1</v>
      </c>
      <c r="L150" s="6"/>
    </row>
    <row r="151" spans="1:12" x14ac:dyDescent="0.3">
      <c r="A151" s="1758">
        <v>46347</v>
      </c>
      <c r="B151" s="1553"/>
      <c r="C151" s="36" t="s">
        <v>13</v>
      </c>
      <c r="D151" s="65"/>
      <c r="E151" s="67"/>
      <c r="F151" s="67"/>
      <c r="G151" s="496">
        <f t="shared" si="53"/>
        <v>0</v>
      </c>
      <c r="H151" s="436"/>
      <c r="I151" s="417"/>
      <c r="J151" s="418">
        <f t="shared" si="54"/>
        <v>12</v>
      </c>
      <c r="K151" s="811">
        <f t="shared" si="55"/>
        <v>1</v>
      </c>
      <c r="L151" s="6"/>
    </row>
    <row r="152" spans="1:12" x14ac:dyDescent="0.3">
      <c r="A152" s="1758">
        <v>46348</v>
      </c>
      <c r="B152" s="1553"/>
      <c r="C152" s="36" t="s">
        <v>12</v>
      </c>
      <c r="D152" s="65"/>
      <c r="E152" s="67"/>
      <c r="F152" s="67"/>
      <c r="G152" s="496">
        <f t="shared" si="53"/>
        <v>0</v>
      </c>
      <c r="H152" s="436"/>
      <c r="I152" s="417"/>
      <c r="J152" s="418">
        <f t="shared" si="54"/>
        <v>12</v>
      </c>
      <c r="K152" s="811">
        <f t="shared" si="55"/>
        <v>1</v>
      </c>
      <c r="L152" s="6"/>
    </row>
    <row r="153" spans="1:12" x14ac:dyDescent="0.3">
      <c r="A153" s="1758">
        <v>46349</v>
      </c>
      <c r="B153" s="1553"/>
      <c r="C153" s="36" t="s">
        <v>13</v>
      </c>
      <c r="D153" s="65"/>
      <c r="E153" s="67"/>
      <c r="F153" s="67"/>
      <c r="G153" s="496">
        <f t="shared" si="53"/>
        <v>0</v>
      </c>
      <c r="H153" s="436"/>
      <c r="I153" s="417"/>
      <c r="J153" s="418">
        <f t="shared" si="54"/>
        <v>12</v>
      </c>
      <c r="K153" s="811">
        <f t="shared" si="55"/>
        <v>1</v>
      </c>
      <c r="L153" s="6"/>
    </row>
    <row r="154" spans="1:12" x14ac:dyDescent="0.3">
      <c r="A154" s="1758">
        <v>46350</v>
      </c>
      <c r="B154" s="1553"/>
      <c r="C154" s="36" t="s">
        <v>12</v>
      </c>
      <c r="D154" s="65"/>
      <c r="E154" s="67"/>
      <c r="F154" s="67"/>
      <c r="G154" s="496">
        <f t="shared" si="53"/>
        <v>0</v>
      </c>
      <c r="H154" s="436"/>
      <c r="I154" s="417"/>
      <c r="J154" s="418">
        <f t="shared" si="54"/>
        <v>12</v>
      </c>
      <c r="K154" s="811">
        <f t="shared" si="55"/>
        <v>1</v>
      </c>
      <c r="L154" s="6"/>
    </row>
    <row r="155" spans="1:12" x14ac:dyDescent="0.3">
      <c r="A155" s="1758">
        <v>46351</v>
      </c>
      <c r="B155" s="1553"/>
      <c r="C155" s="36" t="s">
        <v>13</v>
      </c>
      <c r="D155" s="65"/>
      <c r="E155" s="67"/>
      <c r="F155" s="67"/>
      <c r="G155" s="496">
        <f t="shared" si="53"/>
        <v>0</v>
      </c>
      <c r="H155" s="436"/>
      <c r="I155" s="417"/>
      <c r="J155" s="418">
        <f t="shared" si="54"/>
        <v>12</v>
      </c>
      <c r="K155" s="811">
        <f t="shared" si="55"/>
        <v>1</v>
      </c>
      <c r="L155" s="6"/>
    </row>
    <row r="156" spans="1:12" x14ac:dyDescent="0.3">
      <c r="A156" s="1758">
        <v>46352</v>
      </c>
      <c r="B156" s="1553"/>
      <c r="C156" s="36" t="s">
        <v>12</v>
      </c>
      <c r="D156" s="65"/>
      <c r="E156" s="67"/>
      <c r="F156" s="67"/>
      <c r="G156" s="496">
        <f t="shared" si="53"/>
        <v>0</v>
      </c>
      <c r="H156" s="436"/>
      <c r="I156" s="417"/>
      <c r="J156" s="418">
        <f t="shared" si="54"/>
        <v>12</v>
      </c>
      <c r="K156" s="811">
        <f t="shared" si="55"/>
        <v>1</v>
      </c>
      <c r="L156" s="6"/>
    </row>
    <row r="157" spans="1:12" x14ac:dyDescent="0.3">
      <c r="A157" s="1758">
        <v>46353</v>
      </c>
      <c r="B157" s="1553"/>
      <c r="C157" s="36" t="s">
        <v>13</v>
      </c>
      <c r="D157" s="65"/>
      <c r="E157" s="67"/>
      <c r="F157" s="67"/>
      <c r="G157" s="496">
        <f t="shared" si="53"/>
        <v>0</v>
      </c>
      <c r="H157" s="436"/>
      <c r="I157" s="417"/>
      <c r="J157" s="418">
        <f t="shared" si="54"/>
        <v>12</v>
      </c>
      <c r="K157" s="811">
        <f t="shared" si="55"/>
        <v>1</v>
      </c>
      <c r="L157" s="6"/>
    </row>
    <row r="158" spans="1:12" x14ac:dyDescent="0.3">
      <c r="A158" s="1758">
        <v>46354</v>
      </c>
      <c r="B158" s="1553"/>
      <c r="C158" s="36" t="s">
        <v>12</v>
      </c>
      <c r="D158" s="65"/>
      <c r="E158" s="67"/>
      <c r="F158" s="67"/>
      <c r="G158" s="496">
        <f t="shared" si="53"/>
        <v>0</v>
      </c>
      <c r="H158" s="436"/>
      <c r="I158" s="417"/>
      <c r="J158" s="418">
        <f t="shared" si="54"/>
        <v>12</v>
      </c>
      <c r="K158" s="811">
        <f t="shared" si="55"/>
        <v>1</v>
      </c>
      <c r="L158" s="6"/>
    </row>
    <row r="159" spans="1:12" x14ac:dyDescent="0.3">
      <c r="A159" s="1758">
        <v>46355</v>
      </c>
      <c r="B159" s="1553"/>
      <c r="C159" s="36" t="s">
        <v>13</v>
      </c>
      <c r="D159" s="65"/>
      <c r="E159" s="67"/>
      <c r="F159" s="67"/>
      <c r="G159" s="496">
        <f t="shared" si="53"/>
        <v>0</v>
      </c>
      <c r="H159" s="436"/>
      <c r="I159" s="417"/>
      <c r="J159" s="418">
        <f t="shared" si="54"/>
        <v>12</v>
      </c>
      <c r="K159" s="811">
        <f t="shared" si="55"/>
        <v>1</v>
      </c>
      <c r="L159" s="6"/>
    </row>
    <row r="160" spans="1:12" x14ac:dyDescent="0.3">
      <c r="A160" s="1758">
        <v>46356</v>
      </c>
      <c r="B160" s="1553"/>
      <c r="C160" s="36" t="s">
        <v>12</v>
      </c>
      <c r="D160" s="65"/>
      <c r="E160" s="67"/>
      <c r="F160" s="67"/>
      <c r="G160" s="496">
        <f t="shared" si="53"/>
        <v>0</v>
      </c>
      <c r="H160" s="436"/>
      <c r="I160" s="417"/>
      <c r="J160" s="418">
        <f t="shared" si="54"/>
        <v>12</v>
      </c>
      <c r="K160" s="811">
        <f t="shared" si="55"/>
        <v>1</v>
      </c>
      <c r="L160" s="6"/>
    </row>
    <row r="161" spans="1:12" x14ac:dyDescent="0.3">
      <c r="A161" s="1758">
        <v>46357</v>
      </c>
      <c r="B161" s="1553"/>
      <c r="C161" s="36" t="s">
        <v>13</v>
      </c>
      <c r="D161" s="65"/>
      <c r="E161" s="67"/>
      <c r="F161" s="67"/>
      <c r="G161" s="496">
        <f t="shared" si="53"/>
        <v>0</v>
      </c>
      <c r="H161" s="436"/>
      <c r="I161" s="417"/>
      <c r="J161" s="418">
        <f t="shared" si="54"/>
        <v>12</v>
      </c>
      <c r="K161" s="811">
        <f t="shared" si="55"/>
        <v>1</v>
      </c>
      <c r="L161" s="6"/>
    </row>
    <row r="162" spans="1:12" x14ac:dyDescent="0.3">
      <c r="A162" s="1758">
        <v>46358</v>
      </c>
      <c r="B162" s="1553"/>
      <c r="C162" s="36" t="s">
        <v>12</v>
      </c>
      <c r="D162" s="65"/>
      <c r="E162" s="67"/>
      <c r="F162" s="67"/>
      <c r="G162" s="496">
        <f t="shared" si="53"/>
        <v>0</v>
      </c>
      <c r="H162" s="436"/>
      <c r="I162" s="417"/>
      <c r="J162" s="418">
        <f t="shared" si="54"/>
        <v>12</v>
      </c>
      <c r="K162" s="811">
        <f t="shared" si="55"/>
        <v>1</v>
      </c>
      <c r="L162" s="6"/>
    </row>
    <row r="163" spans="1:12" x14ac:dyDescent="0.3">
      <c r="A163" s="1758">
        <v>46359</v>
      </c>
      <c r="B163" s="1553"/>
      <c r="C163" s="36" t="s">
        <v>13</v>
      </c>
      <c r="D163" s="65"/>
      <c r="E163" s="67"/>
      <c r="F163" s="67"/>
      <c r="G163" s="496">
        <f t="shared" si="53"/>
        <v>0</v>
      </c>
      <c r="H163" s="436"/>
      <c r="I163" s="417"/>
      <c r="J163" s="418">
        <f t="shared" si="54"/>
        <v>12</v>
      </c>
      <c r="K163" s="811">
        <f t="shared" si="55"/>
        <v>1</v>
      </c>
      <c r="L163" s="6"/>
    </row>
    <row r="164" spans="1:12" x14ac:dyDescent="0.3">
      <c r="A164" s="1758">
        <v>46360</v>
      </c>
      <c r="B164" s="1553"/>
      <c r="C164" s="36" t="s">
        <v>12</v>
      </c>
      <c r="D164" s="65"/>
      <c r="E164" s="67"/>
      <c r="F164" s="67"/>
      <c r="G164" s="496">
        <f t="shared" si="53"/>
        <v>0</v>
      </c>
      <c r="H164" s="436"/>
      <c r="I164" s="417"/>
      <c r="J164" s="418">
        <f t="shared" si="54"/>
        <v>12</v>
      </c>
      <c r="K164" s="811">
        <f t="shared" si="55"/>
        <v>1</v>
      </c>
      <c r="L164" s="6"/>
    </row>
    <row r="165" spans="1:12" x14ac:dyDescent="0.3">
      <c r="A165" s="1758">
        <v>46361</v>
      </c>
      <c r="B165" s="1553"/>
      <c r="C165" s="36" t="s">
        <v>13</v>
      </c>
      <c r="D165" s="65"/>
      <c r="E165" s="67"/>
      <c r="F165" s="67"/>
      <c r="G165" s="496">
        <f t="shared" si="53"/>
        <v>0</v>
      </c>
      <c r="H165" s="436"/>
      <c r="I165" s="417"/>
      <c r="J165" s="418">
        <f t="shared" si="54"/>
        <v>12</v>
      </c>
      <c r="K165" s="811">
        <f t="shared" si="55"/>
        <v>1</v>
      </c>
      <c r="L165" s="6"/>
    </row>
    <row r="166" spans="1:12" x14ac:dyDescent="0.3">
      <c r="A166" s="1758">
        <v>46362</v>
      </c>
      <c r="B166" s="1553"/>
      <c r="C166" s="36" t="s">
        <v>12</v>
      </c>
      <c r="D166" s="65"/>
      <c r="E166" s="67"/>
      <c r="F166" s="67"/>
      <c r="G166" s="496">
        <f t="shared" si="53"/>
        <v>0</v>
      </c>
      <c r="H166" s="436"/>
      <c r="I166" s="417"/>
      <c r="J166" s="418">
        <f t="shared" si="54"/>
        <v>12</v>
      </c>
      <c r="K166" s="811">
        <f t="shared" si="55"/>
        <v>1</v>
      </c>
      <c r="L166" s="6"/>
    </row>
    <row r="167" spans="1:12" x14ac:dyDescent="0.3">
      <c r="A167" s="1758">
        <v>46363</v>
      </c>
      <c r="B167" s="1553"/>
      <c r="C167" s="36" t="s">
        <v>13</v>
      </c>
      <c r="D167" s="65"/>
      <c r="E167" s="67"/>
      <c r="F167" s="67"/>
      <c r="G167" s="496">
        <f t="shared" si="53"/>
        <v>0</v>
      </c>
      <c r="H167" s="436"/>
      <c r="I167" s="417"/>
      <c r="J167" s="418">
        <f t="shared" si="54"/>
        <v>12</v>
      </c>
      <c r="K167" s="811">
        <f t="shared" si="55"/>
        <v>1</v>
      </c>
      <c r="L167" s="6"/>
    </row>
    <row r="168" spans="1:12" x14ac:dyDescent="0.3">
      <c r="A168" s="1758">
        <v>46364</v>
      </c>
      <c r="B168" s="1553"/>
      <c r="C168" s="36" t="s">
        <v>12</v>
      </c>
      <c r="D168" s="65"/>
      <c r="E168" s="67"/>
      <c r="F168" s="67"/>
      <c r="G168" s="496">
        <f t="shared" si="53"/>
        <v>0</v>
      </c>
      <c r="H168" s="436"/>
      <c r="I168" s="417"/>
      <c r="J168" s="418">
        <f t="shared" si="54"/>
        <v>12</v>
      </c>
      <c r="K168" s="811">
        <f t="shared" si="55"/>
        <v>1</v>
      </c>
      <c r="L168" s="6"/>
    </row>
    <row r="169" spans="1:12" x14ac:dyDescent="0.3">
      <c r="A169" s="1758">
        <v>46365</v>
      </c>
      <c r="B169" s="1553"/>
      <c r="C169" s="36" t="s">
        <v>13</v>
      </c>
      <c r="D169" s="65"/>
      <c r="E169" s="67"/>
      <c r="F169" s="67"/>
      <c r="G169" s="496">
        <f t="shared" si="53"/>
        <v>0</v>
      </c>
      <c r="H169" s="436"/>
      <c r="I169" s="417"/>
      <c r="J169" s="418">
        <f t="shared" si="54"/>
        <v>12</v>
      </c>
      <c r="K169" s="811">
        <f t="shared" si="55"/>
        <v>1</v>
      </c>
      <c r="L169" s="6"/>
    </row>
    <row r="170" spans="1:12" x14ac:dyDescent="0.3">
      <c r="A170" s="1758">
        <v>46366</v>
      </c>
      <c r="B170" s="1553"/>
      <c r="C170" s="36" t="s">
        <v>12</v>
      </c>
      <c r="D170" s="65"/>
      <c r="E170" s="67"/>
      <c r="F170" s="67"/>
      <c r="G170" s="496">
        <f t="shared" si="53"/>
        <v>0</v>
      </c>
      <c r="H170" s="436"/>
      <c r="I170" s="417"/>
      <c r="J170" s="418">
        <f t="shared" si="54"/>
        <v>12</v>
      </c>
      <c r="K170" s="811">
        <f t="shared" si="55"/>
        <v>1</v>
      </c>
      <c r="L170" s="6"/>
    </row>
    <row r="171" spans="1:12" x14ac:dyDescent="0.3">
      <c r="A171" s="1758">
        <v>46367</v>
      </c>
      <c r="B171" s="1553"/>
      <c r="C171" s="36" t="s">
        <v>13</v>
      </c>
      <c r="D171" s="65"/>
      <c r="E171" s="67"/>
      <c r="F171" s="67"/>
      <c r="G171" s="496">
        <f t="shared" si="53"/>
        <v>0</v>
      </c>
      <c r="H171" s="436"/>
      <c r="I171" s="417"/>
      <c r="J171" s="418">
        <f t="shared" si="54"/>
        <v>12</v>
      </c>
      <c r="K171" s="811">
        <f t="shared" si="55"/>
        <v>1</v>
      </c>
      <c r="L171" s="6"/>
    </row>
    <row r="172" spans="1:12" x14ac:dyDescent="0.3">
      <c r="A172" s="1758">
        <v>46368</v>
      </c>
      <c r="B172" s="1553"/>
      <c r="C172" s="36" t="s">
        <v>12</v>
      </c>
      <c r="D172" s="65"/>
      <c r="E172" s="67"/>
      <c r="F172" s="67"/>
      <c r="G172" s="496">
        <f t="shared" si="53"/>
        <v>0</v>
      </c>
      <c r="H172" s="436"/>
      <c r="I172" s="417"/>
      <c r="J172" s="418">
        <f t="shared" si="54"/>
        <v>12</v>
      </c>
      <c r="K172" s="811">
        <f t="shared" si="55"/>
        <v>1</v>
      </c>
      <c r="L172" s="6"/>
    </row>
    <row r="173" spans="1:12" x14ac:dyDescent="0.3">
      <c r="A173" s="1758">
        <v>46369</v>
      </c>
      <c r="B173" s="1553"/>
      <c r="C173" s="36" t="s">
        <v>13</v>
      </c>
      <c r="D173" s="65"/>
      <c r="E173" s="67"/>
      <c r="F173" s="67"/>
      <c r="G173" s="496">
        <f t="shared" si="53"/>
        <v>0</v>
      </c>
      <c r="H173" s="436"/>
      <c r="I173" s="417"/>
      <c r="J173" s="418">
        <f t="shared" si="54"/>
        <v>12</v>
      </c>
      <c r="K173" s="811">
        <f t="shared" si="55"/>
        <v>1</v>
      </c>
      <c r="L173" s="6"/>
    </row>
    <row r="174" spans="1:12" x14ac:dyDescent="0.3">
      <c r="A174" s="1758">
        <v>46370</v>
      </c>
      <c r="B174" s="1553"/>
      <c r="C174" s="36" t="s">
        <v>12</v>
      </c>
      <c r="D174" s="65"/>
      <c r="E174" s="67"/>
      <c r="F174" s="67"/>
      <c r="G174" s="496">
        <f t="shared" si="53"/>
        <v>0</v>
      </c>
      <c r="H174" s="436"/>
      <c r="I174" s="417"/>
      <c r="J174" s="418">
        <f t="shared" si="54"/>
        <v>12</v>
      </c>
      <c r="K174" s="811">
        <f t="shared" si="55"/>
        <v>1</v>
      </c>
      <c r="L174" s="6"/>
    </row>
    <row r="175" spans="1:12" x14ac:dyDescent="0.3">
      <c r="A175" s="1758">
        <v>46371</v>
      </c>
      <c r="B175" s="1553"/>
      <c r="C175" s="36" t="s">
        <v>13</v>
      </c>
      <c r="D175" s="65"/>
      <c r="E175" s="67"/>
      <c r="F175" s="67"/>
      <c r="G175" s="496">
        <f t="shared" si="53"/>
        <v>0</v>
      </c>
      <c r="H175" s="436"/>
      <c r="I175" s="417"/>
      <c r="J175" s="418">
        <f t="shared" si="54"/>
        <v>12</v>
      </c>
      <c r="K175" s="811">
        <f t="shared" si="55"/>
        <v>1</v>
      </c>
      <c r="L175" s="6"/>
    </row>
    <row r="176" spans="1:12" x14ac:dyDescent="0.3">
      <c r="A176" s="1758">
        <v>46372</v>
      </c>
      <c r="B176" s="1553"/>
      <c r="C176" s="36" t="s">
        <v>12</v>
      </c>
      <c r="D176" s="65"/>
      <c r="E176" s="67"/>
      <c r="F176" s="67"/>
      <c r="G176" s="496">
        <f t="shared" si="53"/>
        <v>0</v>
      </c>
      <c r="H176" s="436"/>
      <c r="I176" s="417"/>
      <c r="J176" s="418">
        <f t="shared" si="54"/>
        <v>12</v>
      </c>
      <c r="K176" s="811">
        <f t="shared" si="55"/>
        <v>1</v>
      </c>
      <c r="L176" s="6"/>
    </row>
    <row r="177" spans="1:12" x14ac:dyDescent="0.3">
      <c r="A177" s="1758">
        <v>46373</v>
      </c>
      <c r="B177" s="1553"/>
      <c r="C177" s="36" t="s">
        <v>13</v>
      </c>
      <c r="D177" s="65"/>
      <c r="E177" s="67"/>
      <c r="F177" s="67"/>
      <c r="G177" s="496">
        <f t="shared" si="53"/>
        <v>0</v>
      </c>
      <c r="H177" s="436"/>
      <c r="I177" s="417"/>
      <c r="J177" s="418">
        <f t="shared" si="54"/>
        <v>12</v>
      </c>
      <c r="K177" s="811">
        <f t="shared" si="55"/>
        <v>1</v>
      </c>
      <c r="L177" s="6"/>
    </row>
    <row r="178" spans="1:12" x14ac:dyDescent="0.3">
      <c r="A178" s="1758">
        <v>46374</v>
      </c>
      <c r="B178" s="1553"/>
      <c r="C178" s="36" t="s">
        <v>12</v>
      </c>
      <c r="D178" s="65"/>
      <c r="E178" s="67"/>
      <c r="F178" s="67"/>
      <c r="G178" s="496">
        <f t="shared" si="53"/>
        <v>0</v>
      </c>
      <c r="H178" s="436"/>
      <c r="I178" s="417"/>
      <c r="J178" s="418">
        <f t="shared" si="54"/>
        <v>12</v>
      </c>
      <c r="K178" s="811">
        <f t="shared" si="55"/>
        <v>1</v>
      </c>
      <c r="L178" s="6"/>
    </row>
    <row r="179" spans="1:12" x14ac:dyDescent="0.3">
      <c r="A179" s="1758">
        <v>46375</v>
      </c>
      <c r="B179" s="1553"/>
      <c r="C179" s="36" t="s">
        <v>13</v>
      </c>
      <c r="D179" s="65"/>
      <c r="E179" s="67"/>
      <c r="F179" s="67"/>
      <c r="G179" s="496">
        <f t="shared" si="53"/>
        <v>0</v>
      </c>
      <c r="H179" s="436"/>
      <c r="I179" s="417"/>
      <c r="J179" s="418">
        <f t="shared" si="54"/>
        <v>12</v>
      </c>
      <c r="K179" s="811">
        <f t="shared" si="55"/>
        <v>1</v>
      </c>
      <c r="L179" s="6"/>
    </row>
    <row r="180" spans="1:12" x14ac:dyDescent="0.3">
      <c r="A180" s="1758">
        <v>46376</v>
      </c>
      <c r="B180" s="1553"/>
      <c r="C180" s="36" t="s">
        <v>12</v>
      </c>
      <c r="D180" s="65"/>
      <c r="E180" s="67"/>
      <c r="F180" s="67"/>
      <c r="G180" s="496">
        <f t="shared" si="53"/>
        <v>0</v>
      </c>
      <c r="H180" s="436"/>
      <c r="I180" s="417"/>
      <c r="J180" s="418">
        <f t="shared" si="54"/>
        <v>12</v>
      </c>
      <c r="K180" s="811">
        <f t="shared" si="55"/>
        <v>1</v>
      </c>
      <c r="L180" s="6"/>
    </row>
    <row r="181" spans="1:12" x14ac:dyDescent="0.3">
      <c r="A181" s="1758">
        <v>46377</v>
      </c>
      <c r="B181" s="1553"/>
      <c r="C181" s="36" t="s">
        <v>12</v>
      </c>
      <c r="D181" s="65"/>
      <c r="E181" s="67"/>
      <c r="F181" s="67"/>
      <c r="G181" s="496">
        <f t="shared" si="53"/>
        <v>0</v>
      </c>
      <c r="H181" s="436"/>
      <c r="I181" s="417"/>
      <c r="J181" s="418">
        <f t="shared" si="54"/>
        <v>12</v>
      </c>
      <c r="K181" s="811">
        <f t="shared" si="55"/>
        <v>1</v>
      </c>
      <c r="L181" s="6"/>
    </row>
  </sheetData>
  <mergeCells count="269"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7:B157"/>
    <mergeCell ref="A158:B158"/>
    <mergeCell ref="A159:B159"/>
    <mergeCell ref="A160:B160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54:B154"/>
    <mergeCell ref="A155:B155"/>
    <mergeCell ref="A148:B148"/>
    <mergeCell ref="A149:B149"/>
    <mergeCell ref="A150:B150"/>
    <mergeCell ref="A151:B151"/>
    <mergeCell ref="A152:B152"/>
    <mergeCell ref="A156:B156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45:B45"/>
    <mergeCell ref="A43:B43"/>
    <mergeCell ref="A44:B44"/>
    <mergeCell ref="A48:B48"/>
    <mergeCell ref="A63:B63"/>
    <mergeCell ref="A64:B64"/>
    <mergeCell ref="A65:B65"/>
    <mergeCell ref="A34:B34"/>
    <mergeCell ref="A36:B36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A15:B15"/>
    <mergeCell ref="A21:B21"/>
    <mergeCell ref="A35:B35"/>
    <mergeCell ref="A29:B29"/>
    <mergeCell ref="A30:B30"/>
    <mergeCell ref="A31:B31"/>
    <mergeCell ref="A32:B32"/>
    <mergeCell ref="A26:B26"/>
    <mergeCell ref="A27:B27"/>
    <mergeCell ref="A28:B28"/>
    <mergeCell ref="A33:B33"/>
    <mergeCell ref="A66:B66"/>
    <mergeCell ref="A67:B67"/>
    <mergeCell ref="A58:B58"/>
    <mergeCell ref="A59:B59"/>
    <mergeCell ref="A60:B60"/>
    <mergeCell ref="A61:B61"/>
    <mergeCell ref="A62:B6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16:B16"/>
    <mergeCell ref="A17:B17"/>
    <mergeCell ref="A18:B18"/>
    <mergeCell ref="A25:B25"/>
    <mergeCell ref="A23:B23"/>
    <mergeCell ref="A24:B24"/>
    <mergeCell ref="A22:B22"/>
    <mergeCell ref="A19:B19"/>
    <mergeCell ref="A20:B20"/>
    <mergeCell ref="L15:L16"/>
    <mergeCell ref="L17:L18"/>
    <mergeCell ref="L21:L22"/>
    <mergeCell ref="L19:L20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73:L74"/>
    <mergeCell ref="L75:L76"/>
    <mergeCell ref="L45:L46"/>
    <mergeCell ref="L47:L48"/>
    <mergeCell ref="L61:L62"/>
    <mergeCell ref="L57:L58"/>
    <mergeCell ref="L67:L68"/>
    <mergeCell ref="L55:L56"/>
    <mergeCell ref="I34:I36"/>
    <mergeCell ref="L41:L42"/>
    <mergeCell ref="I41:I44"/>
    <mergeCell ref="I37:I40"/>
    <mergeCell ref="L37:L38"/>
    <mergeCell ref="L35:L36"/>
    <mergeCell ref="L43:L44"/>
    <mergeCell ref="L39:L40"/>
    <mergeCell ref="L23:L24"/>
    <mergeCell ref="L25:L26"/>
    <mergeCell ref="L27:L28"/>
    <mergeCell ref="L29:L30"/>
    <mergeCell ref="L31:L32"/>
    <mergeCell ref="I28:I33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I78:I80"/>
    <mergeCell ref="A75:B75"/>
    <mergeCell ref="A76:B76"/>
    <mergeCell ref="A77:B77"/>
    <mergeCell ref="A78:B78"/>
    <mergeCell ref="A79:B79"/>
    <mergeCell ref="A80:B80"/>
    <mergeCell ref="L77:L78"/>
    <mergeCell ref="A81:B81"/>
    <mergeCell ref="A82:B82"/>
    <mergeCell ref="I95:I97"/>
    <mergeCell ref="I92:I94"/>
    <mergeCell ref="I89:I91"/>
    <mergeCell ref="I86:I88"/>
    <mergeCell ref="A111:B111"/>
    <mergeCell ref="L111:L112"/>
    <mergeCell ref="A109:B109"/>
    <mergeCell ref="A110:B110"/>
    <mergeCell ref="A112:B112"/>
    <mergeCell ref="L109:L110"/>
    <mergeCell ref="I108:I110"/>
    <mergeCell ref="L87:L88"/>
    <mergeCell ref="L89:L90"/>
    <mergeCell ref="L91:L92"/>
    <mergeCell ref="A88:B88"/>
    <mergeCell ref="A89:B89"/>
    <mergeCell ref="A90:B90"/>
    <mergeCell ref="A91:B91"/>
    <mergeCell ref="A92:B92"/>
    <mergeCell ref="A93:B93"/>
    <mergeCell ref="A94:B94"/>
    <mergeCell ref="L95:L96"/>
    <mergeCell ref="A106:B106"/>
    <mergeCell ref="A107:B107"/>
    <mergeCell ref="A108:B108"/>
    <mergeCell ref="I105:I107"/>
    <mergeCell ref="I101:I104"/>
    <mergeCell ref="A105:B105"/>
    <mergeCell ref="A103:B103"/>
    <mergeCell ref="A102:B102"/>
    <mergeCell ref="A104:B104"/>
    <mergeCell ref="L69:L70"/>
    <mergeCell ref="L71:L72"/>
    <mergeCell ref="A83:B83"/>
    <mergeCell ref="A84:B84"/>
    <mergeCell ref="A85:B85"/>
    <mergeCell ref="A86:B86"/>
    <mergeCell ref="A87:B87"/>
    <mergeCell ref="L83:L84"/>
    <mergeCell ref="L85:L86"/>
    <mergeCell ref="L79:L80"/>
    <mergeCell ref="I81:I83"/>
    <mergeCell ref="A72:B72"/>
    <mergeCell ref="A73:B73"/>
    <mergeCell ref="A74:B74"/>
    <mergeCell ref="A70:B70"/>
    <mergeCell ref="A71:B71"/>
    <mergeCell ref="A69:B69"/>
    <mergeCell ref="L103:L104"/>
    <mergeCell ref="I128:I130"/>
    <mergeCell ref="L129:L130"/>
    <mergeCell ref="I125:I127"/>
    <mergeCell ref="L127:L128"/>
    <mergeCell ref="L125:L126"/>
    <mergeCell ref="A95:B95"/>
    <mergeCell ref="A96:B96"/>
    <mergeCell ref="A113:B113"/>
    <mergeCell ref="A114:B114"/>
    <mergeCell ref="A115:B115"/>
    <mergeCell ref="A116:B116"/>
    <mergeCell ref="L121:L122"/>
    <mergeCell ref="I111:I114"/>
    <mergeCell ref="I115:I117"/>
    <mergeCell ref="L115:L116"/>
    <mergeCell ref="L117:L118"/>
    <mergeCell ref="L113:L114"/>
    <mergeCell ref="I121:I124"/>
    <mergeCell ref="L123:L124"/>
    <mergeCell ref="A97:B97"/>
    <mergeCell ref="A98:B98"/>
    <mergeCell ref="A99:B99"/>
    <mergeCell ref="A100:B100"/>
    <mergeCell ref="A101:B101"/>
  </mergeCells>
  <phoneticPr fontId="122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J184" zoomScale="79" zoomScaleNormal="85" workbookViewId="0">
      <selection activeCell="M209" sqref="M209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830" t="s">
        <v>70</v>
      </c>
      <c r="C3" s="1830" t="s">
        <v>287</v>
      </c>
      <c r="D3" s="1830" t="s">
        <v>288</v>
      </c>
      <c r="E3" s="220" t="s">
        <v>291</v>
      </c>
      <c r="F3" s="220" t="s">
        <v>292</v>
      </c>
      <c r="G3" s="1620" t="s">
        <v>251</v>
      </c>
      <c r="H3" s="1621"/>
      <c r="I3" s="1621"/>
      <c r="J3" s="1622"/>
      <c r="K3" s="1833" t="s">
        <v>258</v>
      </c>
    </row>
    <row r="4" spans="2:20" x14ac:dyDescent="0.3">
      <c r="B4" s="1831"/>
      <c r="C4" s="1831"/>
      <c r="D4" s="1831"/>
      <c r="E4" s="221" t="s">
        <v>54</v>
      </c>
      <c r="F4" s="221" t="s">
        <v>293</v>
      </c>
      <c r="G4" s="1620" t="s">
        <v>264</v>
      </c>
      <c r="H4" s="1621"/>
      <c r="I4" s="1622"/>
      <c r="J4" s="131" t="s">
        <v>257</v>
      </c>
      <c r="K4" s="1833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832"/>
      <c r="C5" s="1832"/>
      <c r="D5" s="1832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833"/>
      <c r="O5" s="482" t="s">
        <v>478</v>
      </c>
      <c r="P5" s="1710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711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711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712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707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708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708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709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710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711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711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711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711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712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707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708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79">
        <f>AVERAGE(R122:R127)</f>
        <v>0.128</v>
      </c>
      <c r="H21" s="1279">
        <f t="shared" ref="H21:I21" si="15">AVERAGE(S122:S127)</f>
        <v>0.21666666666666667</v>
      </c>
      <c r="I21" s="1279">
        <f t="shared" si="15"/>
        <v>12.770000000000001</v>
      </c>
      <c r="J21" s="13">
        <v>3.5000000000000003E-2</v>
      </c>
      <c r="K21" s="13"/>
      <c r="O21" s="487" t="s">
        <v>533</v>
      </c>
      <c r="P21" s="1708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708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2">
        <f>AVERAGE(R134:R141)</f>
        <v>5.5125000000000007E-2</v>
      </c>
      <c r="H23" s="1342">
        <f t="shared" ref="H23:I23" si="17">AVERAGE(S134:S141)</f>
        <v>0.16124999999999998</v>
      </c>
      <c r="I23" s="1342">
        <f t="shared" si="17"/>
        <v>12.147875000000001</v>
      </c>
      <c r="J23" s="95">
        <v>0.04</v>
      </c>
      <c r="K23" s="95"/>
      <c r="O23" s="487" t="s">
        <v>479</v>
      </c>
      <c r="P23" s="1708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708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708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>AVERAGE(S171:S173)</f>
        <v>0.39666666666666667</v>
      </c>
      <c r="I26" s="13">
        <f t="shared" ref="I26" si="20">AVERAGE(T171:T173)</f>
        <v>14.963333333333333</v>
      </c>
      <c r="J26" s="13"/>
      <c r="K26" s="6"/>
      <c r="O26" s="487" t="s">
        <v>532</v>
      </c>
      <c r="P26" s="1708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0.45333333333333337</v>
      </c>
      <c r="I27" s="13">
        <f t="shared" si="21"/>
        <v>14.996666666666668</v>
      </c>
      <c r="J27" s="13"/>
      <c r="K27" s="6"/>
      <c r="O27" s="487" t="s">
        <v>533</v>
      </c>
      <c r="P27" s="1709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710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711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711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711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711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712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707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708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708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708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708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708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708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708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709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769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770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770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770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770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771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710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711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711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711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711"/>
      <c r="Q53" s="895">
        <v>46284</v>
      </c>
      <c r="R53" s="1072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711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711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711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712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769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770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770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770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770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770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770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770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770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771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710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711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711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711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711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711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711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711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711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711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711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712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769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770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770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770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770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770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770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770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770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770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770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770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770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770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770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770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770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770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770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770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771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710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711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711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711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711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712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769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770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770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770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770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4" t="s">
        <v>480</v>
      </c>
      <c r="P112" s="1770"/>
      <c r="Q112" s="1231">
        <v>46302</v>
      </c>
      <c r="R112" s="1232">
        <v>0.129</v>
      </c>
      <c r="S112" s="1232">
        <v>0.27</v>
      </c>
      <c r="T112" s="1232">
        <v>12.32</v>
      </c>
      <c r="V112" s="1" t="s">
        <v>797</v>
      </c>
    </row>
    <row r="113" spans="13:22" ht="14.4" customHeight="1" x14ac:dyDescent="0.3">
      <c r="M113" s="1233"/>
      <c r="N113" s="1234"/>
      <c r="O113" s="1235" t="s">
        <v>478</v>
      </c>
      <c r="P113" s="1829">
        <v>14</v>
      </c>
      <c r="Q113" s="1240">
        <v>46304</v>
      </c>
      <c r="R113" s="1241">
        <v>0.128</v>
      </c>
      <c r="S113" s="1241">
        <v>0.24</v>
      </c>
      <c r="T113" s="1241">
        <v>10.89</v>
      </c>
      <c r="U113" s="1234"/>
      <c r="V113" s="1236"/>
    </row>
    <row r="114" spans="13:22" ht="14.4" customHeight="1" x14ac:dyDescent="0.3">
      <c r="M114" s="368"/>
      <c r="O114" s="579" t="s">
        <v>479</v>
      </c>
      <c r="P114" s="1711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711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711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711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711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770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770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7" t="s">
        <v>480</v>
      </c>
      <c r="P121" s="1770"/>
      <c r="Q121" s="1238">
        <v>46336</v>
      </c>
      <c r="R121" s="1239">
        <v>0.13</v>
      </c>
      <c r="S121" s="1239">
        <v>0.37</v>
      </c>
      <c r="T121" s="1239">
        <v>12.24</v>
      </c>
      <c r="U121" s="371"/>
      <c r="V121" s="372"/>
    </row>
    <row r="122" spans="13:22" ht="14.4" customHeight="1" x14ac:dyDescent="0.3">
      <c r="O122" s="667" t="s">
        <v>478</v>
      </c>
      <c r="P122" s="1773">
        <v>16</v>
      </c>
      <c r="Q122" s="1242">
        <v>46366</v>
      </c>
      <c r="R122" s="1243">
        <v>0.121</v>
      </c>
      <c r="S122" s="1243">
        <v>0.22</v>
      </c>
      <c r="T122" s="1243">
        <v>12.75</v>
      </c>
    </row>
    <row r="123" spans="13:22" ht="14.4" customHeight="1" x14ac:dyDescent="0.3">
      <c r="O123" s="667" t="s">
        <v>479</v>
      </c>
      <c r="P123" s="1773"/>
      <c r="Q123" s="1242">
        <v>46366</v>
      </c>
      <c r="R123" s="1105">
        <v>0.129</v>
      </c>
      <c r="S123" s="1105">
        <v>0.22</v>
      </c>
      <c r="T123" s="1105">
        <v>12.74</v>
      </c>
    </row>
    <row r="124" spans="13:22" ht="15" customHeight="1" thickBot="1" x14ac:dyDescent="0.35">
      <c r="O124" s="1244" t="s">
        <v>480</v>
      </c>
      <c r="P124" s="1773"/>
      <c r="Q124" s="1242">
        <v>46366</v>
      </c>
      <c r="R124" s="1105">
        <v>0.13400000000000001</v>
      </c>
      <c r="S124" s="1105">
        <v>0.21</v>
      </c>
      <c r="T124" s="1105">
        <v>12.82</v>
      </c>
    </row>
    <row r="125" spans="13:22" x14ac:dyDescent="0.3">
      <c r="O125" s="667" t="s">
        <v>531</v>
      </c>
      <c r="P125" s="1773"/>
      <c r="Q125" s="1105" t="s">
        <v>798</v>
      </c>
      <c r="R125" s="1105"/>
      <c r="S125" s="1105"/>
      <c r="T125" s="1105"/>
    </row>
    <row r="126" spans="13:22" x14ac:dyDescent="0.3">
      <c r="O126" s="667" t="s">
        <v>532</v>
      </c>
      <c r="P126" s="1773"/>
      <c r="Q126" s="1105" t="s">
        <v>798</v>
      </c>
      <c r="R126" s="1105"/>
      <c r="S126" s="1105"/>
      <c r="T126" s="1105"/>
    </row>
    <row r="127" spans="13:22" x14ac:dyDescent="0.3">
      <c r="O127" s="667" t="s">
        <v>533</v>
      </c>
      <c r="P127" s="1774"/>
      <c r="Q127" s="1105" t="s">
        <v>798</v>
      </c>
      <c r="R127" s="1105"/>
      <c r="S127" s="1105"/>
      <c r="T127" s="1105"/>
    </row>
    <row r="128" spans="13:22" x14ac:dyDescent="0.3">
      <c r="O128" s="451" t="s">
        <v>531</v>
      </c>
      <c r="P128" s="1727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728"/>
      <c r="Q129" s="452" t="s">
        <v>819</v>
      </c>
      <c r="R129" s="1321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728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728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728"/>
      <c r="Q132" s="452" t="s">
        <v>819</v>
      </c>
      <c r="R132" s="452"/>
      <c r="S132" s="452"/>
      <c r="T132" s="452"/>
    </row>
    <row r="133" spans="15:20" x14ac:dyDescent="0.3">
      <c r="O133" s="1204" t="s">
        <v>480</v>
      </c>
      <c r="P133" s="1729"/>
      <c r="Q133" s="452" t="s">
        <v>819</v>
      </c>
      <c r="R133" s="452"/>
      <c r="S133" s="452"/>
      <c r="T133" s="452"/>
    </row>
    <row r="134" spans="15:20" ht="14.4" customHeight="1" x14ac:dyDescent="0.3">
      <c r="O134" s="1246" t="s">
        <v>478</v>
      </c>
      <c r="P134" s="1826">
        <v>18</v>
      </c>
      <c r="Q134" s="1312" t="s">
        <v>861</v>
      </c>
      <c r="R134" s="1312">
        <v>6.9000000000000006E-2</v>
      </c>
      <c r="S134" s="1312">
        <v>0.06</v>
      </c>
      <c r="T134" s="1312">
        <v>12.928000000000001</v>
      </c>
    </row>
    <row r="135" spans="15:20" ht="14.4" customHeight="1" x14ac:dyDescent="0.3">
      <c r="O135" s="1246" t="s">
        <v>479</v>
      </c>
      <c r="P135" s="1827"/>
      <c r="Q135" s="1312" t="s">
        <v>861</v>
      </c>
      <c r="R135" s="1312">
        <v>9.4E-2</v>
      </c>
      <c r="S135" s="1312">
        <v>0.14000000000000001</v>
      </c>
      <c r="T135" s="1312">
        <v>11.920999999999999</v>
      </c>
    </row>
    <row r="136" spans="15:20" ht="15" customHeight="1" thickBot="1" x14ac:dyDescent="0.35">
      <c r="O136" s="1327" t="s">
        <v>480</v>
      </c>
      <c r="P136" s="1827"/>
      <c r="Q136" s="1312" t="s">
        <v>861</v>
      </c>
      <c r="R136" s="1312">
        <v>4.5999999999999999E-2</v>
      </c>
      <c r="S136" s="1312">
        <v>0.21</v>
      </c>
      <c r="T136" s="1312">
        <v>12.256</v>
      </c>
    </row>
    <row r="137" spans="15:20" ht="14.4" customHeight="1" x14ac:dyDescent="0.3">
      <c r="O137" s="1246" t="s">
        <v>481</v>
      </c>
      <c r="P137" s="1827"/>
      <c r="Q137" s="1312" t="s">
        <v>861</v>
      </c>
      <c r="R137" s="1312">
        <v>2.1000000000000001E-2</v>
      </c>
      <c r="S137" s="1312">
        <v>0.1</v>
      </c>
      <c r="T137" s="1312">
        <v>11.217000000000001</v>
      </c>
    </row>
    <row r="138" spans="15:20" ht="14.4" customHeight="1" x14ac:dyDescent="0.3">
      <c r="O138" s="1246" t="s">
        <v>862</v>
      </c>
      <c r="P138" s="1827"/>
      <c r="Q138" s="1312" t="s">
        <v>861</v>
      </c>
      <c r="R138" s="1312">
        <v>6.5000000000000002E-2</v>
      </c>
      <c r="S138" s="1312">
        <v>0.14000000000000001</v>
      </c>
      <c r="T138" s="1312">
        <v>11.058</v>
      </c>
    </row>
    <row r="139" spans="15:20" ht="15" customHeight="1" thickBot="1" x14ac:dyDescent="0.35">
      <c r="O139" s="1327" t="s">
        <v>863</v>
      </c>
      <c r="P139" s="1827"/>
      <c r="Q139" s="1312" t="s">
        <v>861</v>
      </c>
      <c r="R139" s="1312">
        <v>1.0999999999999999E-2</v>
      </c>
      <c r="S139" s="1312">
        <v>0.28999999999999998</v>
      </c>
      <c r="T139" s="1312">
        <v>12.805</v>
      </c>
    </row>
    <row r="140" spans="15:20" ht="14.4" customHeight="1" x14ac:dyDescent="0.3">
      <c r="O140" s="1246" t="s">
        <v>864</v>
      </c>
      <c r="P140" s="1827"/>
      <c r="Q140" s="1312" t="s">
        <v>861</v>
      </c>
      <c r="R140" s="1312">
        <v>4.4999999999999998E-2</v>
      </c>
      <c r="S140" s="1312">
        <v>0.17</v>
      </c>
      <c r="T140" s="1312">
        <v>13.144</v>
      </c>
    </row>
    <row r="141" spans="15:20" ht="14.4" customHeight="1" x14ac:dyDescent="0.3">
      <c r="O141" s="1246" t="s">
        <v>865</v>
      </c>
      <c r="P141" s="1827"/>
      <c r="Q141" s="1312" t="s">
        <v>861</v>
      </c>
      <c r="R141" s="1312">
        <v>0.09</v>
      </c>
      <c r="S141" s="1312">
        <v>0.18</v>
      </c>
      <c r="T141" s="1312">
        <v>11.853999999999999</v>
      </c>
    </row>
    <row r="142" spans="15:20" ht="14.4" customHeight="1" x14ac:dyDescent="0.3">
      <c r="O142" s="1312" t="s">
        <v>531</v>
      </c>
      <c r="P142" s="1827"/>
      <c r="Q142" s="1312" t="s">
        <v>900</v>
      </c>
      <c r="R142" s="1312">
        <v>0.107</v>
      </c>
      <c r="S142" s="1312">
        <v>0.25</v>
      </c>
      <c r="T142" s="1312">
        <v>10.72</v>
      </c>
    </row>
    <row r="143" spans="15:20" ht="14.4" customHeight="1" x14ac:dyDescent="0.3">
      <c r="O143" s="1312" t="s">
        <v>532</v>
      </c>
      <c r="P143" s="1827"/>
      <c r="Q143" s="1312" t="s">
        <v>900</v>
      </c>
      <c r="R143" s="1312">
        <v>0.1</v>
      </c>
      <c r="S143" s="1312">
        <v>0.23</v>
      </c>
      <c r="T143" s="1312">
        <v>10.65</v>
      </c>
    </row>
    <row r="144" spans="15:20" ht="14.4" customHeight="1" x14ac:dyDescent="0.3">
      <c r="O144" s="1312" t="s">
        <v>533</v>
      </c>
      <c r="P144" s="1828"/>
      <c r="Q144" s="1312" t="s">
        <v>900</v>
      </c>
      <c r="R144" s="1312">
        <v>0.11899999999999999</v>
      </c>
      <c r="S144" s="1312">
        <v>0.24</v>
      </c>
      <c r="T144" s="1312">
        <v>10.57</v>
      </c>
    </row>
    <row r="145" spans="15:20" ht="14.4" customHeight="1" x14ac:dyDescent="0.3">
      <c r="O145" s="451" t="s">
        <v>531</v>
      </c>
      <c r="P145" s="1738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739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739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739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739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739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739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739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739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739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4" t="s">
        <v>480</v>
      </c>
      <c r="P155" s="1739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739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739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4" t="s">
        <v>863</v>
      </c>
      <c r="P158" s="1740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6" t="s">
        <v>478</v>
      </c>
      <c r="P159" s="1823">
        <v>20</v>
      </c>
      <c r="Q159" s="1312" t="s">
        <v>940</v>
      </c>
      <c r="R159" s="1312">
        <v>9.6000000000000002E-2</v>
      </c>
      <c r="S159" s="1312">
        <v>0.22</v>
      </c>
      <c r="T159" s="1312">
        <v>8.51</v>
      </c>
    </row>
    <row r="160" spans="15:20" ht="14.4" customHeight="1" x14ac:dyDescent="0.3">
      <c r="O160" s="1246" t="s">
        <v>479</v>
      </c>
      <c r="P160" s="1824"/>
      <c r="Q160" s="1312" t="s">
        <v>940</v>
      </c>
      <c r="R160" s="1312">
        <v>6.0999999999999999E-2</v>
      </c>
      <c r="S160" s="1312">
        <v>0.22</v>
      </c>
      <c r="T160" s="1312">
        <v>10.130000000000001</v>
      </c>
    </row>
    <row r="161" spans="15:20" ht="14.4" customHeight="1" x14ac:dyDescent="0.3">
      <c r="O161" s="1246" t="s">
        <v>480</v>
      </c>
      <c r="P161" s="1824"/>
      <c r="Q161" s="1312" t="s">
        <v>940</v>
      </c>
      <c r="R161" s="1312">
        <v>1.9E-2</v>
      </c>
      <c r="S161" s="1312">
        <v>0.26</v>
      </c>
      <c r="T161" s="1312">
        <v>10.29</v>
      </c>
    </row>
    <row r="162" spans="15:20" ht="14.4" customHeight="1" x14ac:dyDescent="0.3">
      <c r="O162" s="1246" t="s">
        <v>481</v>
      </c>
      <c r="P162" s="1824"/>
      <c r="Q162" s="1312" t="s">
        <v>940</v>
      </c>
      <c r="R162" s="1312">
        <v>5.3999999999999999E-2</v>
      </c>
      <c r="S162" s="1312">
        <v>0.27</v>
      </c>
      <c r="T162" s="1312">
        <v>9.8699999999999992</v>
      </c>
    </row>
    <row r="163" spans="15:20" ht="14.4" customHeight="1" x14ac:dyDescent="0.3">
      <c r="O163" s="1246" t="s">
        <v>862</v>
      </c>
      <c r="P163" s="1824"/>
      <c r="Q163" s="1312" t="s">
        <v>940</v>
      </c>
      <c r="R163" s="1312">
        <v>0.17199999999999999</v>
      </c>
      <c r="S163" s="1312">
        <v>0.24</v>
      </c>
      <c r="T163" s="1312">
        <v>10.06</v>
      </c>
    </row>
    <row r="164" spans="15:20" ht="14.4" customHeight="1" x14ac:dyDescent="0.3">
      <c r="O164" s="1246" t="s">
        <v>863</v>
      </c>
      <c r="P164" s="1824"/>
      <c r="Q164" s="1312" t="s">
        <v>940</v>
      </c>
      <c r="R164" s="1312">
        <v>4.9000000000000002E-2</v>
      </c>
      <c r="S164" s="1312">
        <v>0.19</v>
      </c>
      <c r="T164" s="1312">
        <v>9.9</v>
      </c>
    </row>
    <row r="165" spans="15:20" x14ac:dyDescent="0.3">
      <c r="O165" s="1246" t="s">
        <v>531</v>
      </c>
      <c r="P165" s="1824"/>
      <c r="Q165" s="1322" t="s">
        <v>959</v>
      </c>
      <c r="R165" s="1312">
        <v>3.9E-2</v>
      </c>
      <c r="S165" s="1312">
        <v>0.06</v>
      </c>
      <c r="T165" s="1312">
        <v>9.92</v>
      </c>
    </row>
    <row r="166" spans="15:20" x14ac:dyDescent="0.3">
      <c r="O166" s="1246" t="s">
        <v>532</v>
      </c>
      <c r="P166" s="1824"/>
      <c r="Q166" s="1322" t="s">
        <v>959</v>
      </c>
      <c r="R166" s="1312">
        <v>6.6000000000000003E-2</v>
      </c>
      <c r="S166" s="1312">
        <v>0.09</v>
      </c>
      <c r="T166" s="1312">
        <v>10.52</v>
      </c>
    </row>
    <row r="167" spans="15:20" x14ac:dyDescent="0.3">
      <c r="O167" s="1246" t="s">
        <v>533</v>
      </c>
      <c r="P167" s="1824"/>
      <c r="Q167" s="1322" t="s">
        <v>959</v>
      </c>
      <c r="R167" s="1312">
        <v>6.8000000000000005E-2</v>
      </c>
      <c r="S167" s="1312">
        <v>0.13</v>
      </c>
      <c r="T167" s="1312">
        <v>10.43</v>
      </c>
    </row>
    <row r="168" spans="15:20" x14ac:dyDescent="0.3">
      <c r="O168" s="1246" t="s">
        <v>902</v>
      </c>
      <c r="P168" s="1824"/>
      <c r="Q168" s="1322" t="s">
        <v>959</v>
      </c>
      <c r="R168" s="1312">
        <v>4.9000000000000002E-2</v>
      </c>
      <c r="S168" s="1312">
        <v>0.22</v>
      </c>
      <c r="T168" s="1312">
        <v>10.39</v>
      </c>
    </row>
    <row r="169" spans="15:20" x14ac:dyDescent="0.3">
      <c r="O169" s="1246" t="s">
        <v>903</v>
      </c>
      <c r="P169" s="1824"/>
      <c r="Q169" s="1322" t="s">
        <v>959</v>
      </c>
      <c r="R169" s="1312">
        <v>8.5000000000000006E-2</v>
      </c>
      <c r="S169" s="1312">
        <v>0.41</v>
      </c>
      <c r="T169" s="1312">
        <v>10.36</v>
      </c>
    </row>
    <row r="170" spans="15:20" x14ac:dyDescent="0.3">
      <c r="O170" s="1246" t="s">
        <v>904</v>
      </c>
      <c r="P170" s="1825"/>
      <c r="Q170" s="1322" t="s">
        <v>959</v>
      </c>
      <c r="R170" s="1312">
        <v>7.2999999999999995E-2</v>
      </c>
      <c r="S170" s="1312">
        <v>0.28999999999999998</v>
      </c>
      <c r="T170" s="1312">
        <v>10.72</v>
      </c>
    </row>
    <row r="171" spans="15:20" ht="14.4" customHeight="1" x14ac:dyDescent="0.3">
      <c r="O171" s="451" t="s">
        <v>478</v>
      </c>
      <c r="P171" s="1814">
        <v>21</v>
      </c>
      <c r="Q171" s="452" t="s">
        <v>963</v>
      </c>
      <c r="R171" s="452">
        <v>0.10199999999999999</v>
      </c>
      <c r="S171" s="452">
        <v>0.41</v>
      </c>
      <c r="T171" s="452">
        <v>14.69</v>
      </c>
    </row>
    <row r="172" spans="15:20" ht="14.4" customHeight="1" x14ac:dyDescent="0.3">
      <c r="O172" s="451" t="s">
        <v>479</v>
      </c>
      <c r="P172" s="1815"/>
      <c r="Q172" s="452" t="s">
        <v>963</v>
      </c>
      <c r="R172" s="452">
        <v>0.16400000000000001</v>
      </c>
      <c r="S172" s="452">
        <v>0.39</v>
      </c>
      <c r="T172" s="452">
        <v>14.93</v>
      </c>
    </row>
    <row r="173" spans="15:20" ht="14.4" customHeight="1" x14ac:dyDescent="0.3">
      <c r="O173" s="451" t="s">
        <v>480</v>
      </c>
      <c r="P173" s="1816"/>
      <c r="Q173" s="452" t="s">
        <v>963</v>
      </c>
      <c r="R173" s="452">
        <v>0.182</v>
      </c>
      <c r="S173" s="452">
        <v>0.39</v>
      </c>
      <c r="T173" s="452">
        <v>15.27</v>
      </c>
    </row>
    <row r="174" spans="15:20" ht="14.4" customHeight="1" x14ac:dyDescent="0.3">
      <c r="O174" s="1246" t="s">
        <v>531</v>
      </c>
      <c r="P174" s="1693">
        <v>22</v>
      </c>
      <c r="Q174" s="1322" t="s">
        <v>962</v>
      </c>
      <c r="R174" s="1312">
        <v>0.121</v>
      </c>
      <c r="S174" s="1312">
        <v>0.45</v>
      </c>
      <c r="T174" s="1312">
        <v>14.19</v>
      </c>
    </row>
    <row r="175" spans="15:20" ht="14.4" customHeight="1" x14ac:dyDescent="0.3">
      <c r="O175" s="1246" t="s">
        <v>532</v>
      </c>
      <c r="P175" s="1694"/>
      <c r="Q175" s="1322" t="s">
        <v>962</v>
      </c>
      <c r="R175" s="1312">
        <v>0.20499999999999999</v>
      </c>
      <c r="S175" s="1312">
        <v>0.45</v>
      </c>
      <c r="T175" s="1312">
        <v>15.47</v>
      </c>
    </row>
    <row r="176" spans="15:20" ht="14.4" customHeight="1" x14ac:dyDescent="0.3">
      <c r="O176" s="1246" t="s">
        <v>533</v>
      </c>
      <c r="P176" s="1695"/>
      <c r="Q176" s="1322" t="s">
        <v>962</v>
      </c>
      <c r="R176" s="1312">
        <v>0.16500000000000001</v>
      </c>
      <c r="S176" s="1312">
        <v>0.46</v>
      </c>
      <c r="T176" s="1312">
        <v>15.33</v>
      </c>
    </row>
    <row r="177" spans="15:20" ht="14.4" customHeight="1" x14ac:dyDescent="0.3">
      <c r="O177" s="451" t="s">
        <v>531</v>
      </c>
      <c r="P177" s="1820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821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821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821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821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821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821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821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821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822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6" t="s">
        <v>478</v>
      </c>
      <c r="P187" s="1817">
        <v>24</v>
      </c>
      <c r="Q187" s="1312" t="s">
        <v>976</v>
      </c>
      <c r="R187" s="1312">
        <v>2.1000000000000001E-2</v>
      </c>
      <c r="S187" s="1312">
        <v>0.36</v>
      </c>
      <c r="T187" s="1312">
        <v>12.72</v>
      </c>
    </row>
    <row r="188" spans="15:20" x14ac:dyDescent="0.3">
      <c r="O188" s="1246" t="s">
        <v>479</v>
      </c>
      <c r="P188" s="1818"/>
      <c r="Q188" s="1312" t="s">
        <v>976</v>
      </c>
      <c r="R188" s="1312">
        <v>7.2999999999999995E-2</v>
      </c>
      <c r="S188" s="1312">
        <v>0.42</v>
      </c>
      <c r="T188" s="1312">
        <v>11.14</v>
      </c>
    </row>
    <row r="189" spans="15:20" x14ac:dyDescent="0.3">
      <c r="O189" s="1246" t="s">
        <v>480</v>
      </c>
      <c r="P189" s="1818"/>
      <c r="Q189" s="1312" t="s">
        <v>976</v>
      </c>
      <c r="R189" s="1312">
        <v>6.2E-2</v>
      </c>
      <c r="S189" s="1312">
        <v>0.46</v>
      </c>
      <c r="T189" s="1312">
        <v>12.04</v>
      </c>
    </row>
    <row r="190" spans="15:20" x14ac:dyDescent="0.3">
      <c r="O190" s="1246" t="s">
        <v>481</v>
      </c>
      <c r="P190" s="1818"/>
      <c r="Q190" s="1312" t="s">
        <v>976</v>
      </c>
      <c r="R190" s="1312">
        <v>5.2999999999999999E-2</v>
      </c>
      <c r="S190" s="1312">
        <v>0.36</v>
      </c>
      <c r="T190" s="1312">
        <v>12.7</v>
      </c>
    </row>
    <row r="191" spans="15:20" x14ac:dyDescent="0.3">
      <c r="O191" s="1246" t="s">
        <v>862</v>
      </c>
      <c r="P191" s="1818"/>
      <c r="Q191" s="1312" t="s">
        <v>976</v>
      </c>
      <c r="R191" s="1312">
        <v>3.7999999999999999E-2</v>
      </c>
      <c r="S191" s="1312">
        <v>0.39</v>
      </c>
      <c r="T191" s="1312">
        <v>15.05</v>
      </c>
    </row>
    <row r="192" spans="15:20" x14ac:dyDescent="0.3">
      <c r="O192" s="1246" t="s">
        <v>863</v>
      </c>
      <c r="P192" s="1819"/>
      <c r="Q192" s="1312" t="s">
        <v>976</v>
      </c>
      <c r="R192" s="1312">
        <v>8.5999999999999993E-2</v>
      </c>
      <c r="S192" s="1312">
        <v>0.56000000000000005</v>
      </c>
      <c r="T192" s="1312">
        <v>15.35</v>
      </c>
    </row>
    <row r="193" spans="10:20" ht="14.4" customHeight="1" x14ac:dyDescent="0.3">
      <c r="O193" s="451" t="s">
        <v>531</v>
      </c>
      <c r="P193" s="1814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0:20" ht="14.4" customHeight="1" x14ac:dyDescent="0.3">
      <c r="O194" s="451" t="s">
        <v>532</v>
      </c>
      <c r="P194" s="1815"/>
      <c r="Q194" s="952">
        <v>46321</v>
      </c>
      <c r="R194" s="452">
        <v>0.09</v>
      </c>
      <c r="S194" s="452">
        <v>0.59</v>
      </c>
      <c r="T194" s="452">
        <v>18.04</v>
      </c>
    </row>
    <row r="195" spans="10:20" ht="14.4" customHeight="1" x14ac:dyDescent="0.3">
      <c r="O195" s="451" t="s">
        <v>533</v>
      </c>
      <c r="P195" s="1815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0:20" ht="14.4" customHeight="1" x14ac:dyDescent="0.3">
      <c r="O196" s="451" t="s">
        <v>902</v>
      </c>
      <c r="P196" s="1815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0:20" ht="14.4" customHeight="1" x14ac:dyDescent="0.3">
      <c r="O197" s="451" t="s">
        <v>903</v>
      </c>
      <c r="P197" s="1815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0:20" ht="14.4" customHeight="1" x14ac:dyDescent="0.3">
      <c r="O198" s="451" t="s">
        <v>478</v>
      </c>
      <c r="P198" s="1815"/>
      <c r="Q198" s="952">
        <v>46321</v>
      </c>
      <c r="R198" s="452">
        <v>6.5000000000000002E-2</v>
      </c>
      <c r="S198" s="452">
        <v>0.48</v>
      </c>
      <c r="T198" s="452">
        <v>17.36</v>
      </c>
    </row>
    <row r="199" spans="10:20" ht="14.4" customHeight="1" x14ac:dyDescent="0.3">
      <c r="O199" s="451" t="s">
        <v>479</v>
      </c>
      <c r="P199" s="1815"/>
      <c r="Q199" s="952">
        <v>46321</v>
      </c>
      <c r="R199" s="452">
        <v>9.7000000000000003E-2</v>
      </c>
      <c r="S199" s="452">
        <v>0.3</v>
      </c>
      <c r="T199" s="452">
        <v>17.32</v>
      </c>
    </row>
    <row r="200" spans="10:20" ht="14.4" customHeight="1" x14ac:dyDescent="0.3">
      <c r="O200" s="451" t="s">
        <v>480</v>
      </c>
      <c r="P200" s="1815"/>
      <c r="Q200" s="952">
        <v>46321</v>
      </c>
      <c r="R200" s="452">
        <v>4.2000000000000003E-2</v>
      </c>
      <c r="S200" s="452">
        <v>0.43</v>
      </c>
      <c r="T200" s="452">
        <v>17.7</v>
      </c>
    </row>
    <row r="201" spans="10:20" ht="14.4" customHeight="1" x14ac:dyDescent="0.3">
      <c r="O201" s="451" t="s">
        <v>481</v>
      </c>
      <c r="P201" s="1815"/>
      <c r="Q201" s="952">
        <v>46321</v>
      </c>
      <c r="R201" s="452">
        <v>2.7E-2</v>
      </c>
      <c r="S201" s="452">
        <v>0.3</v>
      </c>
      <c r="T201" s="452">
        <v>17.82</v>
      </c>
    </row>
    <row r="202" spans="10:20" ht="14.4" customHeight="1" x14ac:dyDescent="0.3">
      <c r="J202" s="1416"/>
      <c r="O202" s="451" t="s">
        <v>478</v>
      </c>
      <c r="P202" s="1815"/>
      <c r="Q202" s="952">
        <v>46322</v>
      </c>
      <c r="R202" s="452">
        <v>8.1000000000000003E-2</v>
      </c>
      <c r="S202" s="452">
        <v>0.31</v>
      </c>
      <c r="T202" s="452">
        <v>12.59</v>
      </c>
    </row>
    <row r="203" spans="10:20" ht="14.4" customHeight="1" x14ac:dyDescent="0.3">
      <c r="J203" s="1416"/>
      <c r="O203" s="451" t="s">
        <v>479</v>
      </c>
      <c r="P203" s="1815"/>
      <c r="Q203" s="952">
        <v>46322</v>
      </c>
      <c r="R203" s="452">
        <v>2.5999999999999999E-2</v>
      </c>
      <c r="S203" s="452">
        <v>0.35</v>
      </c>
      <c r="T203" s="452">
        <v>15.64</v>
      </c>
    </row>
    <row r="204" spans="10:20" ht="14.4" customHeight="1" x14ac:dyDescent="0.3">
      <c r="J204" s="1416"/>
      <c r="O204" s="451" t="s">
        <v>480</v>
      </c>
      <c r="P204" s="1815"/>
      <c r="Q204" s="952">
        <v>46322</v>
      </c>
      <c r="R204" s="452">
        <v>2.4E-2</v>
      </c>
      <c r="S204" s="452">
        <v>0.3</v>
      </c>
      <c r="T204" s="452">
        <v>9.25</v>
      </c>
    </row>
    <row r="205" spans="10:20" ht="14.4" customHeight="1" x14ac:dyDescent="0.3">
      <c r="J205" s="1416"/>
      <c r="O205" s="451" t="s">
        <v>481</v>
      </c>
      <c r="P205" s="1815"/>
      <c r="Q205" s="952">
        <v>46322</v>
      </c>
      <c r="R205" s="452">
        <v>8.5000000000000006E-2</v>
      </c>
      <c r="S205" s="452">
        <v>0.5</v>
      </c>
      <c r="T205" s="452">
        <v>18.260000000000002</v>
      </c>
    </row>
    <row r="206" spans="10:20" ht="14.4" customHeight="1" x14ac:dyDescent="0.3">
      <c r="J206" s="1416"/>
      <c r="O206" s="451" t="s">
        <v>862</v>
      </c>
      <c r="P206" s="1816"/>
      <c r="Q206" s="952">
        <v>46322</v>
      </c>
      <c r="R206" s="452">
        <v>4.5999999999999999E-2</v>
      </c>
      <c r="S206" s="452">
        <v>0.46</v>
      </c>
      <c r="T206" s="452">
        <v>16.989999999999998</v>
      </c>
    </row>
    <row r="207" spans="10:20" ht="14.4" customHeight="1" x14ac:dyDescent="0.3">
      <c r="J207" s="1416"/>
      <c r="O207" s="1246" t="s">
        <v>531</v>
      </c>
      <c r="P207" s="1693">
        <v>26</v>
      </c>
      <c r="Q207" s="1322">
        <v>46323</v>
      </c>
      <c r="R207" s="1312">
        <v>7.1999999999999995E-2</v>
      </c>
      <c r="S207" s="1312">
        <v>0.31</v>
      </c>
      <c r="T207" s="1312">
        <v>10.69</v>
      </c>
    </row>
    <row r="208" spans="10:20" ht="14.4" customHeight="1" x14ac:dyDescent="0.3">
      <c r="O208" s="1246" t="s">
        <v>532</v>
      </c>
      <c r="P208" s="1694"/>
      <c r="Q208" s="1322">
        <v>46323</v>
      </c>
      <c r="R208" s="1312">
        <v>7.1999999999999995E-2</v>
      </c>
      <c r="S208" s="1312">
        <v>0.21</v>
      </c>
      <c r="T208" s="1312">
        <v>14.09</v>
      </c>
    </row>
    <row r="209" spans="15:20" ht="14.4" customHeight="1" x14ac:dyDescent="0.3">
      <c r="O209" s="1246" t="s">
        <v>533</v>
      </c>
      <c r="P209" s="1694"/>
      <c r="Q209" s="1322">
        <v>46323</v>
      </c>
      <c r="R209" s="1312">
        <v>7.9000000000000001E-2</v>
      </c>
      <c r="S209" s="1312">
        <v>0.35</v>
      </c>
      <c r="T209" s="1312">
        <v>15.33</v>
      </c>
    </row>
    <row r="210" spans="15:20" ht="14.4" customHeight="1" x14ac:dyDescent="0.3">
      <c r="O210" s="1246" t="s">
        <v>902</v>
      </c>
      <c r="P210" s="1694"/>
      <c r="Q210" s="1322">
        <v>46323</v>
      </c>
      <c r="R210" s="1312">
        <v>4.4999999999999998E-2</v>
      </c>
      <c r="S210" s="1312">
        <v>0.38</v>
      </c>
      <c r="T210" s="1312">
        <v>14.22</v>
      </c>
    </row>
    <row r="211" spans="15:20" x14ac:dyDescent="0.3">
      <c r="O211" s="1246" t="s">
        <v>903</v>
      </c>
      <c r="P211" s="1694"/>
      <c r="Q211" s="1322">
        <v>46323</v>
      </c>
      <c r="R211" s="1312">
        <v>0.09</v>
      </c>
      <c r="S211" s="1312">
        <v>0.48</v>
      </c>
      <c r="T211" s="1312">
        <v>15.94</v>
      </c>
    </row>
    <row r="212" spans="15:20" x14ac:dyDescent="0.3">
      <c r="O212" s="1246" t="s">
        <v>904</v>
      </c>
      <c r="P212" s="1695"/>
      <c r="Q212" s="1322">
        <v>46323</v>
      </c>
      <c r="R212" s="1312">
        <v>9.1999999999999998E-2</v>
      </c>
      <c r="S212" s="1312">
        <v>0.35</v>
      </c>
      <c r="T212" s="1312">
        <v>14.95</v>
      </c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2">
    <mergeCell ref="P28:P33"/>
    <mergeCell ref="P80:P100"/>
    <mergeCell ref="P68:P79"/>
    <mergeCell ref="P58:P67"/>
    <mergeCell ref="P34:P42"/>
    <mergeCell ref="P43:P48"/>
    <mergeCell ref="P49:P57"/>
    <mergeCell ref="K3:K5"/>
    <mergeCell ref="P5:P8"/>
    <mergeCell ref="P9:P12"/>
    <mergeCell ref="P13:P18"/>
    <mergeCell ref="P19:P27"/>
    <mergeCell ref="B3:B5"/>
    <mergeCell ref="C3:C5"/>
    <mergeCell ref="D3:D5"/>
    <mergeCell ref="G3:J3"/>
    <mergeCell ref="G4:I4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  <mergeCell ref="P193:P206"/>
    <mergeCell ref="P207:P212"/>
    <mergeCell ref="P187:P192"/>
    <mergeCell ref="P177:P186"/>
    <mergeCell ref="P174:P176"/>
  </mergeCells>
  <phoneticPr fontId="122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98" zoomScale="55" zoomScaleNormal="55" workbookViewId="0">
      <selection activeCell="M96" sqref="M96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592" t="s">
        <v>560</v>
      </c>
      <c r="C2" s="1592"/>
      <c r="D2" s="1592"/>
      <c r="E2" s="1592"/>
      <c r="F2" s="1592"/>
      <c r="G2" s="1592"/>
      <c r="H2" s="1592"/>
      <c r="J2" s="1592" t="s">
        <v>561</v>
      </c>
      <c r="K2" s="1592"/>
      <c r="L2" s="1592"/>
      <c r="M2" s="1592"/>
      <c r="N2" s="1592"/>
      <c r="O2" s="1592"/>
      <c r="P2" s="1592"/>
      <c r="R2" s="1834" t="s">
        <v>562</v>
      </c>
      <c r="S2" s="1836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3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6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834" t="s">
        <v>565</v>
      </c>
      <c r="S10" s="1835"/>
      <c r="T10" s="1836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837">
        <f>SUM(P4:P234,H4:H233)</f>
        <v>8933.4599999999991</v>
      </c>
      <c r="S11" s="1838"/>
      <c r="T11" s="1839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841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841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841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841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840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840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840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840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840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840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840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840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840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840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840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95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11</v>
      </c>
      <c r="F73" s="13">
        <f t="shared" si="9"/>
        <v>66</v>
      </c>
      <c r="G73" s="13"/>
      <c r="H73" s="668">
        <f t="shared" si="7"/>
        <v>66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" t="s">
        <v>971</v>
      </c>
      <c r="D74" s="13" t="s">
        <v>13</v>
      </c>
      <c r="E74" s="13">
        <v>4</v>
      </c>
      <c r="F74" s="13">
        <f t="shared" si="9"/>
        <v>24</v>
      </c>
      <c r="G74" s="13"/>
      <c r="H74" s="668">
        <f t="shared" si="7"/>
        <v>24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2" t="s">
        <v>970</v>
      </c>
      <c r="D77" s="13" t="s">
        <v>12</v>
      </c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2">
        <v>46322</v>
      </c>
      <c r="D78" s="13" t="s">
        <v>978</v>
      </c>
      <c r="E78" s="13">
        <v>5</v>
      </c>
      <c r="F78" s="13">
        <f t="shared" si="9"/>
        <v>30</v>
      </c>
      <c r="G78" s="13"/>
      <c r="H78" s="668">
        <f t="shared" si="7"/>
        <v>30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 t="s">
        <v>970</v>
      </c>
      <c r="D79" s="13" t="s">
        <v>12</v>
      </c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2">
        <v>46323</v>
      </c>
      <c r="D80" s="13" t="s">
        <v>978</v>
      </c>
      <c r="E80" s="13">
        <v>4</v>
      </c>
      <c r="F80" s="13">
        <f t="shared" si="9"/>
        <v>24</v>
      </c>
      <c r="G80" s="13"/>
      <c r="H80" s="668">
        <f t="shared" ref="H80:H126" si="21">F80*(1-G80)</f>
        <v>24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2">
        <v>46324</v>
      </c>
      <c r="D81" s="13" t="s">
        <v>12</v>
      </c>
      <c r="E81" s="13">
        <v>4</v>
      </c>
      <c r="F81" s="13">
        <f t="shared" si="9"/>
        <v>24</v>
      </c>
      <c r="G81" s="13"/>
      <c r="H81" s="668">
        <f t="shared" si="21"/>
        <v>24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2">
        <v>46324</v>
      </c>
      <c r="D82" s="13" t="s">
        <v>978</v>
      </c>
      <c r="E82" s="13">
        <v>9</v>
      </c>
      <c r="F82" s="13">
        <f t="shared" si="9"/>
        <v>54</v>
      </c>
      <c r="G82" s="13"/>
      <c r="H82" s="668">
        <f t="shared" si="21"/>
        <v>54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2">
        <v>46325</v>
      </c>
      <c r="D83" s="13" t="s">
        <v>12</v>
      </c>
      <c r="E83" s="13">
        <v>5</v>
      </c>
      <c r="F83" s="13">
        <f t="shared" si="9"/>
        <v>30</v>
      </c>
      <c r="G83" s="13"/>
      <c r="H83" s="668">
        <f t="shared" si="21"/>
        <v>30</v>
      </c>
      <c r="J83" s="13">
        <v>82</v>
      </c>
      <c r="K83" s="6" t="s">
        <v>971</v>
      </c>
      <c r="L83" s="13" t="s">
        <v>12</v>
      </c>
      <c r="M83" s="13">
        <v>11</v>
      </c>
      <c r="N83" s="233">
        <f>M83*$S$4</f>
        <v>132</v>
      </c>
      <c r="O83" s="13"/>
      <c r="P83" s="39">
        <f t="shared" si="20"/>
        <v>132</v>
      </c>
    </row>
    <row r="84" spans="2:16" x14ac:dyDescent="0.3">
      <c r="B84" s="13">
        <v>84</v>
      </c>
      <c r="C84" s="62">
        <v>46325</v>
      </c>
      <c r="D84" s="13" t="s">
        <v>978</v>
      </c>
      <c r="E84" s="13">
        <v>4</v>
      </c>
      <c r="F84" s="13">
        <f t="shared" si="9"/>
        <v>24</v>
      </c>
      <c r="G84" s="13"/>
      <c r="H84" s="668">
        <f t="shared" si="21"/>
        <v>24</v>
      </c>
      <c r="J84" s="13">
        <v>83</v>
      </c>
      <c r="K84" s="6" t="s">
        <v>971</v>
      </c>
      <c r="L84" s="13" t="s">
        <v>13</v>
      </c>
      <c r="M84" s="13">
        <v>4</v>
      </c>
      <c r="N84" s="233">
        <f t="shared" ref="N84:N95" si="22">M84*$S$4</f>
        <v>48</v>
      </c>
      <c r="O84" s="13"/>
      <c r="P84" s="39">
        <f t="shared" si="20"/>
        <v>48</v>
      </c>
    </row>
    <row r="85" spans="2:16" x14ac:dyDescent="0.3">
      <c r="B85" s="13">
        <v>85</v>
      </c>
      <c r="C85" s="62">
        <v>46326</v>
      </c>
      <c r="D85" s="13" t="s">
        <v>12</v>
      </c>
      <c r="E85" s="13">
        <v>9</v>
      </c>
      <c r="F85" s="13">
        <f t="shared" si="9"/>
        <v>54</v>
      </c>
      <c r="G85" s="13"/>
      <c r="H85" s="668">
        <f t="shared" si="21"/>
        <v>54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2" t="s">
        <v>970</v>
      </c>
      <c r="L87" s="13" t="s">
        <v>12</v>
      </c>
      <c r="M87" s="13"/>
      <c r="N87" s="233">
        <f t="shared" si="22"/>
        <v>0</v>
      </c>
      <c r="O87" s="13"/>
      <c r="P87" s="39">
        <f t="shared" si="20"/>
        <v>0</v>
      </c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2">
        <v>46322</v>
      </c>
      <c r="L88" s="13" t="s">
        <v>978</v>
      </c>
      <c r="M88" s="13">
        <v>3</v>
      </c>
      <c r="N88" s="233">
        <f t="shared" si="22"/>
        <v>36</v>
      </c>
      <c r="O88" s="13"/>
      <c r="P88" s="39">
        <f t="shared" si="20"/>
        <v>36</v>
      </c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 t="s">
        <v>970</v>
      </c>
      <c r="L89" s="13" t="s">
        <v>12</v>
      </c>
      <c r="M89" s="13"/>
      <c r="N89" s="233">
        <f t="shared" si="22"/>
        <v>0</v>
      </c>
      <c r="O89" s="13"/>
      <c r="P89" s="39">
        <f t="shared" si="20"/>
        <v>0</v>
      </c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2">
        <v>46323</v>
      </c>
      <c r="L90" s="13" t="s">
        <v>978</v>
      </c>
      <c r="M90" s="13">
        <v>7</v>
      </c>
      <c r="N90" s="233">
        <f t="shared" si="22"/>
        <v>84</v>
      </c>
      <c r="O90" s="13"/>
      <c r="P90" s="39">
        <f t="shared" si="20"/>
        <v>84</v>
      </c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2">
        <v>46324</v>
      </c>
      <c r="L91" s="13" t="s">
        <v>12</v>
      </c>
      <c r="M91" s="13">
        <v>4</v>
      </c>
      <c r="N91" s="233">
        <f t="shared" si="22"/>
        <v>48</v>
      </c>
      <c r="O91" s="13"/>
      <c r="P91" s="13">
        <f t="shared" si="20"/>
        <v>48</v>
      </c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2">
        <v>46324</v>
      </c>
      <c r="L92" s="13" t="s">
        <v>978</v>
      </c>
      <c r="M92" s="13">
        <v>7</v>
      </c>
      <c r="N92" s="233">
        <f t="shared" si="22"/>
        <v>84</v>
      </c>
      <c r="O92" s="13"/>
      <c r="P92" s="13">
        <f t="shared" si="20"/>
        <v>84</v>
      </c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2">
        <v>46325</v>
      </c>
      <c r="L93" s="13" t="s">
        <v>12</v>
      </c>
      <c r="M93" s="13">
        <v>4</v>
      </c>
      <c r="N93" s="233">
        <f t="shared" si="22"/>
        <v>48</v>
      </c>
      <c r="O93" s="13"/>
      <c r="P93" s="13">
        <f t="shared" si="20"/>
        <v>48</v>
      </c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2">
        <v>46325</v>
      </c>
      <c r="L94" s="13" t="s">
        <v>978</v>
      </c>
      <c r="M94" s="13">
        <v>3</v>
      </c>
      <c r="N94" s="233">
        <f t="shared" si="22"/>
        <v>36</v>
      </c>
      <c r="O94" s="13"/>
      <c r="P94" s="13">
        <f t="shared" si="20"/>
        <v>36</v>
      </c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2">
        <v>46326</v>
      </c>
      <c r="L95" s="13" t="s">
        <v>12</v>
      </c>
      <c r="M95" s="13">
        <v>9</v>
      </c>
      <c r="N95" s="233">
        <f t="shared" si="22"/>
        <v>108</v>
      </c>
      <c r="O95" s="13"/>
      <c r="P95" s="13">
        <f t="shared" si="20"/>
        <v>108</v>
      </c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6" zoomScale="87" zoomScaleNormal="55" workbookViewId="0">
      <selection activeCell="A8" sqref="A8:XFD33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842" t="s">
        <v>662</v>
      </c>
      <c r="C2" s="1843"/>
      <c r="D2" s="1843"/>
      <c r="E2" s="1843"/>
      <c r="F2" s="1843"/>
      <c r="G2" s="1843"/>
      <c r="H2" s="1843"/>
      <c r="I2" s="1843"/>
      <c r="J2" s="1843"/>
      <c r="K2" s="1843"/>
      <c r="L2" s="1843"/>
      <c r="M2" s="1844"/>
      <c r="AE2" s="935">
        <v>2</v>
      </c>
      <c r="AF2" s="6">
        <v>7.5999999999999998E-2</v>
      </c>
    </row>
    <row r="3" spans="2:32" ht="15" thickBot="1" x14ac:dyDescent="0.35">
      <c r="B3" s="1842" t="s">
        <v>197</v>
      </c>
      <c r="C3" s="1843"/>
      <c r="D3" s="1843"/>
      <c r="E3" s="1843"/>
      <c r="F3" s="1843"/>
      <c r="G3" s="1843"/>
      <c r="H3" s="1843"/>
      <c r="I3" s="1843"/>
      <c r="J3" s="1843"/>
      <c r="K3" s="1843"/>
      <c r="L3" s="1843"/>
      <c r="M3" s="1844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5" t="s">
        <v>70</v>
      </c>
      <c r="C7" s="1115" t="s">
        <v>0</v>
      </c>
      <c r="D7" s="1116" t="s">
        <v>178</v>
      </c>
      <c r="E7" s="1116" t="s">
        <v>179</v>
      </c>
      <c r="F7" s="1116" t="s">
        <v>180</v>
      </c>
      <c r="G7" s="1116" t="s">
        <v>181</v>
      </c>
      <c r="H7" s="1116" t="s">
        <v>182</v>
      </c>
      <c r="I7" s="1116" t="s">
        <v>183</v>
      </c>
      <c r="J7" s="1116" t="s">
        <v>660</v>
      </c>
      <c r="K7" s="1116" t="s">
        <v>369</v>
      </c>
      <c r="L7" s="1116" t="s">
        <v>185</v>
      </c>
      <c r="M7" s="1116" t="s">
        <v>195</v>
      </c>
      <c r="Q7" s="1592" t="s">
        <v>335</v>
      </c>
      <c r="R7" s="1592"/>
      <c r="S7" s="1592"/>
      <c r="T7" s="1592"/>
      <c r="U7" s="1592"/>
      <c r="V7" s="1592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0.70167656765676556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0.59299999999999997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4.1970547073953479E-2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>I14*G14</f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0.10867656765676559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8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1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845"/>
      <c r="AI42" s="1580"/>
      <c r="AJ42" s="1580"/>
      <c r="AK42" s="1580"/>
      <c r="AL42" s="1580"/>
      <c r="AM42" s="1846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6"/>
      <c r="O43" s="1111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7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7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847" t="s">
        <v>420</v>
      </c>
      <c r="C114" s="1847"/>
      <c r="D114" s="1847"/>
      <c r="E114" s="1847"/>
      <c r="F114" s="1847"/>
      <c r="G114" s="1847"/>
      <c r="H114" s="1847"/>
      <c r="I114" s="1847"/>
      <c r="J114" s="1847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847"/>
      <c r="C115" s="1847"/>
      <c r="D115" s="1847"/>
      <c r="E115" s="1847"/>
      <c r="F115" s="1847"/>
      <c r="G115" s="1847"/>
      <c r="H115" s="1847"/>
      <c r="I115" s="1847"/>
      <c r="J115" s="1847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19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 t="s">
        <v>670</v>
      </c>
      <c r="S311" s="62">
        <v>46321</v>
      </c>
      <c r="T311" s="6">
        <v>0.22</v>
      </c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 t="s">
        <v>671</v>
      </c>
      <c r="S312" s="62">
        <v>46321</v>
      </c>
      <c r="T312" s="6">
        <v>4.9000000000000002E-2</v>
      </c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 t="s">
        <v>743</v>
      </c>
      <c r="S313" s="62">
        <v>46321</v>
      </c>
      <c r="T313" s="6">
        <v>6.2E-2</v>
      </c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 t="s">
        <v>672</v>
      </c>
      <c r="S314" s="62">
        <v>46321</v>
      </c>
      <c r="T314" s="6">
        <v>0.38900000000000001</v>
      </c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 t="s">
        <v>673</v>
      </c>
      <c r="S315" s="62">
        <v>46321</v>
      </c>
      <c r="T315" s="6">
        <v>0.17599999999999999</v>
      </c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 t="s">
        <v>674</v>
      </c>
      <c r="S316" s="62">
        <v>46321</v>
      </c>
      <c r="T316" s="6">
        <v>0.375</v>
      </c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 t="s">
        <v>675</v>
      </c>
      <c r="S317" s="62">
        <v>46321</v>
      </c>
      <c r="T317" s="6">
        <v>0.38700000000000001</v>
      </c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 t="s">
        <v>676</v>
      </c>
      <c r="S318" s="62">
        <v>46321</v>
      </c>
      <c r="T318" s="6">
        <v>1.1479999999999999</v>
      </c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22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6" t="s">
        <v>712</v>
      </c>
      <c r="C8" s="1126">
        <v>1</v>
      </c>
      <c r="D8" s="1126"/>
      <c r="E8" s="1126">
        <v>20</v>
      </c>
      <c r="F8" s="1126">
        <v>1.3</v>
      </c>
      <c r="G8" s="1127">
        <f t="shared" si="0"/>
        <v>26</v>
      </c>
      <c r="H8" s="1126">
        <v>0.92100000000000004</v>
      </c>
      <c r="I8" s="1127">
        <f t="shared" si="1"/>
        <v>23.946000000000002</v>
      </c>
    </row>
    <row r="9" spans="1:12" x14ac:dyDescent="0.3">
      <c r="A9" s="1">
        <v>2</v>
      </c>
      <c r="B9" s="1126" t="s">
        <v>712</v>
      </c>
      <c r="C9" s="1126">
        <v>1</v>
      </c>
      <c r="D9" s="1126"/>
      <c r="E9" s="1126">
        <v>132</v>
      </c>
      <c r="F9" s="1126">
        <v>1.3</v>
      </c>
      <c r="G9" s="1127">
        <f t="shared" si="0"/>
        <v>171.6</v>
      </c>
      <c r="H9" s="1126">
        <v>0.92100000000000004</v>
      </c>
      <c r="I9" s="1127">
        <f t="shared" si="1"/>
        <v>158.0436</v>
      </c>
      <c r="K9" s="10"/>
    </row>
    <row r="10" spans="1:12" x14ac:dyDescent="0.3">
      <c r="A10" s="1">
        <v>3</v>
      </c>
      <c r="B10" s="1123" t="s">
        <v>713</v>
      </c>
      <c r="C10" s="1123">
        <v>1</v>
      </c>
      <c r="D10" s="1123"/>
      <c r="E10" s="1123">
        <v>31</v>
      </c>
      <c r="F10" s="1123">
        <v>1.3</v>
      </c>
      <c r="G10" s="459">
        <f t="shared" si="0"/>
        <v>40.300000000000004</v>
      </c>
      <c r="H10" s="1123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6" t="s">
        <v>715</v>
      </c>
      <c r="C12" s="1126">
        <v>1</v>
      </c>
      <c r="D12" s="1126"/>
      <c r="E12" s="1126">
        <v>24</v>
      </c>
      <c r="F12" s="1126">
        <v>1.3</v>
      </c>
      <c r="G12" s="1127">
        <f t="shared" si="0"/>
        <v>31.200000000000003</v>
      </c>
      <c r="H12" s="1126">
        <v>0.88700000000000001</v>
      </c>
      <c r="I12" s="1127">
        <f t="shared" si="1"/>
        <v>27.674400000000002</v>
      </c>
    </row>
    <row r="13" spans="1:12" x14ac:dyDescent="0.3">
      <c r="A13" s="1">
        <v>6</v>
      </c>
      <c r="B13" s="1126" t="s">
        <v>715</v>
      </c>
      <c r="C13" s="1126">
        <v>1</v>
      </c>
      <c r="D13" s="1126"/>
      <c r="E13" s="1126">
        <v>54</v>
      </c>
      <c r="F13" s="1126">
        <v>1.3</v>
      </c>
      <c r="G13" s="1127">
        <f t="shared" si="0"/>
        <v>70.2</v>
      </c>
      <c r="H13" s="1126">
        <v>0.88700000000000001</v>
      </c>
      <c r="I13" s="1127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3" t="s">
        <v>722</v>
      </c>
      <c r="C17" s="1123">
        <v>1</v>
      </c>
      <c r="D17" s="1123"/>
      <c r="E17" s="1123">
        <v>476</v>
      </c>
      <c r="F17" s="1123">
        <v>1.3</v>
      </c>
      <c r="G17" s="459">
        <f t="shared" si="0"/>
        <v>618.80000000000007</v>
      </c>
      <c r="H17" s="1123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4"/>
    </row>
    <row r="28" spans="1:9" x14ac:dyDescent="0.3">
      <c r="B28" s="6"/>
      <c r="C28" s="6"/>
      <c r="D28" s="6" t="s">
        <v>729</v>
      </c>
      <c r="E28" s="6" t="s">
        <v>733</v>
      </c>
      <c r="F28" s="1125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5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82"/>
  <sheetViews>
    <sheetView tabSelected="1" topLeftCell="O1" zoomScale="77" zoomScaleNormal="50" workbookViewId="0">
      <pane ySplit="4" topLeftCell="A130" activePane="bottomLeft" state="frozen"/>
      <selection pane="bottomLeft" activeCell="Q151" sqref="Q151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580" t="s">
        <v>32</v>
      </c>
      <c r="I2" s="1580"/>
      <c r="J2" s="1580"/>
      <c r="K2" s="1580"/>
    </row>
    <row r="3" spans="1:92" ht="15" thickBot="1" x14ac:dyDescent="0.35"/>
    <row r="4" spans="1:92" ht="29.4" thickBot="1" x14ac:dyDescent="0.35">
      <c r="A4" s="585" t="s">
        <v>542</v>
      </c>
      <c r="B4" s="1581" t="s">
        <v>0</v>
      </c>
      <c r="C4" s="1582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574">
        <v>1</v>
      </c>
      <c r="B5" s="1568">
        <v>46265</v>
      </c>
      <c r="C5" s="1568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540">
        <f>SUM(M5:M6)</f>
        <v>95.90021999999999</v>
      </c>
      <c r="O5" s="553">
        <f t="shared" ref="O5:O11" si="1">M5/((720-R5)/60)</f>
        <v>2.8865657961661344</v>
      </c>
      <c r="P5" s="1540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52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528" t="s">
        <v>38</v>
      </c>
      <c r="AH5" s="1529"/>
      <c r="AI5" s="1529"/>
      <c r="AJ5" s="1530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574"/>
      <c r="B6" s="1568"/>
      <c r="C6" s="1568"/>
      <c r="D6" s="741" t="s">
        <v>439</v>
      </c>
      <c r="E6" s="741" t="s">
        <v>437</v>
      </c>
      <c r="F6" s="863" t="s">
        <v>13</v>
      </c>
      <c r="G6" s="812">
        <v>0.36</v>
      </c>
      <c r="H6" s="1093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540"/>
      <c r="O6" s="553">
        <f t="shared" si="1"/>
        <v>5.4819764049999984</v>
      </c>
      <c r="P6" s="1540"/>
      <c r="Q6" s="553">
        <f t="shared" si="2"/>
        <v>720</v>
      </c>
      <c r="R6" s="553">
        <f>'Milling Down Time Hours'!G6</f>
        <v>0</v>
      </c>
      <c r="S6" s="1552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1180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574"/>
      <c r="B7" s="1568">
        <v>46266</v>
      </c>
      <c r="C7" s="1568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540">
        <f>SUM(M7:M8)</f>
        <v>196.41338000000002</v>
      </c>
      <c r="O7" s="553">
        <f t="shared" si="1"/>
        <v>6.5721821250000003</v>
      </c>
      <c r="P7" s="1540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52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574"/>
      <c r="B8" s="1568"/>
      <c r="C8" s="1568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540"/>
      <c r="O8" s="553">
        <f t="shared" si="1"/>
        <v>10.78414628440367</v>
      </c>
      <c r="P8" s="1540"/>
      <c r="Q8" s="553">
        <f t="shared" si="2"/>
        <v>654</v>
      </c>
      <c r="R8" s="553">
        <f>'Milling Down Time Hours'!G8</f>
        <v>66</v>
      </c>
      <c r="S8" s="1552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1.18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573">
        <v>2</v>
      </c>
      <c r="B9" s="1566">
        <v>46267</v>
      </c>
      <c r="C9" s="1566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5">
        <v>1.26</v>
      </c>
      <c r="L9" s="875">
        <v>0.72</v>
      </c>
      <c r="M9" s="485">
        <f>J9*K9*G9</f>
        <v>105.651</v>
      </c>
      <c r="N9" s="1545">
        <f>SUM(M9:M10)</f>
        <v>209.804</v>
      </c>
      <c r="O9" s="485">
        <f t="shared" si="1"/>
        <v>10.565099999999999</v>
      </c>
      <c r="P9" s="1545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542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573"/>
      <c r="B10" s="1566"/>
      <c r="C10" s="1566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5">
        <v>1.27</v>
      </c>
      <c r="L10" s="875">
        <v>0.72</v>
      </c>
      <c r="M10" s="485">
        <f>K10*J10*G10-SUM(M9)</f>
        <v>104.15300000000001</v>
      </c>
      <c r="N10" s="1545"/>
      <c r="O10" s="485">
        <f t="shared" si="1"/>
        <v>8.6794166666666666</v>
      </c>
      <c r="P10" s="1545"/>
      <c r="Q10" s="485">
        <f t="shared" si="2"/>
        <v>720</v>
      </c>
      <c r="R10" s="931">
        <f>'Milling Down Time Hours'!G10</f>
        <v>0</v>
      </c>
      <c r="S10" s="1542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573"/>
      <c r="B11" s="1566">
        <v>46268</v>
      </c>
      <c r="C11" s="1566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5">
        <v>1.2949999999999999</v>
      </c>
      <c r="L11" s="875">
        <v>0.71</v>
      </c>
      <c r="M11" s="485">
        <f>J11*K11*G11-SUM(M9:M10)</f>
        <v>90.338150000000013</v>
      </c>
      <c r="N11" s="1545">
        <f>SUM(M11:M12)</f>
        <v>90.338150000000013</v>
      </c>
      <c r="O11" s="485">
        <f t="shared" si="1"/>
        <v>7.5281791666666678</v>
      </c>
      <c r="P11" s="1545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542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0.29121725731895215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573"/>
      <c r="B12" s="1567"/>
      <c r="C12" s="1567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546"/>
      <c r="O12" s="554"/>
      <c r="P12" s="1546"/>
      <c r="Q12" s="554">
        <f t="shared" si="2"/>
        <v>660</v>
      </c>
      <c r="R12" s="957">
        <f>'Milling Down Time Hours'!G12</f>
        <v>60.000000000000007</v>
      </c>
      <c r="S12" s="1537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343.63636363636351</v>
      </c>
      <c r="AJ12" s="726" t="s">
        <v>40</v>
      </c>
      <c r="AK12" s="7"/>
      <c r="AL12" s="1107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589"/>
      <c r="B13" s="1575">
        <v>46269</v>
      </c>
      <c r="C13" s="1576"/>
      <c r="D13" s="1587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43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836.36363636363649</v>
      </c>
      <c r="AJ13" s="726" t="s">
        <v>40</v>
      </c>
      <c r="AK13" s="7"/>
      <c r="AL13" s="1193">
        <f>1.2*9</f>
        <v>10.799999999999999</v>
      </c>
    </row>
    <row r="14" spans="1:92" ht="16.2" thickBot="1" x14ac:dyDescent="0.35">
      <c r="A14" s="1589"/>
      <c r="B14" s="1577"/>
      <c r="C14" s="1578"/>
      <c r="D14" s="1588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44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7"/>
    </row>
    <row r="15" spans="1:92" ht="28.8" x14ac:dyDescent="0.3">
      <c r="A15" s="1226"/>
      <c r="B15" s="1569">
        <v>46270</v>
      </c>
      <c r="C15" s="1569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7"/>
      <c r="AM15" s="1107"/>
    </row>
    <row r="16" spans="1:92" x14ac:dyDescent="0.3">
      <c r="A16" s="1574">
        <v>3</v>
      </c>
      <c r="B16" s="1568">
        <v>46270</v>
      </c>
      <c r="C16" s="1568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52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574"/>
      <c r="B17" s="1568">
        <v>46271</v>
      </c>
      <c r="C17" s="1568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540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70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574"/>
      <c r="B18" s="1568"/>
      <c r="C18" s="1568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540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70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574"/>
      <c r="B19" s="1568">
        <v>46272</v>
      </c>
      <c r="C19" s="1568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571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70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573">
        <v>4</v>
      </c>
      <c r="B20" s="1566">
        <v>46272</v>
      </c>
      <c r="C20" s="1566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541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542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573"/>
      <c r="B21" s="1566">
        <v>46273</v>
      </c>
      <c r="C21" s="1566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545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542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573"/>
      <c r="B22" s="1566"/>
      <c r="C22" s="1566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572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542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573"/>
      <c r="B23" s="1566">
        <v>46274</v>
      </c>
      <c r="C23" s="1566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542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6"/>
      <c r="B24" s="1553">
        <v>46274</v>
      </c>
      <c r="C24" s="1553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574">
        <v>5</v>
      </c>
      <c r="B25" s="1568">
        <v>46275</v>
      </c>
      <c r="C25" s="1568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540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52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574"/>
      <c r="B26" s="1568"/>
      <c r="C26" s="1568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541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52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574"/>
      <c r="B27" s="1568">
        <v>46276</v>
      </c>
      <c r="C27" s="1568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540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52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5"/>
      <c r="B28" s="1566">
        <v>46276</v>
      </c>
      <c r="C28" s="1566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540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542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573">
        <v>6</v>
      </c>
      <c r="B29" s="1566">
        <v>46276</v>
      </c>
      <c r="C29" s="1566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542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573"/>
      <c r="B30" s="1566">
        <v>46277</v>
      </c>
      <c r="C30" s="1566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545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542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573"/>
      <c r="B31" s="1566"/>
      <c r="C31" s="1566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545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542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583"/>
      <c r="B32" s="1553">
        <v>46278</v>
      </c>
      <c r="C32" s="1553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584"/>
      <c r="B33" s="1553">
        <v>46278</v>
      </c>
      <c r="C33" s="1553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7"/>
      <c r="B34" s="1558">
        <v>46279</v>
      </c>
      <c r="C34" s="1559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586">
        <v>7</v>
      </c>
      <c r="B35" s="1560">
        <v>46279</v>
      </c>
      <c r="C35" s="1561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63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586"/>
      <c r="B36" s="1554">
        <v>46280</v>
      </c>
      <c r="C36" s="1555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540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64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586"/>
      <c r="B37" s="1556"/>
      <c r="C37" s="1557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540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65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585">
        <v>8</v>
      </c>
      <c r="B38" s="1547">
        <v>46281</v>
      </c>
      <c r="C38" s="1548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537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537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585"/>
      <c r="B39" s="1549"/>
      <c r="C39" s="1550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539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38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585"/>
      <c r="B40" s="1547">
        <v>46282</v>
      </c>
      <c r="C40" s="1548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546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538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585"/>
      <c r="B41" s="1549"/>
      <c r="C41" s="1550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562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539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579">
        <v>9</v>
      </c>
      <c r="B42" s="1497">
        <v>46283</v>
      </c>
      <c r="C42" s="1498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492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492">
        <f>SUM(M42:M45)</f>
        <v>472.85193585999997</v>
      </c>
      <c r="T42" s="997">
        <f>AVERAGE('LF Ball Mill'!F88:F90)</f>
        <v>0.7679999999999999</v>
      </c>
      <c r="U42" s="997">
        <f>AVERAGE('LF Ball Mill'!G88:G90)</f>
        <v>0.53666666666666674</v>
      </c>
      <c r="V42" s="997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579"/>
      <c r="B43" s="1499"/>
      <c r="C43" s="1500"/>
      <c r="D43" s="982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551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490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579"/>
      <c r="B44" s="1497">
        <v>46284</v>
      </c>
      <c r="C44" s="1498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492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490"/>
      <c r="T44" s="997">
        <f>AVERAGE('LF Ball Mill'!F94:F96)</f>
        <v>0.59099999999999997</v>
      </c>
      <c r="U44" s="997">
        <f>AVERAGE('LF Ball Mill'!G94:G96)</f>
        <v>0.96666666666666679</v>
      </c>
      <c r="V44" s="997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579"/>
      <c r="B45" s="1499"/>
      <c r="C45" s="1500"/>
      <c r="D45" s="982" t="s">
        <v>645</v>
      </c>
      <c r="E45" s="1034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551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491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471">
        <v>10</v>
      </c>
      <c r="B46" s="1479">
        <v>46285</v>
      </c>
      <c r="C46" s="1480"/>
      <c r="D46" s="451" t="s">
        <v>506</v>
      </c>
      <c r="E46" s="451" t="s">
        <v>653</v>
      </c>
      <c r="F46" s="1029" t="s">
        <v>12</v>
      </c>
      <c r="G46" s="450" t="s">
        <v>682</v>
      </c>
      <c r="H46" s="931" t="s">
        <v>683</v>
      </c>
      <c r="I46" s="931" t="s">
        <v>684</v>
      </c>
      <c r="J46" s="1078" t="s">
        <v>685</v>
      </c>
      <c r="K46" s="450" t="s">
        <v>686</v>
      </c>
      <c r="L46" s="934" t="s">
        <v>687</v>
      </c>
      <c r="M46" s="1030" t="s">
        <v>688</v>
      </c>
      <c r="N46" s="1081" t="s">
        <v>691</v>
      </c>
      <c r="O46" s="1031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2"/>
      <c r="U46" s="1032"/>
      <c r="V46" s="1033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471"/>
      <c r="B47" s="1481"/>
      <c r="C47" s="1482"/>
      <c r="D47" s="1053" t="s">
        <v>507</v>
      </c>
      <c r="E47" s="1053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471"/>
      <c r="B48" s="1479">
        <v>46286</v>
      </c>
      <c r="C48" s="1480"/>
      <c r="D48" s="451" t="s">
        <v>506</v>
      </c>
      <c r="E48" s="451" t="s">
        <v>661</v>
      </c>
      <c r="F48" s="1029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0">
        <f>(J48*K48*G48)-'Au Cal Leaching Tank'!$U$17</f>
        <v>14.721287594999986</v>
      </c>
      <c r="N48" s="1460">
        <f>SUM(M48:M49)</f>
        <v>95.832260473499986</v>
      </c>
      <c r="O48" s="1031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460">
        <f>SUM(M48:M54)</f>
        <v>389.3044488509999</v>
      </c>
      <c r="T48" s="1076">
        <f>AVERAGE('LF Ball Mill'!F100:F102)</f>
        <v>0.9860000000000001</v>
      </c>
      <c r="U48" s="1076">
        <f>AVERAGE('LF Ball Mill'!G100:G102)</f>
        <v>1.99</v>
      </c>
      <c r="V48" s="1076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71"/>
      <c r="B49" s="1481"/>
      <c r="C49" s="1482"/>
      <c r="D49" s="1071" t="s">
        <v>539</v>
      </c>
      <c r="E49" s="1077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0">
        <f>(J49*K49*G49)-'Au Cal Leaching Tank'!$U$17-SUM(M48)</f>
        <v>81.110972878500007</v>
      </c>
      <c r="N49" s="1502"/>
      <c r="O49" s="1031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469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71"/>
      <c r="B50" s="1479">
        <v>46287</v>
      </c>
      <c r="C50" s="1480"/>
      <c r="D50" s="451" t="s">
        <v>680</v>
      </c>
      <c r="E50" s="451" t="s">
        <v>681</v>
      </c>
      <c r="F50" s="1029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0">
        <f>(J50*K50*G50)-'Au Cal Leaching Tank'!$U$17-SUM(M48:M49)</f>
        <v>96.836340388999986</v>
      </c>
      <c r="N50" s="1460">
        <f>SUM(M50:M51)</f>
        <v>182.93176135649995</v>
      </c>
      <c r="O50" s="1031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469"/>
      <c r="T50" s="1101">
        <f>AVERAGE('LF Ball Mill'!F106:F108)</f>
        <v>0.82600000000000007</v>
      </c>
      <c r="U50" s="1101">
        <f>AVERAGE('LF Ball Mill'!G106:G108)</f>
        <v>1.1100000000000001</v>
      </c>
      <c r="V50" s="1101">
        <f>AVERAGE('LF Ball Mill'!H106:H108)</f>
        <v>19.606666666666669</v>
      </c>
      <c r="W50" s="1087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471"/>
      <c r="B51" s="1481"/>
      <c r="C51" s="1482"/>
      <c r="D51" s="1084" t="s">
        <v>507</v>
      </c>
      <c r="E51" s="1084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0">
        <f>(J51*K51*G51)-'Au Cal Leaching Tank'!$U$17-SUM(M48:M50)</f>
        <v>86.095420967499962</v>
      </c>
      <c r="N51" s="1502"/>
      <c r="O51" s="1031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469"/>
      <c r="T51" s="1113">
        <f>AVERAGE('LF Ball Mill'!F109:F111)</f>
        <v>0.749</v>
      </c>
      <c r="U51" s="1113">
        <f>AVERAGE('LF Ball Mill'!G109:G111)</f>
        <v>1.0666666666666667</v>
      </c>
      <c r="V51" s="1113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471"/>
      <c r="B52" s="1479">
        <v>46288</v>
      </c>
      <c r="C52" s="1480"/>
      <c r="D52" s="451" t="s">
        <v>506</v>
      </c>
      <c r="E52" s="451" t="s">
        <v>697</v>
      </c>
      <c r="F52" s="1029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0">
        <f>(J52*K52*G52)-'Au Cal Leaching Tank'!$U$17-SUM(M48:M51)</f>
        <v>46.607195997000019</v>
      </c>
      <c r="N52" s="1460">
        <f>SUM(M52:M53)</f>
        <v>69.643866285000001</v>
      </c>
      <c r="O52" s="1031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469"/>
      <c r="T52" s="1114">
        <f>AVERAGE('LF Ball Mill'!F112:F114)</f>
        <v>1.0543333333333333</v>
      </c>
      <c r="U52" s="1114">
        <f>AVERAGE('LF Ball Mill'!G112:G114)</f>
        <v>0.93333333333333324</v>
      </c>
      <c r="V52" s="1114">
        <f>AVERAGE('LF Ball Mill'!H112:H114)</f>
        <v>18.046666666666667</v>
      </c>
      <c r="W52" s="1088">
        <f t="shared" si="33"/>
        <v>49.139520312837021</v>
      </c>
      <c r="X52" s="1031">
        <f t="shared" si="34"/>
        <v>43.500049597200011</v>
      </c>
      <c r="Y52" s="1031">
        <f t="shared" si="35"/>
        <v>841.10453042586039</v>
      </c>
      <c r="Z52" s="1089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471"/>
      <c r="B53" s="1481"/>
      <c r="C53" s="1482"/>
      <c r="D53" s="1096" t="s">
        <v>507</v>
      </c>
      <c r="E53" s="1100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0">
        <f>(J53*K53*G53)-'Au Cal Leaching Tank'!$U$17-SUM(M48:M52)</f>
        <v>23.036670287999982</v>
      </c>
      <c r="N53" s="1502"/>
      <c r="O53" s="1031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469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7"/>
      <c r="B54" s="1511">
        <v>46289</v>
      </c>
      <c r="C54" s="1512"/>
      <c r="D54" s="451" t="s">
        <v>506</v>
      </c>
      <c r="E54" s="451" t="s">
        <v>701</v>
      </c>
      <c r="F54" s="1029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0">
        <f>(J54*K54*G54)-'Au Cal Leaching Tank'!$U$17-SUM(M48:M53)</f>
        <v>40.896560735999969</v>
      </c>
      <c r="N54" s="1460">
        <f>SUM(M54:M56)</f>
        <v>299.60957198599993</v>
      </c>
      <c r="O54" s="1460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461"/>
      <c r="T54" s="1076">
        <f>AVERAGE('LF Ball Mill'!F118:F120)</f>
        <v>0.87766666666666671</v>
      </c>
      <c r="U54" s="1076">
        <f>AVERAGE('LF Ball Mill'!G118:G120)</f>
        <v>1.0133333333333334</v>
      </c>
      <c r="V54" s="1076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7"/>
      <c r="B55" s="1590"/>
      <c r="C55" s="1591"/>
      <c r="D55" s="667" t="s">
        <v>506</v>
      </c>
      <c r="E55" s="667" t="s">
        <v>746</v>
      </c>
      <c r="F55" s="1140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469"/>
      <c r="O55" s="1469"/>
      <c r="P55" s="962"/>
      <c r="Q55" s="962"/>
      <c r="R55" s="962"/>
      <c r="S55" s="1141"/>
      <c r="T55" s="1142">
        <f>T54</f>
        <v>0.87766666666666671</v>
      </c>
      <c r="U55" s="1142">
        <f t="shared" ref="U55:V55" si="41">U54</f>
        <v>1.0133333333333334</v>
      </c>
      <c r="V55" s="1142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579">
        <v>11</v>
      </c>
      <c r="B56" s="1526"/>
      <c r="C56" s="1527"/>
      <c r="D56" s="1112" t="s">
        <v>539</v>
      </c>
      <c r="E56" s="1118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7">
        <v>1.25</v>
      </c>
      <c r="L56" s="959">
        <v>0.77</v>
      </c>
      <c r="M56" s="961">
        <f>(J56*G56*K56)-'Au Cal Leaching Tank'!$U$18-SUM(M55)</f>
        <v>182.48508434600001</v>
      </c>
      <c r="N56" s="1502"/>
      <c r="O56" s="1461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492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579"/>
      <c r="B57" s="1497">
        <v>46290</v>
      </c>
      <c r="C57" s="1498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492">
        <f>SUM(M57:M58)</f>
        <v>91.946260682499883</v>
      </c>
      <c r="O57" s="1102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490"/>
      <c r="T57" s="997">
        <f>AVERAGE('LF Ball Mill'!F124:F126)</f>
        <v>0.73</v>
      </c>
      <c r="U57" s="997">
        <f>AVERAGE('LF Ball Mill'!G124:G126)</f>
        <v>1.2166666666666668</v>
      </c>
      <c r="V57" s="997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579"/>
      <c r="B58" s="1499"/>
      <c r="C58" s="1500"/>
      <c r="D58" s="1112" t="s">
        <v>539</v>
      </c>
      <c r="E58" s="1132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551"/>
      <c r="O58" s="1102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491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471">
        <v>12</v>
      </c>
      <c r="B59" s="1479">
        <v>46291</v>
      </c>
      <c r="C59" s="1480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2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7">
        <f>T58</f>
        <v>0.73</v>
      </c>
      <c r="U59" s="997">
        <f t="shared" si="47"/>
        <v>1.2166666666666668</v>
      </c>
      <c r="V59" s="997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471"/>
      <c r="B60" s="1481"/>
      <c r="C60" s="1482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0">
        <f t="shared" si="7"/>
        <v>0</v>
      </c>
      <c r="N60" s="450"/>
      <c r="O60" s="1133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4"/>
      <c r="U60" s="1134"/>
      <c r="V60" s="1135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471"/>
      <c r="B61" s="1479">
        <v>46292</v>
      </c>
      <c r="C61" s="1480"/>
      <c r="D61" s="451" t="s">
        <v>506</v>
      </c>
      <c r="E61" s="451" t="s">
        <v>751</v>
      </c>
      <c r="F61" s="1029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0">
        <f>(J61*K61*G61)-'Au Cal Leaching Tank'!$U$19</f>
        <v>5.6980067479999974</v>
      </c>
      <c r="N61" s="1460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519">
        <f>SUM(M61:M65)</f>
        <v>385.05530941200004</v>
      </c>
      <c r="T61" s="1076">
        <f>AVERAGE('LF Ball Mill'!F130:F132)</f>
        <v>0.52033333333333331</v>
      </c>
      <c r="U61" s="1076">
        <f>AVERAGE('LF Ball Mill'!G130:G132)</f>
        <v>1.1033333333333333</v>
      </c>
      <c r="V61" s="1076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471"/>
      <c r="B62" s="1481"/>
      <c r="C62" s="1482"/>
      <c r="D62" s="1162" t="s">
        <v>506</v>
      </c>
      <c r="E62" s="1162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0">
        <f>(J62*K62*G62)-'Au Cal Leaching Tank'!$U$19-SUM(M61)</f>
        <v>94.833933186999971</v>
      </c>
      <c r="N62" s="1502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520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471"/>
      <c r="B63" s="1479">
        <v>46293</v>
      </c>
      <c r="C63" s="1480"/>
      <c r="D63" s="451" t="s">
        <v>539</v>
      </c>
      <c r="E63" s="451" t="s">
        <v>753</v>
      </c>
      <c r="F63" s="1029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0">
        <f>(J63*K63*G63)-'Au Cal Leaching Tank'!$U$19-SUM(M61:M62)</f>
        <v>81.251177332500021</v>
      </c>
      <c r="N63" s="1460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520"/>
      <c r="T63" s="1076">
        <f>AVERAGE('LF Ball Mill'!F136:F138)</f>
        <v>0.58499999999999996</v>
      </c>
      <c r="U63" s="1076">
        <f>AVERAGE('LF Ball Mill'!G136:G138)</f>
        <v>1.0999999999999999</v>
      </c>
      <c r="V63" s="1076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471"/>
      <c r="B64" s="1481"/>
      <c r="C64" s="1482"/>
      <c r="D64" s="1163" t="s">
        <v>754</v>
      </c>
      <c r="E64" s="1163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0">
        <f>(J64*K64*G64)-'Au Cal Leaching Tank'!$U$19-SUM(M61:M63)</f>
        <v>77.38207364999991</v>
      </c>
      <c r="N64" s="1502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520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8"/>
      <c r="B65" s="1497">
        <v>46294</v>
      </c>
      <c r="C65" s="1498"/>
      <c r="D65" s="451" t="s">
        <v>540</v>
      </c>
      <c r="E65" s="451" t="s">
        <v>758</v>
      </c>
      <c r="F65" s="1029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0">
        <f>(J65*K65*G65)-'Au Cal Leaching Tank'!$U$19-SUM(M61:M64)</f>
        <v>125.89011849450014</v>
      </c>
      <c r="N65" s="1492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521"/>
      <c r="T65" s="1076">
        <f>AVERAGE('LF Ball Mill'!F142:F147)</f>
        <v>0.5481666666666668</v>
      </c>
      <c r="U65" s="1076">
        <f>AVERAGE('LF Ball Mill'!G142:G147)</f>
        <v>1.1816666666666669</v>
      </c>
      <c r="V65" s="1076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8"/>
      <c r="B66" s="1499"/>
      <c r="C66" s="1500"/>
      <c r="D66" s="966"/>
      <c r="E66" s="1179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491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7"/>
      <c r="U66" s="1177"/>
      <c r="V66" s="1178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7"/>
      <c r="B67" s="1511">
        <v>46295</v>
      </c>
      <c r="C67" s="1512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4"/>
      <c r="U67" s="984"/>
      <c r="V67" s="988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7"/>
      <c r="B68" s="1526"/>
      <c r="C68" s="1527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524">
        <f>'Milling Down Time Hours'!L73</f>
        <v>0.99305555555555569</v>
      </c>
      <c r="S68" s="13"/>
      <c r="T68" s="983"/>
      <c r="U68" s="983"/>
      <c r="V68" s="987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7"/>
      <c r="B69" s="1511">
        <v>46296</v>
      </c>
      <c r="C69" s="1512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525"/>
      <c r="S69" s="13"/>
      <c r="T69" s="984"/>
      <c r="U69" s="984"/>
      <c r="V69" s="988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7"/>
      <c r="B70" s="1526"/>
      <c r="C70" s="1527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524">
        <f>'Milling Down Time Hours'!L75</f>
        <v>0.5</v>
      </c>
      <c r="S70" s="13"/>
      <c r="T70" s="983"/>
      <c r="U70" s="983"/>
      <c r="V70" s="985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7"/>
      <c r="B71" s="1511">
        <v>46297</v>
      </c>
      <c r="C71" s="1512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525"/>
      <c r="S71" s="13"/>
      <c r="T71" s="984"/>
      <c r="U71" s="984"/>
      <c r="V71" s="986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7"/>
      <c r="B72" s="1526"/>
      <c r="C72" s="1527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524">
        <f>'Milling Down Time Hours'!L77</f>
        <v>0.16666666666666666</v>
      </c>
      <c r="S72" s="13"/>
      <c r="T72" s="983"/>
      <c r="U72" s="983"/>
      <c r="V72" s="985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7"/>
      <c r="B73" s="1511">
        <v>46298</v>
      </c>
      <c r="C73" s="1512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525"/>
      <c r="S73" s="13"/>
      <c r="T73" s="984"/>
      <c r="U73" s="984"/>
      <c r="V73" s="986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7"/>
      <c r="B74" s="1526"/>
      <c r="C74" s="1527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3"/>
      <c r="U74" s="983"/>
      <c r="V74" s="985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488">
        <v>1</v>
      </c>
      <c r="B75" s="1497">
        <v>46299</v>
      </c>
      <c r="C75" s="1498"/>
      <c r="D75" s="667" t="s">
        <v>792</v>
      </c>
      <c r="E75" s="1489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492">
        <f>SUM(M75:M76)</f>
        <v>199.82504994374997</v>
      </c>
      <c r="O75" s="962">
        <f>M75/P75</f>
        <v>7.4753500524999987</v>
      </c>
      <c r="P75" s="1187">
        <f>(720-R75)/60</f>
        <v>12</v>
      </c>
      <c r="Q75" s="1187">
        <f>720-R75</f>
        <v>720</v>
      </c>
      <c r="R75" s="1186">
        <f>'Milling Down Time Hours'!G73</f>
        <v>0</v>
      </c>
      <c r="S75" s="1492">
        <f>SUM(M75:M78)</f>
        <v>346.52070054000001</v>
      </c>
      <c r="T75" s="997">
        <f>AVERAGE('LF Ball Mill'!F151:F153)</f>
        <v>0.52966666666666662</v>
      </c>
      <c r="U75" s="997">
        <f>AVERAGE('LF Ball Mill'!G151:G153)</f>
        <v>0.50666666666666671</v>
      </c>
      <c r="V75" s="997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488"/>
      <c r="B76" s="1499"/>
      <c r="C76" s="1500"/>
      <c r="D76" s="667" t="s">
        <v>792</v>
      </c>
      <c r="E76" s="1490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491"/>
      <c r="O76" s="962">
        <f>M76/P76</f>
        <v>9.3059872659507032</v>
      </c>
      <c r="P76" s="1187">
        <f>(720-R76)/60</f>
        <v>11.833333333333334</v>
      </c>
      <c r="Q76" s="1187">
        <f>720-R76</f>
        <v>710</v>
      </c>
      <c r="R76" s="1186">
        <f>'Milling Down Time Hours'!G74</f>
        <v>10</v>
      </c>
      <c r="S76" s="1490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488"/>
      <c r="B77" s="1497">
        <v>46300</v>
      </c>
      <c r="C77" s="1498"/>
      <c r="D77" s="667" t="s">
        <v>792</v>
      </c>
      <c r="E77" s="1490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492">
        <f>SUM(M77:M78)</f>
        <v>146.69565059625003</v>
      </c>
      <c r="O77" s="962">
        <f>M77/P77</f>
        <v>9.2834896284374953</v>
      </c>
      <c r="P77" s="1187">
        <f>(720-R77)/60</f>
        <v>12</v>
      </c>
      <c r="Q77" s="1187">
        <f>720-R77</f>
        <v>720</v>
      </c>
      <c r="R77" s="1186">
        <f>'Milling Down Time Hours'!G75</f>
        <v>0</v>
      </c>
      <c r="S77" s="1490"/>
      <c r="T77" s="997">
        <f>AVERAGE('LF Ball Mill'!F157:F159)</f>
        <v>0.64166666666666672</v>
      </c>
      <c r="U77" s="997">
        <f>AVERAGE('LF Ball Mill'!G157:G159)</f>
        <v>0.72666666666666657</v>
      </c>
      <c r="V77" s="997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488"/>
      <c r="B78" s="1499"/>
      <c r="C78" s="1500"/>
      <c r="D78" s="667" t="s">
        <v>792</v>
      </c>
      <c r="E78" s="1491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491"/>
      <c r="O78" s="1102"/>
      <c r="P78" s="1187">
        <f>(720-R78)/60</f>
        <v>11.984722222222222</v>
      </c>
      <c r="Q78" s="1187">
        <f>720-R78</f>
        <v>719.08333333333337</v>
      </c>
      <c r="R78" s="962">
        <f>'Milling Down Time Hours'!L83</f>
        <v>0.91666666666666663</v>
      </c>
      <c r="S78" s="1491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471">
        <v>2</v>
      </c>
      <c r="B79" s="1479">
        <v>46301</v>
      </c>
      <c r="C79" s="1480"/>
      <c r="D79" s="451" t="s">
        <v>792</v>
      </c>
      <c r="E79" s="1516" t="s">
        <v>779</v>
      </c>
      <c r="F79" s="1029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0">
        <f>H79*K79*G79</f>
        <v>0</v>
      </c>
      <c r="N79" s="1460">
        <f>SUM(M79:M98)</f>
        <v>86.128674587999981</v>
      </c>
      <c r="O79" s="1133"/>
      <c r="P79" s="1200">
        <f>(720-R79)/60</f>
        <v>12</v>
      </c>
      <c r="Q79" s="1200">
        <f>720-R79</f>
        <v>720</v>
      </c>
      <c r="R79" s="931">
        <f>'Milling Down Time Hours'!L84</f>
        <v>0</v>
      </c>
      <c r="S79" s="451"/>
      <c r="T79" s="1201"/>
      <c r="U79" s="1201"/>
      <c r="V79" s="1202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471"/>
      <c r="B80" s="1531"/>
      <c r="C80" s="1532"/>
      <c r="D80" s="451" t="s">
        <v>792</v>
      </c>
      <c r="E80" s="1501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0">
        <f t="shared" ref="M80:M97" si="67">H80*K80*G80</f>
        <v>0</v>
      </c>
      <c r="N80" s="1501"/>
      <c r="O80" s="1133"/>
      <c r="P80" s="1469">
        <f>'Milling Down Time Hours'!Q43</f>
        <v>23.5</v>
      </c>
      <c r="Q80" s="1194"/>
      <c r="R80" s="1469">
        <f>'Milling Down Time Hours'!L85</f>
        <v>0.8965277777777777</v>
      </c>
      <c r="S80" s="451"/>
      <c r="T80" s="1533">
        <v>0.35699999999999998</v>
      </c>
      <c r="U80" s="1533">
        <v>1.056</v>
      </c>
      <c r="V80" s="1535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471"/>
      <c r="B81" s="1531"/>
      <c r="C81" s="1532"/>
      <c r="D81" s="451" t="s">
        <v>792</v>
      </c>
      <c r="E81" s="1501"/>
      <c r="F81" s="1029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0">
        <f t="shared" si="67"/>
        <v>0</v>
      </c>
      <c r="N81" s="1501"/>
      <c r="O81" s="1133"/>
      <c r="P81" s="1510"/>
      <c r="Q81" s="1200"/>
      <c r="R81" s="1510"/>
      <c r="S81" s="451"/>
      <c r="T81" s="1534"/>
      <c r="U81" s="1534"/>
      <c r="V81" s="1536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471"/>
      <c r="B82" s="1531"/>
      <c r="C82" s="1532"/>
      <c r="D82" s="451" t="s">
        <v>792</v>
      </c>
      <c r="E82" s="1501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0">
        <f t="shared" si="67"/>
        <v>0</v>
      </c>
      <c r="N82" s="1501"/>
      <c r="O82" s="1133"/>
      <c r="P82" s="1509">
        <f>'Milling Down Time Hours'!M87</f>
        <v>0</v>
      </c>
      <c r="Q82" s="1203"/>
      <c r="R82" s="1509">
        <f>'Milling Down Time Hours'!L87</f>
        <v>0.7090277777777777</v>
      </c>
      <c r="S82" s="451"/>
      <c r="T82" s="1507" t="e">
        <f>SUM(#REF!)</f>
        <v>#REF!</v>
      </c>
      <c r="U82" s="1507" t="e">
        <f t="shared" ref="U82:V82" si="68">SUM(T82:T84)</f>
        <v>#REF!</v>
      </c>
      <c r="V82" s="1505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471"/>
      <c r="B83" s="1531"/>
      <c r="C83" s="1532"/>
      <c r="D83" s="451" t="s">
        <v>792</v>
      </c>
      <c r="E83" s="1501"/>
      <c r="F83" s="1029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0">
        <f t="shared" si="67"/>
        <v>0</v>
      </c>
      <c r="N83" s="1501"/>
      <c r="O83" s="1133"/>
      <c r="P83" s="1510"/>
      <c r="Q83" s="1200"/>
      <c r="R83" s="1510"/>
      <c r="S83" s="451"/>
      <c r="T83" s="1508"/>
      <c r="U83" s="1508"/>
      <c r="V83" s="1506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471"/>
      <c r="B84" s="1531"/>
      <c r="C84" s="1532"/>
      <c r="D84" s="451" t="s">
        <v>792</v>
      </c>
      <c r="E84" s="1501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0">
        <f t="shared" si="67"/>
        <v>0</v>
      </c>
      <c r="N84" s="1501"/>
      <c r="O84" s="1133"/>
      <c r="P84" s="1509">
        <f>'Milling Down Time Hours'!M89</f>
        <v>0</v>
      </c>
      <c r="Q84" s="1203"/>
      <c r="R84" s="1509">
        <f>'Milling Down Time Hours'!L89</f>
        <v>1</v>
      </c>
      <c r="S84" s="451"/>
      <c r="T84" s="1507" t="e">
        <f>SUM(#REF!)</f>
        <v>#REF!</v>
      </c>
      <c r="U84" s="1507" t="e">
        <f t="shared" ref="U84:V84" si="69">SUM(T84:T86)</f>
        <v>#REF!</v>
      </c>
      <c r="V84" s="1505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471"/>
      <c r="B85" s="1531"/>
      <c r="C85" s="1532"/>
      <c r="D85" s="451" t="s">
        <v>792</v>
      </c>
      <c r="E85" s="1501"/>
      <c r="F85" s="1029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0">
        <f t="shared" si="67"/>
        <v>0</v>
      </c>
      <c r="N85" s="1501"/>
      <c r="O85" s="1133"/>
      <c r="P85" s="1510"/>
      <c r="Q85" s="1200"/>
      <c r="R85" s="1510"/>
      <c r="S85" s="451"/>
      <c r="T85" s="1508"/>
      <c r="U85" s="1508"/>
      <c r="V85" s="1506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471"/>
      <c r="B86" s="1531"/>
      <c r="C86" s="1532"/>
      <c r="D86" s="451" t="s">
        <v>792</v>
      </c>
      <c r="E86" s="1501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0">
        <f t="shared" si="67"/>
        <v>0</v>
      </c>
      <c r="N86" s="1501"/>
      <c r="O86" s="1133"/>
      <c r="P86" s="1509">
        <f>'Milling Down Time Hours'!M91</f>
        <v>0</v>
      </c>
      <c r="Q86" s="1203"/>
      <c r="R86" s="1509">
        <f>'Milling Down Time Hours'!L91</f>
        <v>0.73611111111111116</v>
      </c>
      <c r="S86" s="451"/>
      <c r="T86" s="1507" t="e">
        <f>SUM(#REF!)</f>
        <v>#REF!</v>
      </c>
      <c r="U86" s="1507" t="e">
        <f t="shared" ref="U86:V86" si="70">SUM(T86:T88)</f>
        <v>#REF!</v>
      </c>
      <c r="V86" s="1505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471"/>
      <c r="B87" s="1531"/>
      <c r="C87" s="1532"/>
      <c r="D87" s="451" t="s">
        <v>792</v>
      </c>
      <c r="E87" s="1501"/>
      <c r="F87" s="1029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0">
        <f t="shared" si="67"/>
        <v>0</v>
      </c>
      <c r="N87" s="1501"/>
      <c r="O87" s="1133"/>
      <c r="P87" s="1510"/>
      <c r="Q87" s="1200"/>
      <c r="R87" s="1510"/>
      <c r="S87" s="451"/>
      <c r="T87" s="1508"/>
      <c r="U87" s="1508"/>
      <c r="V87" s="1506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471"/>
      <c r="B88" s="1531"/>
      <c r="C88" s="1532"/>
      <c r="D88" s="451" t="s">
        <v>792</v>
      </c>
      <c r="E88" s="1501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0">
        <f t="shared" si="67"/>
        <v>0</v>
      </c>
      <c r="N88" s="1501"/>
      <c r="O88" s="1133"/>
      <c r="P88" s="1509">
        <f>'Milling Down Time Hours'!M93</f>
        <v>0</v>
      </c>
      <c r="Q88" s="1203"/>
      <c r="R88" s="1509">
        <f>'Milling Down Time Hours'!L93</f>
        <v>1</v>
      </c>
      <c r="S88" s="451"/>
      <c r="T88" s="1507" t="e">
        <f>SUM(#REF!)</f>
        <v>#REF!</v>
      </c>
      <c r="U88" s="1507" t="e">
        <f t="shared" ref="U88:V88" si="71">SUM(T88:T90)</f>
        <v>#REF!</v>
      </c>
      <c r="V88" s="1505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471"/>
      <c r="B89" s="1531"/>
      <c r="C89" s="1532"/>
      <c r="D89" s="451" t="s">
        <v>792</v>
      </c>
      <c r="E89" s="1501"/>
      <c r="F89" s="1029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0">
        <f t="shared" si="67"/>
        <v>0</v>
      </c>
      <c r="N89" s="1501"/>
      <c r="O89" s="1133"/>
      <c r="P89" s="1510"/>
      <c r="Q89" s="1200"/>
      <c r="R89" s="1510"/>
      <c r="S89" s="451"/>
      <c r="T89" s="1508"/>
      <c r="U89" s="1508"/>
      <c r="V89" s="1506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471"/>
      <c r="B90" s="1531"/>
      <c r="C90" s="1532"/>
      <c r="D90" s="451" t="s">
        <v>792</v>
      </c>
      <c r="E90" s="1501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0">
        <f t="shared" si="67"/>
        <v>0</v>
      </c>
      <c r="N90" s="1501"/>
      <c r="O90" s="1133"/>
      <c r="P90" s="1509">
        <f>'Milling Down Time Hours'!M95</f>
        <v>0</v>
      </c>
      <c r="Q90" s="1203"/>
      <c r="R90" s="1509">
        <f>'Milling Down Time Hours'!L95</f>
        <v>1</v>
      </c>
      <c r="S90" s="451"/>
      <c r="T90" s="1507" t="e">
        <f>SUM(#REF!)</f>
        <v>#REF!</v>
      </c>
      <c r="U90" s="1507" t="e">
        <f t="shared" ref="U90:V90" si="72">SUM(T90:T92)</f>
        <v>#REF!</v>
      </c>
      <c r="V90" s="1505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471"/>
      <c r="B91" s="1531"/>
      <c r="C91" s="1532"/>
      <c r="D91" s="451" t="s">
        <v>792</v>
      </c>
      <c r="E91" s="1501"/>
      <c r="F91" s="1029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0">
        <f t="shared" si="67"/>
        <v>0</v>
      </c>
      <c r="N91" s="1501"/>
      <c r="O91" s="1133"/>
      <c r="P91" s="1510"/>
      <c r="Q91" s="1200"/>
      <c r="R91" s="1510"/>
      <c r="S91" s="451"/>
      <c r="T91" s="1508"/>
      <c r="U91" s="1508"/>
      <c r="V91" s="1506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471"/>
      <c r="B92" s="1531"/>
      <c r="C92" s="1532"/>
      <c r="D92" s="451" t="s">
        <v>792</v>
      </c>
      <c r="E92" s="1501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0">
        <f t="shared" si="67"/>
        <v>0</v>
      </c>
      <c r="N92" s="1501"/>
      <c r="O92" s="1133"/>
      <c r="P92" s="1509">
        <f>'Milling Down Time Hours'!M97</f>
        <v>0</v>
      </c>
      <c r="Q92" s="1203"/>
      <c r="R92" s="1509">
        <f>'Milling Down Time Hours'!L97</f>
        <v>1</v>
      </c>
      <c r="S92" s="451"/>
      <c r="T92" s="1507" t="e">
        <f>SUM(#REF!)</f>
        <v>#REF!</v>
      </c>
      <c r="U92" s="1507" t="e">
        <f t="shared" ref="U92:V92" si="73">SUM(T92:T94)</f>
        <v>#REF!</v>
      </c>
      <c r="V92" s="1505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471"/>
      <c r="B93" s="1531"/>
      <c r="C93" s="1532"/>
      <c r="D93" s="451" t="s">
        <v>792</v>
      </c>
      <c r="E93" s="1501"/>
      <c r="F93" s="1029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0">
        <f t="shared" si="67"/>
        <v>0</v>
      </c>
      <c r="N93" s="1501"/>
      <c r="O93" s="1133"/>
      <c r="P93" s="1510"/>
      <c r="Q93" s="1200"/>
      <c r="R93" s="1510"/>
      <c r="S93" s="451"/>
      <c r="T93" s="1508"/>
      <c r="U93" s="1508"/>
      <c r="V93" s="1506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471"/>
      <c r="B94" s="1531"/>
      <c r="C94" s="1532"/>
      <c r="D94" s="451" t="s">
        <v>792</v>
      </c>
      <c r="E94" s="1501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0">
        <f t="shared" si="67"/>
        <v>0</v>
      </c>
      <c r="N94" s="1501"/>
      <c r="O94" s="1133"/>
      <c r="P94" s="1509">
        <f>'Milling Down Time Hours'!M99</f>
        <v>0</v>
      </c>
      <c r="Q94" s="1203"/>
      <c r="R94" s="1509">
        <f>'Milling Down Time Hours'!L99</f>
        <v>1</v>
      </c>
      <c r="S94" s="451"/>
      <c r="T94" s="1507" t="e">
        <f>SUM(#REF!)</f>
        <v>#REF!</v>
      </c>
      <c r="U94" s="1507" t="e">
        <f t="shared" ref="U94:V94" si="74">SUM(T94:T96)</f>
        <v>#REF!</v>
      </c>
      <c r="V94" s="1505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471"/>
      <c r="B95" s="1531"/>
      <c r="C95" s="1532"/>
      <c r="D95" s="451" t="s">
        <v>792</v>
      </c>
      <c r="E95" s="1501"/>
      <c r="F95" s="1029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0">
        <f t="shared" si="67"/>
        <v>0</v>
      </c>
      <c r="N95" s="1501"/>
      <c r="O95" s="1133"/>
      <c r="P95" s="1510"/>
      <c r="Q95" s="1200"/>
      <c r="R95" s="1510"/>
      <c r="S95" s="451"/>
      <c r="T95" s="1508"/>
      <c r="U95" s="1508"/>
      <c r="V95" s="1506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471"/>
      <c r="B96" s="1531"/>
      <c r="C96" s="1532"/>
      <c r="D96" s="451" t="s">
        <v>792</v>
      </c>
      <c r="E96" s="1501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0">
        <f t="shared" si="67"/>
        <v>0</v>
      </c>
      <c r="N96" s="1501"/>
      <c r="O96" s="1133"/>
      <c r="P96" s="1509">
        <f>'Milling Down Time Hours'!M101</f>
        <v>0</v>
      </c>
      <c r="Q96" s="1203"/>
      <c r="R96" s="1509">
        <f>'Milling Down Time Hours'!L101</f>
        <v>0.67013888888888884</v>
      </c>
      <c r="S96" s="451"/>
      <c r="T96" s="1507" t="e">
        <f>SUM(#REF!)</f>
        <v>#REF!</v>
      </c>
      <c r="U96" s="1507" t="e">
        <f>SUM(T96:T157)</f>
        <v>#REF!</v>
      </c>
      <c r="V96" s="1505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471"/>
      <c r="B97" s="1531"/>
      <c r="C97" s="1532"/>
      <c r="D97" s="451" t="s">
        <v>792</v>
      </c>
      <c r="E97" s="1501"/>
      <c r="F97" s="1029" t="s">
        <v>12</v>
      </c>
      <c r="G97" s="1205"/>
      <c r="H97" s="1204"/>
      <c r="I97" s="1205"/>
      <c r="J97" s="931">
        <f t="shared" si="66"/>
        <v>0</v>
      </c>
      <c r="K97" s="1205"/>
      <c r="L97" s="1205"/>
      <c r="M97" s="1030">
        <f t="shared" si="67"/>
        <v>0</v>
      </c>
      <c r="N97" s="1501"/>
      <c r="O97" s="1206"/>
      <c r="P97" s="1469"/>
      <c r="Q97" s="1194"/>
      <c r="R97" s="1461"/>
      <c r="S97" s="1204"/>
      <c r="T97" s="1522"/>
      <c r="U97" s="1522"/>
      <c r="V97" s="1523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471"/>
      <c r="B98" s="1481"/>
      <c r="C98" s="1482"/>
      <c r="D98" s="451" t="s">
        <v>792</v>
      </c>
      <c r="E98" s="1502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0">
        <f>H98*K98*G98</f>
        <v>86.128674587999981</v>
      </c>
      <c r="N98" s="1502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460">
        <f>SUM(M98:M101)</f>
        <v>417.86319770999995</v>
      </c>
      <c r="T98" s="1113">
        <f>T78</f>
        <v>0.54266666666666674</v>
      </c>
      <c r="U98" s="1113">
        <f t="shared" ref="U98:V98" si="77">U78</f>
        <v>0.91666666666666663</v>
      </c>
      <c r="V98" s="1113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471"/>
      <c r="B99" s="1479">
        <v>46302</v>
      </c>
      <c r="C99" s="1480"/>
      <c r="D99" s="451" t="s">
        <v>792</v>
      </c>
      <c r="E99" s="1516" t="s">
        <v>785</v>
      </c>
      <c r="F99" s="1029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0">
        <f>(J99*K99*G99)-SUM(M98)</f>
        <v>80.2427837595</v>
      </c>
      <c r="N99" s="1460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501"/>
      <c r="T99" s="1113">
        <f>AVERAGE('LF Ball Mill'!F163:F165)</f>
        <v>0.32100000000000001</v>
      </c>
      <c r="U99" s="1113">
        <f>AVERAGE('LF Ball Mill'!G163:G165)</f>
        <v>3.6666666666666667E-2</v>
      </c>
      <c r="V99" s="1113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471"/>
      <c r="B100" s="1481"/>
      <c r="C100" s="1482"/>
      <c r="D100" s="451" t="s">
        <v>792</v>
      </c>
      <c r="E100" s="1502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0">
        <f>(J100*K100*G100)-SUM(M98:M99)</f>
        <v>150.89504361749988</v>
      </c>
      <c r="N100" s="1461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501"/>
      <c r="T100" s="1113">
        <f>AVERAGE('LF Ball Mill'!F166:F168)</f>
        <v>0.47433333333333333</v>
      </c>
      <c r="U100" s="1113">
        <f>AVERAGE('LF Ball Mill'!G166:G168)</f>
        <v>6.6766666666666667</v>
      </c>
      <c r="V100" s="1113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471"/>
      <c r="B101" s="1517">
        <v>46303</v>
      </c>
      <c r="C101" s="1518"/>
      <c r="D101" s="451" t="s">
        <v>792</v>
      </c>
      <c r="E101" s="451" t="s">
        <v>786</v>
      </c>
      <c r="F101" s="1029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0">
        <f>(J101*K101*G101)-SUM(M98:M100)</f>
        <v>100.59669574500009</v>
      </c>
      <c r="N101" s="1460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502"/>
      <c r="T101" s="1113">
        <f>AVERAGE('LF Ball Mill'!F169:F171)</f>
        <v>0.4326666666666667</v>
      </c>
      <c r="U101" s="1113">
        <f>AVERAGE('LF Ball Mill'!G169:G171)</f>
        <v>0.5033333333333333</v>
      </c>
      <c r="V101" s="1113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488">
        <v>3</v>
      </c>
      <c r="B102" s="1493">
        <v>46303</v>
      </c>
      <c r="C102" s="1494"/>
      <c r="D102" s="667" t="s">
        <v>792</v>
      </c>
      <c r="E102" s="667" t="s">
        <v>787</v>
      </c>
      <c r="F102" s="967" t="s">
        <v>13</v>
      </c>
      <c r="G102" s="994">
        <v>0.33</v>
      </c>
      <c r="H102" s="1210">
        <f>J102-180</f>
        <v>359.24789999999996</v>
      </c>
      <c r="I102" s="1211">
        <f t="shared" si="75"/>
        <v>31.238947826086953</v>
      </c>
      <c r="J102" s="1211">
        <f t="shared" si="76"/>
        <v>539.24789999999996</v>
      </c>
      <c r="K102" s="960">
        <v>1.21</v>
      </c>
      <c r="L102" s="1213">
        <v>0.8</v>
      </c>
      <c r="M102" s="961">
        <f>(J102*K102*G102)-'Au Cal Leaching Tank'!$U$22</f>
        <v>175.14568646999999</v>
      </c>
      <c r="N102" s="1461"/>
      <c r="O102" s="1211">
        <f t="shared" ref="O102" si="88">M102/P102</f>
        <v>15.230059693043478</v>
      </c>
      <c r="P102" s="1211">
        <f t="shared" ref="P102" si="89">Q102/60</f>
        <v>11.5</v>
      </c>
      <c r="Q102" s="1211">
        <f t="shared" ref="Q102" si="90">(720-R102)</f>
        <v>690</v>
      </c>
      <c r="R102" s="1211">
        <f>'Milling Down Time Hours'!G82</f>
        <v>30</v>
      </c>
      <c r="S102" s="1503">
        <f>SUM(M102:M105)</f>
        <v>310.48118130624999</v>
      </c>
      <c r="T102" s="1224">
        <f>AVERAGE('LF Ball Mill'!F172:F174)</f>
        <v>0.39733333333333337</v>
      </c>
      <c r="U102" s="1224">
        <f>AVERAGE('LF Ball Mill'!G172:G174)</f>
        <v>0.29666666666666663</v>
      </c>
      <c r="V102" s="1224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488"/>
      <c r="B103" s="1493">
        <v>46304</v>
      </c>
      <c r="C103" s="1494"/>
      <c r="D103" s="667" t="s">
        <v>792</v>
      </c>
      <c r="E103" s="667" t="s">
        <v>787</v>
      </c>
      <c r="F103" s="958" t="s">
        <v>12</v>
      </c>
      <c r="G103" s="959">
        <v>0.35</v>
      </c>
      <c r="H103" s="1210">
        <f>J103-SUM(H102)-180</f>
        <v>215.69915999999989</v>
      </c>
      <c r="I103" s="1211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503">
        <f>SUM(M103:M104)</f>
        <v>135.33549483625001</v>
      </c>
      <c r="O103" s="1211">
        <f t="shared" ref="O103" si="91">M103/P103</f>
        <v>10.836186550499997</v>
      </c>
      <c r="P103" s="1211">
        <f t="shared" ref="P103" si="92">Q103/60</f>
        <v>10</v>
      </c>
      <c r="Q103" s="1211">
        <f t="shared" ref="Q103" si="93">(720-R103)</f>
        <v>600</v>
      </c>
      <c r="R103" s="1211">
        <f>'Milling Down Time Hours'!G83</f>
        <v>120.00000000000001</v>
      </c>
      <c r="S103" s="1515"/>
      <c r="T103" s="1117">
        <f>AVERAGE('LF Ball Mill'!F175:F176)</f>
        <v>0.373</v>
      </c>
      <c r="U103" s="1117">
        <f>AVERAGE('LF Ball Mill'!G175:G176)</f>
        <v>0.48</v>
      </c>
      <c r="V103" s="1117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488"/>
      <c r="B104" s="1495"/>
      <c r="C104" s="1496"/>
      <c r="D104" s="667" t="s">
        <v>792</v>
      </c>
      <c r="E104" s="667" t="s">
        <v>793</v>
      </c>
      <c r="F104" s="967" t="s">
        <v>13</v>
      </c>
      <c r="G104" s="959">
        <v>0.35</v>
      </c>
      <c r="H104" s="1210">
        <f>J104-SUM(H102:H103)-180</f>
        <v>62.912255000000073</v>
      </c>
      <c r="I104" s="1211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504"/>
      <c r="O104" s="1211">
        <f t="shared" ref="O104:O106" si="96">M104/P104</f>
        <v>2.2478024442708366</v>
      </c>
      <c r="P104" s="1211">
        <f t="shared" ref="P104:P106" si="97">Q104/60</f>
        <v>12</v>
      </c>
      <c r="Q104" s="1211">
        <f t="shared" ref="Q104:Q106" si="98">(720-R104)</f>
        <v>720</v>
      </c>
      <c r="R104" s="1211">
        <f>'Milling Down Time Hours'!G84</f>
        <v>0</v>
      </c>
      <c r="S104" s="1515"/>
      <c r="T104" s="1117">
        <f>T103</f>
        <v>0.373</v>
      </c>
      <c r="U104" s="1117">
        <f t="shared" ref="U104:V104" si="99">U103</f>
        <v>0.48</v>
      </c>
      <c r="V104" s="1117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511">
        <v>46305</v>
      </c>
      <c r="C105" s="1512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503">
        <f>SUM(M105:M106)</f>
        <v>68.344232784000013</v>
      </c>
      <c r="O105" s="154"/>
      <c r="P105" s="154"/>
      <c r="Q105" s="154"/>
      <c r="R105" s="154"/>
      <c r="S105" s="1504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471">
        <v>4</v>
      </c>
      <c r="B106" s="1479">
        <v>46305</v>
      </c>
      <c r="C106" s="1480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0">
        <f>(J106*K106*G106)-'Au Cal Leaching Tank'!$U$23</f>
        <v>68.344232784000013</v>
      </c>
      <c r="N106" s="1504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460">
        <f>SUM(M106:M109)</f>
        <v>306.56957505999992</v>
      </c>
      <c r="T106" s="1113">
        <f>AVERAGE('LF Ball Mill'!F181:F183)</f>
        <v>0.52566666666666673</v>
      </c>
      <c r="U106" s="1113">
        <f>AVERAGE('LF Ball Mill'!G181:G183)</f>
        <v>0.42</v>
      </c>
      <c r="V106" s="1113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471"/>
      <c r="B107" s="1479">
        <v>46306</v>
      </c>
      <c r="C107" s="1480"/>
      <c r="D107" s="451" t="s">
        <v>792</v>
      </c>
      <c r="E107" s="451" t="s">
        <v>794</v>
      </c>
      <c r="F107" s="1029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0">
        <f>(J107*K107*G107)-'Au Cal Leaching Tank'!$U$23-SUM(M106)</f>
        <v>86.63826385349995</v>
      </c>
      <c r="N107" s="1460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469"/>
      <c r="T107" s="1113">
        <f>AVERAGE('LF Ball Mill'!F184:F186)</f>
        <v>0.41</v>
      </c>
      <c r="U107" s="1113">
        <f>AVERAGE('LF Ball Mill'!G184:G186)</f>
        <v>0.48333333333333334</v>
      </c>
      <c r="V107" s="1113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471"/>
      <c r="B108" s="1481"/>
      <c r="C108" s="1482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0">
        <f>(J108*K108*G108)-'Au Cal Leaching Tank'!$U$23-SUM(M106:M107)</f>
        <v>94.022365097499915</v>
      </c>
      <c r="N108" s="1461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469"/>
      <c r="T108" s="1113">
        <f>AVERAGE('LF Ball Mill'!F187:F189)</f>
        <v>0.65566666666666673</v>
      </c>
      <c r="U108" s="1113">
        <f>AVERAGE('LF Ball Mill'!G187:G189)</f>
        <v>0.64333333333333342</v>
      </c>
      <c r="V108" s="1113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471"/>
      <c r="B109" s="1479">
        <v>46307</v>
      </c>
      <c r="C109" s="1480"/>
      <c r="D109" s="451" t="s">
        <v>624</v>
      </c>
      <c r="E109" s="451" t="s">
        <v>799</v>
      </c>
      <c r="F109" s="1029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0">
        <f>(J109*K109*G109)-'Au Cal Leaching Tank'!$U$23-SUM(M106:M108)</f>
        <v>57.564713325000042</v>
      </c>
      <c r="N109" s="1460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461"/>
      <c r="T109" s="1113">
        <f>AVERAGE('LF Ball Mill'!F190:F192)</f>
        <v>0.35966666666666663</v>
      </c>
      <c r="U109" s="1113">
        <f>AVERAGE('LF Ball Mill'!G190:G192)</f>
        <v>0.36000000000000004</v>
      </c>
      <c r="V109" s="1113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477">
        <v>5</v>
      </c>
      <c r="B110" s="1473">
        <v>46307</v>
      </c>
      <c r="C110" s="1474"/>
      <c r="D110" s="1246" t="s">
        <v>792</v>
      </c>
      <c r="E110" s="1246" t="s">
        <v>800</v>
      </c>
      <c r="F110" s="1248" t="s">
        <v>13</v>
      </c>
      <c r="G110" s="1256">
        <v>0.32</v>
      </c>
      <c r="H110" s="1257">
        <f>J110-'Au Cal Leaching Tank'!$T$26</f>
        <v>619.98466499999995</v>
      </c>
      <c r="I110" s="1249">
        <f t="shared" si="121"/>
        <v>51.665388749999998</v>
      </c>
      <c r="J110" s="1249">
        <f t="shared" si="122"/>
        <v>727.98466499999995</v>
      </c>
      <c r="K110" s="1255">
        <v>1.2050000000000001</v>
      </c>
      <c r="L110" s="1256">
        <v>0.79</v>
      </c>
      <c r="M110" s="1250">
        <f>(J110*K110*G110)-'Au Cal Leaching Tank'!$U$23</f>
        <v>234.216886824</v>
      </c>
      <c r="N110" s="1461"/>
      <c r="O110" s="1249">
        <f t="shared" si="123"/>
        <v>19.518073902000001</v>
      </c>
      <c r="P110" s="1249">
        <f t="shared" si="124"/>
        <v>12</v>
      </c>
      <c r="Q110" s="1249">
        <f>720-R110</f>
        <v>720</v>
      </c>
      <c r="R110" s="1249">
        <f>'Milling Down Time Hours'!G90</f>
        <v>0</v>
      </c>
      <c r="S110" s="1513">
        <f>SUM(M110:M111)</f>
        <v>311.39404627199997</v>
      </c>
      <c r="T110" s="1278">
        <f>AVERAGE('LF Ball Mill'!F196:F198)</f>
        <v>0.34266666666666667</v>
      </c>
      <c r="U110" s="1278">
        <f>AVERAGE('LF Ball Mill'!G196:G198)</f>
        <v>0.43</v>
      </c>
      <c r="V110" s="1278">
        <f>AVERAGE('LF Ball Mill'!H196:H198)</f>
        <v>11.606666666666667</v>
      </c>
      <c r="W110" s="1252">
        <f t="shared" ref="W110" si="129">T110*M110</f>
        <v>80.258319885024008</v>
      </c>
      <c r="X110" s="1249">
        <f t="shared" ref="X110" si="130">M110*U110</f>
        <v>100.71326133431999</v>
      </c>
      <c r="Y110" s="1249">
        <f t="shared" ref="Y110" si="131">M110*V110</f>
        <v>2718.4773330705602</v>
      </c>
      <c r="Z110" s="1253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478"/>
      <c r="B111" s="1473">
        <v>46308</v>
      </c>
      <c r="C111" s="1474"/>
      <c r="D111" s="1246" t="s">
        <v>792</v>
      </c>
      <c r="E111" s="1246" t="s">
        <v>812</v>
      </c>
      <c r="F111" s="1259" t="s">
        <v>12</v>
      </c>
      <c r="G111" s="1256">
        <v>0.34</v>
      </c>
      <c r="H111" s="1257">
        <f>J111-'Au Cal Leaching Tank'!$T$26-SUM(H110)</f>
        <v>134.81197499999985</v>
      </c>
      <c r="I111" s="1249">
        <f t="shared" si="121"/>
        <v>23.790348529411737</v>
      </c>
      <c r="J111" s="1249">
        <f t="shared" ref="J111:J116" si="132">3.14*Z111*((10.7/2)^2)</f>
        <v>862.7966399999998</v>
      </c>
      <c r="K111" s="1260">
        <v>1.22</v>
      </c>
      <c r="L111" s="1256">
        <v>0.8</v>
      </c>
      <c r="M111" s="1250">
        <f>(J111*K111*G111)-'Au Cal Leaching Tank'!$U$23-SUM(M110)</f>
        <v>77.177159447999969</v>
      </c>
      <c r="N111" s="1460">
        <f>SUM(M111:M112)</f>
        <v>205.36258161999993</v>
      </c>
      <c r="O111" s="1249">
        <f t="shared" ref="O111:O116" si="133">M111/P111</f>
        <v>13.619498726117641</v>
      </c>
      <c r="P111" s="1249">
        <f t="shared" si="124"/>
        <v>5.666666666666667</v>
      </c>
      <c r="Q111" s="1249">
        <f>720-R111</f>
        <v>340</v>
      </c>
      <c r="R111" s="1249">
        <f>'Milling Down Time Hours'!G91</f>
        <v>380</v>
      </c>
      <c r="S111" s="1514"/>
      <c r="T111" s="1278">
        <f>AVERAGE('LF Ball Mill'!F202:F204)</f>
        <v>0.39900000000000002</v>
      </c>
      <c r="U111" s="1278">
        <f>AVERAGE('LF Ball Mill'!G202:G204)</f>
        <v>0.38999999999999996</v>
      </c>
      <c r="V111" s="1278">
        <f>AVERAGE('LF Ball Mill'!H202:H204)</f>
        <v>8.5500000000000007</v>
      </c>
      <c r="W111" s="1252">
        <f>T111*M111</f>
        <v>30.793686619751988</v>
      </c>
      <c r="X111" s="1249">
        <f t="shared" ref="X111" si="134">M111*U111</f>
        <v>30.099092184719986</v>
      </c>
      <c r="Y111" s="1249">
        <f t="shared" ref="Y111" si="135">M111*V111</f>
        <v>659.86471328039977</v>
      </c>
      <c r="Z111" s="1253">
        <v>9.6</v>
      </c>
      <c r="AA111" s="446"/>
      <c r="AB111" s="925">
        <f t="shared" si="65"/>
        <v>76984216.549379975</v>
      </c>
    </row>
    <row r="112" spans="1:28" ht="15" thickBot="1" x14ac:dyDescent="0.35">
      <c r="A112" s="1470">
        <v>6</v>
      </c>
      <c r="B112" s="1479">
        <v>46308</v>
      </c>
      <c r="C112" s="1480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0">
        <f>(J112*K112*G112)-'Au Cal Leaching Tank'!$U$25</f>
        <v>128.18542217199996</v>
      </c>
      <c r="N112" s="1461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460">
        <f>SUM(M112:M114)</f>
        <v>345.86182447199997</v>
      </c>
      <c r="T112" s="1113">
        <f>AVERAGE('LF Ball Mill'!F202:F204)</f>
        <v>0.39900000000000002</v>
      </c>
      <c r="U112" s="1113">
        <f>AVERAGE('LF Ball Mill'!G202:G204)</f>
        <v>0.38999999999999996</v>
      </c>
      <c r="V112" s="1113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470"/>
      <c r="B113" s="1479">
        <v>46309</v>
      </c>
      <c r="C113" s="1480"/>
      <c r="D113" s="451" t="s">
        <v>792</v>
      </c>
      <c r="E113" s="451" t="s">
        <v>816</v>
      </c>
      <c r="F113" s="1029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0">
        <f>(J113*K113*G113)-'Au Cal Leaching Tank'!$U$25-SUM(M112)</f>
        <v>91.611028238000017</v>
      </c>
      <c r="N113" s="1460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469"/>
      <c r="T113" s="1113">
        <f>AVERAGE('LF Ball Mill'!F205:F207)</f>
        <v>0.35066666666666668</v>
      </c>
      <c r="U113" s="1113">
        <f>AVERAGE('LF Ball Mill'!G205:G207)</f>
        <v>0.31666666666666665</v>
      </c>
      <c r="V113" s="1113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470"/>
      <c r="B114" s="1481"/>
      <c r="C114" s="1482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0">
        <f>(J114*K114*G114)-'Au Cal Leaching Tank'!$U$25-SUM(M112:M113)</f>
        <v>126.06537406199999</v>
      </c>
      <c r="N114" s="1461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461"/>
      <c r="T114" s="1113">
        <f>AVERAGE('LF Ball Mill'!F208:F210)</f>
        <v>0.43533333333333335</v>
      </c>
      <c r="U114" s="1113">
        <f>AVERAGE('LF Ball Mill'!G208:G210)</f>
        <v>0.21</v>
      </c>
      <c r="V114" s="1113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485">
        <v>7</v>
      </c>
      <c r="B115" s="1473">
        <v>46310</v>
      </c>
      <c r="C115" s="1474"/>
      <c r="D115" s="1246" t="s">
        <v>792</v>
      </c>
      <c r="E115" s="1246" t="s">
        <v>820</v>
      </c>
      <c r="F115" s="1259" t="s">
        <v>12</v>
      </c>
      <c r="G115" s="1256">
        <v>0.36</v>
      </c>
      <c r="H115" s="1257">
        <f>J115-'Au Cal Leaching Tank'!$T$26</f>
        <v>242.51113499999997</v>
      </c>
      <c r="I115" s="1249">
        <f t="shared" ref="I115:I119" si="145">H115/P115</f>
        <v>20.209261249999997</v>
      </c>
      <c r="J115" s="1249">
        <f t="shared" si="132"/>
        <v>350.51113499999997</v>
      </c>
      <c r="K115" s="1260">
        <v>1.24</v>
      </c>
      <c r="L115" s="1256">
        <v>0.8</v>
      </c>
      <c r="M115" s="1250">
        <f>(K115*J115*G115)-'Au Cal Leaching Tank'!$U$26</f>
        <v>109.97417066399998</v>
      </c>
      <c r="N115" s="1454">
        <f>SUM(M115:M116)</f>
        <v>221.92203470399997</v>
      </c>
      <c r="O115" s="1249">
        <f t="shared" si="133"/>
        <v>9.1645142219999993</v>
      </c>
      <c r="P115" s="1249">
        <f t="shared" ref="P115:P119" si="146">Q115/60</f>
        <v>12</v>
      </c>
      <c r="Q115" s="1249">
        <f t="shared" ref="Q115:Q122" si="147">(720-R115)</f>
        <v>720</v>
      </c>
      <c r="R115" s="1249">
        <f>'Milling Down Time Hours'!G95</f>
        <v>0</v>
      </c>
      <c r="S115" s="1454">
        <f>SUM(M115:M117)</f>
        <v>338.65842009599987</v>
      </c>
      <c r="T115" s="1278">
        <f>AVERAGE('LF Ball Mill'!F211:F213)</f>
        <v>0.47333333333333333</v>
      </c>
      <c r="U115" s="1278">
        <f>AVERAGE('LF Ball Mill'!G211:G213)</f>
        <v>0.43333333333333335</v>
      </c>
      <c r="V115" s="1278">
        <f>AVERAGE('LF Ball Mill'!H211:H213)</f>
        <v>12.826666666666668</v>
      </c>
      <c r="W115" s="1252">
        <f t="shared" si="142"/>
        <v>52.054440780959993</v>
      </c>
      <c r="X115" s="1249">
        <f>M115*U115</f>
        <v>47.655473954399994</v>
      </c>
      <c r="Y115" s="1249">
        <f>M115*V115</f>
        <v>1410.6020290502399</v>
      </c>
      <c r="Z115" s="1253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485"/>
      <c r="B116" s="1483"/>
      <c r="C116" s="1484"/>
      <c r="D116" s="1246" t="s">
        <v>792</v>
      </c>
      <c r="E116" s="1246" t="s">
        <v>822</v>
      </c>
      <c r="F116" s="1248" t="s">
        <v>13</v>
      </c>
      <c r="G116" s="1256">
        <v>0.34</v>
      </c>
      <c r="H116" s="1257">
        <f>J116-'Au Cal Leaching Tank'!$T$26-SUM(H115)</f>
        <v>296.58634499999994</v>
      </c>
      <c r="I116" s="1249">
        <f t="shared" si="145"/>
        <v>24.715528749999994</v>
      </c>
      <c r="J116" s="1249">
        <f t="shared" si="132"/>
        <v>647.0974799999999</v>
      </c>
      <c r="K116" s="1260">
        <v>1.22</v>
      </c>
      <c r="L116" s="1256">
        <v>0.78</v>
      </c>
      <c r="M116" s="1250">
        <f>(K116*J116*G116)-'Au Cal Leaching Tank'!$U$26-SUM(M115)</f>
        <v>111.94786403999998</v>
      </c>
      <c r="N116" s="1455"/>
      <c r="O116" s="1249">
        <f t="shared" si="133"/>
        <v>9.3289886699999993</v>
      </c>
      <c r="P116" s="1249">
        <f t="shared" si="146"/>
        <v>12</v>
      </c>
      <c r="Q116" s="1249">
        <f t="shared" si="147"/>
        <v>720</v>
      </c>
      <c r="R116" s="1249">
        <f>'Milling Down Time Hours'!G96</f>
        <v>0</v>
      </c>
      <c r="S116" s="1464"/>
      <c r="T116" s="1278">
        <f>AVERAGE('LF Ball Mill'!F214:F220)</f>
        <v>0.30685714285714288</v>
      </c>
      <c r="U116" s="1278">
        <f>AVERAGE('LF Ball Mill'!G214:G220)</f>
        <v>0.31142857142857139</v>
      </c>
      <c r="V116" s="1278">
        <f>AVERAGE('LF Ball Mill'!H214:H220)</f>
        <v>13.579142857142857</v>
      </c>
      <c r="W116" s="1252">
        <f t="shared" si="142"/>
        <v>34.352001708274287</v>
      </c>
      <c r="X116" s="1249">
        <f>M116*U116</f>
        <v>34.863763372457136</v>
      </c>
      <c r="Y116" s="1249">
        <f>M116*V116</f>
        <v>1520.1560383511655</v>
      </c>
      <c r="Z116" s="1253">
        <v>7.2</v>
      </c>
      <c r="AA116" s="446"/>
      <c r="AB116" s="925">
        <f t="shared" si="65"/>
        <v>85880004.270685717</v>
      </c>
    </row>
    <row r="117" spans="1:36" ht="15" thickBot="1" x14ac:dyDescent="0.35">
      <c r="A117" s="1485"/>
      <c r="B117" s="1473">
        <v>46311</v>
      </c>
      <c r="C117" s="1474"/>
      <c r="D117" s="1246" t="s">
        <v>792</v>
      </c>
      <c r="E117" s="1246" t="s">
        <v>842</v>
      </c>
      <c r="F117" s="1259" t="s">
        <v>12</v>
      </c>
      <c r="G117" s="1256">
        <v>0.36</v>
      </c>
      <c r="H117" s="1257">
        <f>J117-'Au Cal Leaching Tank'!$T$26-SUM(H115:H116)</f>
        <v>215.69915999999989</v>
      </c>
      <c r="I117" s="1249">
        <f t="shared" si="145"/>
        <v>17.97492999999999</v>
      </c>
      <c r="J117" s="1249">
        <f t="shared" ref="J117:J122" si="148">3.14*Z117*((10.7/2)^2)</f>
        <v>862.7966399999998</v>
      </c>
      <c r="K117" s="1260">
        <v>1.24</v>
      </c>
      <c r="L117" s="1256">
        <v>0.8</v>
      </c>
      <c r="M117" s="1250">
        <f>(K117*J117*G117)-'Au Cal Leaching Tank'!$U$26-SUM(M115:M116)</f>
        <v>116.7363853919999</v>
      </c>
      <c r="N117" s="1454">
        <f>SUM(M117:M118)</f>
        <v>326.39592284999986</v>
      </c>
      <c r="O117" s="1249">
        <f t="shared" ref="O117" si="149">M117/P117</f>
        <v>9.7280321159999925</v>
      </c>
      <c r="P117" s="1249">
        <f t="shared" si="146"/>
        <v>12</v>
      </c>
      <c r="Q117" s="1249">
        <f t="shared" si="147"/>
        <v>720</v>
      </c>
      <c r="R117" s="1249">
        <f>'Milling Down Time Hours'!G97</f>
        <v>0</v>
      </c>
      <c r="S117" s="1455"/>
      <c r="T117" s="1278">
        <f>AVERAGE('LF Ball Mill'!F224:F230)</f>
        <v>0.37828571428571428</v>
      </c>
      <c r="U117" s="1278">
        <f>AVERAGE('LF Ball Mill'!G224:G230)</f>
        <v>0.58571428571428563</v>
      </c>
      <c r="V117" s="1278">
        <f>AVERAGE('LF Ball Mill'!H224:H230)</f>
        <v>13.816285714285714</v>
      </c>
      <c r="W117" s="1252">
        <f t="shared" si="142"/>
        <v>44.159706931145102</v>
      </c>
      <c r="X117" s="1249">
        <f>M117*U117</f>
        <v>68.374168586742798</v>
      </c>
      <c r="Y117" s="1249">
        <f>M117*V117</f>
        <v>1612.8632538288398</v>
      </c>
      <c r="Z117" s="1253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486">
        <v>8</v>
      </c>
      <c r="B118" s="1479">
        <v>46311</v>
      </c>
      <c r="C118" s="1480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0">
        <f>(J118*K118*G118)-'Au Cal Leaching Tank'!$U$27</f>
        <v>209.65953745799996</v>
      </c>
      <c r="N118" s="1455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460">
        <f>SUM(M118:M120)</f>
        <v>355.45059970199986</v>
      </c>
      <c r="T118" s="1113">
        <f>AVERAGE('LF Ball Mill'!F231:F240)</f>
        <v>0.63759999999999994</v>
      </c>
      <c r="U118" s="1113">
        <f>AVERAGE('LF Ball Mill'!G231:G240)</f>
        <v>0.53999999999999992</v>
      </c>
      <c r="V118" s="1113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486"/>
      <c r="B119" s="1479">
        <v>46312</v>
      </c>
      <c r="C119" s="1480"/>
      <c r="D119" s="451" t="s">
        <v>792</v>
      </c>
      <c r="E119" s="451" t="s">
        <v>860</v>
      </c>
      <c r="F119" s="1029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0">
        <f>(J119*K119*G119)-'Au Cal Leaching Tank'!$U$27-SUM(M118)</f>
        <v>22.421927681999932</v>
      </c>
      <c r="N119" s="1460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469"/>
      <c r="T119" s="1113">
        <f>AVERAGE('LF Ball Mill'!F241:F243)</f>
        <v>0.66933333333333334</v>
      </c>
      <c r="U119" s="1113">
        <f>AVERAGE('LF Ball Mill'!G241:G243)</f>
        <v>0.55333333333333334</v>
      </c>
      <c r="V119" s="1113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486"/>
      <c r="B120" s="1481"/>
      <c r="C120" s="1482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0">
        <f>(J120*K120*G120)-'Au Cal Leaching Tank'!$U$27-SUM(M118:M119)</f>
        <v>123.36913456199997</v>
      </c>
      <c r="N120" s="1461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461"/>
      <c r="T120" s="1113">
        <f>AVERAGE('LF Ball Mill'!F244:F248)</f>
        <v>0.73860000000000003</v>
      </c>
      <c r="U120" s="1113">
        <f>AVERAGE('LF Ball Mill'!G244:G248)</f>
        <v>0.54800000000000004</v>
      </c>
      <c r="V120" s="1113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487">
        <v>9</v>
      </c>
      <c r="B121" s="1473">
        <v>46313</v>
      </c>
      <c r="C121" s="1474"/>
      <c r="D121" s="1246" t="s">
        <v>792</v>
      </c>
      <c r="E121" s="1246" t="s">
        <v>898</v>
      </c>
      <c r="F121" s="1259" t="s">
        <v>12</v>
      </c>
      <c r="G121" s="1256">
        <v>0.41</v>
      </c>
      <c r="H121" s="1257">
        <f>J121-'Au Cal Leaching Tank'!$T$27</f>
        <v>251.49859999999995</v>
      </c>
      <c r="I121" s="1249">
        <f t="shared" si="155"/>
        <v>23.038039694656486</v>
      </c>
      <c r="J121" s="1249">
        <f>3.14*Z121*((10.7/2)^2)</f>
        <v>359.49859999999995</v>
      </c>
      <c r="K121" s="1260">
        <v>1.27</v>
      </c>
      <c r="L121" s="1256">
        <v>0.75</v>
      </c>
      <c r="M121" s="1250">
        <f>(J121*K121*G121)-'Au Cal Leaching Tank'!$U$28</f>
        <v>141.07492101999998</v>
      </c>
      <c r="N121" s="1454">
        <f>SUM(M121:M122)</f>
        <v>155.19602602800001</v>
      </c>
      <c r="O121" s="1249">
        <f t="shared" si="156"/>
        <v>12.922893528549617</v>
      </c>
      <c r="P121" s="1249">
        <f t="shared" si="157"/>
        <v>10.916666666666666</v>
      </c>
      <c r="Q121" s="1249">
        <f t="shared" ref="Q121" si="161">(720-R121)</f>
        <v>655</v>
      </c>
      <c r="R121" s="1249">
        <f>'Milling Down Time Hours'!G101</f>
        <v>65</v>
      </c>
      <c r="S121" s="1454">
        <f>SUM(M121:M124)</f>
        <v>300.25371112799991</v>
      </c>
      <c r="T121" s="1278">
        <f>AVERAGE('LF Ball Mill'!F255:F257)</f>
        <v>0.34800000000000003</v>
      </c>
      <c r="U121" s="1278">
        <f>AVERAGE('LF Ball Mill'!G255:G257)</f>
        <v>0.20499999999999999</v>
      </c>
      <c r="V121" s="1278">
        <f>AVERAGE('LF Ball Mill'!H255:H257)</f>
        <v>8.2569999999999997</v>
      </c>
      <c r="W121" s="1252">
        <f t="shared" ref="W121" si="162">T121*M121</f>
        <v>49.094072514959997</v>
      </c>
      <c r="X121" s="1249">
        <f t="shared" ref="X121" si="163">M121*U121</f>
        <v>28.920358809099994</v>
      </c>
      <c r="Y121" s="1249">
        <f t="shared" ref="Y121" si="164">M121*V121</f>
        <v>1164.8556228621399</v>
      </c>
      <c r="Z121" s="1253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487"/>
      <c r="B122" s="1483"/>
      <c r="C122" s="1484"/>
      <c r="D122" s="1246" t="s">
        <v>792</v>
      </c>
      <c r="E122" s="1246" t="s">
        <v>897</v>
      </c>
      <c r="F122" s="1248" t="s">
        <v>13</v>
      </c>
      <c r="G122" s="1256">
        <v>0.34</v>
      </c>
      <c r="H122" s="1257">
        <f>J122-'Au Cal Leaching Tank'!$T$27-SUM(H121)</f>
        <v>125.82451000000003</v>
      </c>
      <c r="I122" s="1249">
        <f t="shared" si="155"/>
        <v>24.35313096774194</v>
      </c>
      <c r="J122" s="1249">
        <f t="shared" si="148"/>
        <v>485.32310999999999</v>
      </c>
      <c r="K122" s="1260">
        <v>1.22</v>
      </c>
      <c r="L122" s="1256">
        <v>0.75</v>
      </c>
      <c r="M122" s="1250">
        <f>(J122*K122*G122)-'Au Cal Leaching Tank'!$U$28-SUM(M121)</f>
        <v>14.121105008000029</v>
      </c>
      <c r="N122" s="1455"/>
      <c r="O122" s="1249">
        <f t="shared" si="156"/>
        <v>2.7331170983225861</v>
      </c>
      <c r="P122" s="1249">
        <f t="shared" si="157"/>
        <v>5.166666666666667</v>
      </c>
      <c r="Q122" s="1249">
        <f t="shared" si="147"/>
        <v>310</v>
      </c>
      <c r="R122" s="1249">
        <f>'Milling Down Time Hours'!G102</f>
        <v>410</v>
      </c>
      <c r="S122" s="1464"/>
      <c r="T122" s="1278">
        <f>AVERAGE('LF Ball Mill'!F260:F262)</f>
        <v>0.41233333333333338</v>
      </c>
      <c r="U122" s="1278">
        <f>AVERAGE('LF Ball Mill'!G260:G262)</f>
        <v>0.26133333333333331</v>
      </c>
      <c r="V122" s="1278">
        <f>AVERAGE('LF Ball Mill'!H260:H262)</f>
        <v>9.9556666666666658</v>
      </c>
      <c r="W122" s="1252">
        <f t="shared" ref="W122:W124" si="165">T122*M122</f>
        <v>5.8226022982986798</v>
      </c>
      <c r="X122" s="1249">
        <f t="shared" ref="X122" si="166">M122*U122</f>
        <v>3.6903154420906739</v>
      </c>
      <c r="Y122" s="1249">
        <f t="shared" ref="Y122" si="167">M122*V122</f>
        <v>140.58501442464561</v>
      </c>
      <c r="Z122" s="1253">
        <v>5.4</v>
      </c>
      <c r="AA122" s="446"/>
      <c r="AB122" s="1247"/>
    </row>
    <row r="123" spans="1:36" ht="15" thickBot="1" x14ac:dyDescent="0.35">
      <c r="A123" s="1487"/>
      <c r="B123" s="1473">
        <v>46314</v>
      </c>
      <c r="C123" s="1474"/>
      <c r="D123" s="1246" t="s">
        <v>792</v>
      </c>
      <c r="E123" s="1246" t="s">
        <v>897</v>
      </c>
      <c r="F123" s="1259" t="s">
        <v>12</v>
      </c>
      <c r="G123" s="1256">
        <v>0.39</v>
      </c>
      <c r="H123" s="1257">
        <f>J123-'Au Cal Leaching Tank'!$T$27-SUM(H121:H122)</f>
        <v>134.8119749999999</v>
      </c>
      <c r="I123" s="1249">
        <f t="shared" si="155"/>
        <v>12.818888272583191</v>
      </c>
      <c r="J123" s="1249">
        <f t="shared" ref="J123" si="168">3.14*Z123*((10.7/2)^2)</f>
        <v>620.13508499999989</v>
      </c>
      <c r="K123" s="1260">
        <v>1.26</v>
      </c>
      <c r="L123" s="1256">
        <v>0.8</v>
      </c>
      <c r="M123" s="1250">
        <f>(J123*K123*G123)-'Au Cal Leaching Tank'!$U$28-SUM(M121:M122)</f>
        <v>103.42235474099999</v>
      </c>
      <c r="N123" s="1454">
        <f>SUM(M123:M124)</f>
        <v>145.0576850999999</v>
      </c>
      <c r="O123" s="1249">
        <f t="shared" si="156"/>
        <v>9.8341383271949265</v>
      </c>
      <c r="P123" s="1249">
        <f t="shared" si="157"/>
        <v>10.516666666666667</v>
      </c>
      <c r="Q123" s="1249">
        <f t="shared" ref="Q123:Q124" si="169">(720-R123)</f>
        <v>631</v>
      </c>
      <c r="R123" s="1249">
        <f>'Milling Down Time Hours'!G103</f>
        <v>89</v>
      </c>
      <c r="S123" s="1464"/>
      <c r="T123" s="1278">
        <f>AVERAGE('LF Ball Mill'!F267:F269)</f>
        <v>0.45766666666666667</v>
      </c>
      <c r="U123" s="1278">
        <f>AVERAGE('LF Ball Mill'!G267:G269)</f>
        <v>0.6166666666666667</v>
      </c>
      <c r="V123" s="1278">
        <f>AVERAGE('LF Ball Mill'!H267:H269)</f>
        <v>12.743333333333334</v>
      </c>
      <c r="W123" s="1252">
        <f t="shared" si="165"/>
        <v>47.332964353130997</v>
      </c>
      <c r="X123" s="1249">
        <f t="shared" ref="X123" si="170">M123*U123</f>
        <v>63.777118756949996</v>
      </c>
      <c r="Y123" s="1249">
        <f t="shared" ref="Y123" si="171">M123*V123</f>
        <v>1317.9455405828101</v>
      </c>
      <c r="Z123" s="1253">
        <f>(1.2*5)+0.9</f>
        <v>6.9</v>
      </c>
      <c r="AA123" s="446"/>
      <c r="AB123" s="1247"/>
    </row>
    <row r="124" spans="1:36" ht="15" thickBot="1" x14ac:dyDescent="0.35">
      <c r="A124" s="1487"/>
      <c r="B124" s="1483"/>
      <c r="C124" s="1484"/>
      <c r="D124" s="1246" t="s">
        <v>792</v>
      </c>
      <c r="E124" s="1246" t="s">
        <v>941</v>
      </c>
      <c r="F124" s="1248" t="s">
        <v>13</v>
      </c>
      <c r="G124" s="1256">
        <v>0.37</v>
      </c>
      <c r="H124" s="1257">
        <f>J124-'Au Cal Leaching Tank'!$T$26</f>
        <v>646.94705999999985</v>
      </c>
      <c r="I124" s="1249">
        <f t="shared" si="155"/>
        <v>53.912254999999988</v>
      </c>
      <c r="J124" s="1249">
        <f t="shared" ref="J124:J128" si="172">3.14*Z124*((10.7/2)^2)</f>
        <v>754.94705999999985</v>
      </c>
      <c r="K124" s="1260">
        <v>1.24</v>
      </c>
      <c r="L124" s="1256">
        <v>0.8</v>
      </c>
      <c r="M124" s="1250">
        <f>(J124*K124*G124)-'Au Cal Leaching Tank'!$U$28-SUM(M121:M123)</f>
        <v>41.635330358999909</v>
      </c>
      <c r="N124" s="1455"/>
      <c r="O124" s="1249">
        <f t="shared" si="156"/>
        <v>3.4696108632499922</v>
      </c>
      <c r="P124" s="1249">
        <f t="shared" si="157"/>
        <v>12</v>
      </c>
      <c r="Q124" s="1249">
        <f t="shared" si="169"/>
        <v>720</v>
      </c>
      <c r="R124" s="1249">
        <f>'Milling Down Time Hours'!G105</f>
        <v>0</v>
      </c>
      <c r="S124" s="1455"/>
      <c r="T124" s="1278">
        <f>AVERAGE('LF Ball Mill'!F273:F275)</f>
        <v>0.47733333333333333</v>
      </c>
      <c r="U124" s="1278">
        <f>AVERAGE('LF Ball Mill'!G273:G275)</f>
        <v>0.53666666666666663</v>
      </c>
      <c r="V124" s="1278">
        <f>AVERAGE('LF Ball Mill'!H273:H275)</f>
        <v>14.566666666666668</v>
      </c>
      <c r="W124" s="1252">
        <f t="shared" si="165"/>
        <v>19.873931024695956</v>
      </c>
      <c r="X124" s="1249">
        <f t="shared" ref="X124" si="173">M124*U124</f>
        <v>22.344293959329949</v>
      </c>
      <c r="Y124" s="1249">
        <f t="shared" ref="Y124" si="174">M124*V124</f>
        <v>606.48797889609875</v>
      </c>
      <c r="Z124" s="1253">
        <v>8.4</v>
      </c>
      <c r="AA124" s="446"/>
      <c r="AB124" s="1247"/>
    </row>
    <row r="125" spans="1:36" s="951" customFormat="1" ht="15" thickBot="1" x14ac:dyDescent="0.35">
      <c r="A125" s="1471">
        <v>10</v>
      </c>
      <c r="B125" s="1479">
        <v>46315</v>
      </c>
      <c r="C125" s="1480"/>
      <c r="D125" s="450" t="s">
        <v>792</v>
      </c>
      <c r="E125" s="451" t="s">
        <v>951</v>
      </c>
      <c r="F125" s="1029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0">
        <f>(J125*K125*G125)-'Au Cal Leaching Tank'!$U$29</f>
        <v>254.40632819999993</v>
      </c>
      <c r="N125" s="1460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460">
        <f>SUM(M125:M126)</f>
        <v>278.51070932999994</v>
      </c>
      <c r="T125" s="1113">
        <f>AVERAGE('LF Ball Mill'!F276:F280)</f>
        <v>0.45779999999999993</v>
      </c>
      <c r="U125" s="1113">
        <f>AVERAGE('LF Ball Mill'!G276:G280)</f>
        <v>0.41600000000000004</v>
      </c>
      <c r="V125" s="1113">
        <f>AVERAGE('LF Ball Mill'!H276:H280)</f>
        <v>16.642000000000003</v>
      </c>
      <c r="W125" s="976">
        <f t="shared" ref="W125:W130" si="176"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7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471"/>
      <c r="B126" s="1481"/>
      <c r="C126" s="1482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0">
        <f>(J126*K126*G126)-'Au Cal Leaching Tank'!$U$29-SUM(M125:M125)</f>
        <v>24.104381130000007</v>
      </c>
      <c r="N126" s="1461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461"/>
      <c r="T126" s="1113">
        <f>AVERAGE('LF Ball Mill'!F281:F289)</f>
        <v>0.53322222222222215</v>
      </c>
      <c r="U126" s="1113">
        <f>AVERAGE('LF Ball Mill'!G281:G289)</f>
        <v>0.50111111111111117</v>
      </c>
      <c r="V126" s="1113">
        <f>AVERAGE('LF Ball Mill'!H281:H289)</f>
        <v>13.812222222222223</v>
      </c>
      <c r="W126" s="976">
        <f t="shared" si="176"/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7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472">
        <v>11</v>
      </c>
      <c r="B127" s="1473">
        <v>46316</v>
      </c>
      <c r="C127" s="1474"/>
      <c r="D127" s="1246" t="s">
        <v>792</v>
      </c>
      <c r="E127" s="1246" t="s">
        <v>952</v>
      </c>
      <c r="F127" s="1259" t="s">
        <v>12</v>
      </c>
      <c r="G127" s="1256">
        <v>0.38</v>
      </c>
      <c r="H127" s="1257">
        <f>J127-'Au Cal Leaching Tank'!$T$26</f>
        <v>404.28550499999994</v>
      </c>
      <c r="I127" s="1249">
        <f t="shared" si="175"/>
        <v>33.690458749999998</v>
      </c>
      <c r="J127" s="1249">
        <f t="shared" si="172"/>
        <v>512.28550499999994</v>
      </c>
      <c r="K127" s="1260">
        <v>1.25</v>
      </c>
      <c r="L127" s="1256">
        <v>0.8</v>
      </c>
      <c r="M127" s="1250">
        <f>(J127*K127*G127)-'Au Cal Leaching Tank'!$U$30</f>
        <v>196.84161487499998</v>
      </c>
      <c r="N127" s="1454">
        <f>SUM(M127:M128)</f>
        <v>226.72493599999999</v>
      </c>
      <c r="O127" s="1249">
        <f t="shared" ref="O127" si="177">M127/P127</f>
        <v>16.403467906249997</v>
      </c>
      <c r="P127" s="1249">
        <f t="shared" ref="P127" si="178">Q127/60</f>
        <v>12</v>
      </c>
      <c r="Q127" s="1249">
        <f t="shared" ref="Q127" si="179">(720-R127)</f>
        <v>720</v>
      </c>
      <c r="R127" s="1249">
        <f>'Milling Down Time Hours'!G108</f>
        <v>0</v>
      </c>
      <c r="S127" s="1454">
        <f>SUM(M127:M129)</f>
        <v>290.51436758399996</v>
      </c>
      <c r="T127" s="1278">
        <f>AVERAGE('LF Ball Mill'!F290:F295)</f>
        <v>0.59416666666666662</v>
      </c>
      <c r="U127" s="1278">
        <f>AVERAGE('LF Ball Mill'!G290:G295)</f>
        <v>0.65333333333333343</v>
      </c>
      <c r="V127" s="1278">
        <f>AVERAGE('LF Ball Mill'!H290:H295)</f>
        <v>15.638333333333334</v>
      </c>
      <c r="W127" s="1252">
        <f t="shared" si="176"/>
        <v>116.95672617156248</v>
      </c>
      <c r="X127" s="1249">
        <f t="shared" ref="X127" si="180">M127*U127</f>
        <v>128.60318838500001</v>
      </c>
      <c r="Y127" s="1249">
        <f t="shared" ref="Y127" si="181">M127*V127</f>
        <v>3078.2747872868745</v>
      </c>
      <c r="Z127" s="1253">
        <f>(1.2*4)+0.9</f>
        <v>5.7</v>
      </c>
      <c r="AA127" s="446"/>
      <c r="AB127" s="1247"/>
    </row>
    <row r="128" spans="1:36" ht="15" thickBot="1" x14ac:dyDescent="0.35">
      <c r="A128" s="1472"/>
      <c r="B128" s="1475"/>
      <c r="C128" s="1476"/>
      <c r="D128" s="1246" t="s">
        <v>792</v>
      </c>
      <c r="E128" s="1369" t="s">
        <v>943</v>
      </c>
      <c r="F128" s="1248" t="s">
        <v>13</v>
      </c>
      <c r="G128" s="1370">
        <v>0.38</v>
      </c>
      <c r="H128" s="1257">
        <f>J128-'Au Cal Leaching Tank'!$T$26-SUM(H127)</f>
        <v>62.912255000000073</v>
      </c>
      <c r="I128" s="1249">
        <f t="shared" si="175"/>
        <v>8.9874650000000109</v>
      </c>
      <c r="J128" s="1249">
        <f t="shared" si="172"/>
        <v>575.19776000000002</v>
      </c>
      <c r="K128" s="1260">
        <v>1.25</v>
      </c>
      <c r="L128" s="1256">
        <v>0.8</v>
      </c>
      <c r="M128" s="1250">
        <f>(J128*K128*G128)-'Au Cal Leaching Tank'!$U$30-SUM(M127)</f>
        <v>29.883321125000009</v>
      </c>
      <c r="N128" s="1455"/>
      <c r="O128" s="1249">
        <f t="shared" ref="O128" si="182">M128/P128</f>
        <v>4.2690458750000015</v>
      </c>
      <c r="P128" s="1249">
        <f t="shared" ref="P128" si="183">Q128/60</f>
        <v>7</v>
      </c>
      <c r="Q128" s="1249">
        <f t="shared" ref="Q128" si="184">(720-R128)</f>
        <v>420</v>
      </c>
      <c r="R128" s="1249">
        <f>'Milling Down Time Hours'!G109</f>
        <v>300</v>
      </c>
      <c r="S128" s="1464"/>
      <c r="T128" s="1278">
        <f>AVERAGE('LF Ball Mill'!F296:F300)</f>
        <v>0.53339999999999999</v>
      </c>
      <c r="U128" s="1278">
        <f>AVERAGE('LF Ball Mill'!G296:G300)</f>
        <v>0.67880000000000007</v>
      </c>
      <c r="V128" s="1278">
        <f>AVERAGE('LF Ball Mill'!H296:H300)</f>
        <v>16.740000000000002</v>
      </c>
      <c r="W128" s="1252">
        <f t="shared" si="176"/>
        <v>15.939763488075004</v>
      </c>
      <c r="X128" s="1249">
        <f t="shared" ref="X128" si="185">M128*U128</f>
        <v>20.28479837965001</v>
      </c>
      <c r="Y128" s="1249">
        <f t="shared" ref="Y128" si="186">M128*V128</f>
        <v>500.24679563250021</v>
      </c>
      <c r="Z128" s="1253">
        <f>(1.2*5)+0.4</f>
        <v>6.4</v>
      </c>
      <c r="AA128" s="446"/>
      <c r="AB128" s="1247"/>
    </row>
    <row r="129" spans="1:28" ht="15" thickBot="1" x14ac:dyDescent="0.35">
      <c r="A129" s="1472"/>
      <c r="B129" s="1452">
        <v>46317</v>
      </c>
      <c r="C129" s="1453"/>
      <c r="D129" s="1246" t="s">
        <v>792</v>
      </c>
      <c r="E129" s="1246" t="s">
        <v>944</v>
      </c>
      <c r="F129" s="1253" t="s">
        <v>12</v>
      </c>
      <c r="G129" s="1256">
        <v>0.36</v>
      </c>
      <c r="H129" s="1257">
        <f>J129-'Au Cal Leaching Tank'!$T$26-SUM(H127:H128)</f>
        <v>179.74929999999983</v>
      </c>
      <c r="I129" s="1249">
        <f t="shared" si="175"/>
        <v>15.860232352941161</v>
      </c>
      <c r="J129" s="1249">
        <f>3.14*Z129*((10.7/2)^2)</f>
        <v>754.94705999999985</v>
      </c>
      <c r="K129" s="1260">
        <v>1.24</v>
      </c>
      <c r="L129" s="1256">
        <v>0.8</v>
      </c>
      <c r="M129" s="1250">
        <f>(J129*K129*G129)-'Au Cal Leaching Tank'!$U$30-SUM(M127:M128)</f>
        <v>63.789431583999971</v>
      </c>
      <c r="N129" s="1454">
        <f>SUM(M129:M130)</f>
        <v>201.88051422399994</v>
      </c>
      <c r="O129" s="1249">
        <f>M129/P129</f>
        <v>5.6284792574117617</v>
      </c>
      <c r="P129" s="1249">
        <f t="shared" ref="P129" si="187">Q129/60</f>
        <v>11.333333333333334</v>
      </c>
      <c r="Q129" s="1249">
        <f t="shared" ref="Q129" si="188">(720-R129)</f>
        <v>680</v>
      </c>
      <c r="R129" s="1249">
        <f>'Milling Down Time Hours'!G110</f>
        <v>40.000000000000014</v>
      </c>
      <c r="S129" s="1455"/>
      <c r="T129" s="1278">
        <f>AVERAGE('LF Ball Mill'!F301:F303)</f>
        <v>0.55966666666666665</v>
      </c>
      <c r="U129" s="1278">
        <f>AVERAGE('LF Ball Mill'!G301:G303)</f>
        <v>0.58666666666666656</v>
      </c>
      <c r="V129" s="1278">
        <f>AVERAGE('LF Ball Mill'!H301:H303)</f>
        <v>17.02</v>
      </c>
      <c r="W129" s="1252">
        <f t="shared" si="176"/>
        <v>35.700818543178649</v>
      </c>
      <c r="X129" s="1249">
        <f>M129*U129</f>
        <v>37.42313319594664</v>
      </c>
      <c r="Y129" s="1249">
        <f t="shared" ref="Y129" si="189">M129*V129</f>
        <v>1085.6961255596796</v>
      </c>
      <c r="Z129" s="1253">
        <f>(1.2*7)</f>
        <v>8.4</v>
      </c>
      <c r="AA129" s="446"/>
      <c r="AB129" s="1368"/>
    </row>
    <row r="130" spans="1:28" ht="19.8" customHeight="1" thickBot="1" x14ac:dyDescent="0.35">
      <c r="A130" s="1450">
        <v>12</v>
      </c>
      <c r="B130" s="1456">
        <v>46317</v>
      </c>
      <c r="C130" s="1457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0">
        <f>(J130*K130*G130)-'Au Cal Leaching Tank'!$U$31</f>
        <v>138.09108263999997</v>
      </c>
      <c r="N130" s="1455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460">
        <f>SUM(M130:M132)</f>
        <v>300.25371112799991</v>
      </c>
      <c r="T130" s="1113">
        <f>AVERAGE('LF Ball Mill'!F299:F304)</f>
        <v>0.56416666666666659</v>
      </c>
      <c r="U130" s="1113">
        <f>AVERAGE('LF Ball Mill'!G299:G304)</f>
        <v>0.56666666666666665</v>
      </c>
      <c r="V130" s="1113">
        <f>AVERAGE('LF Ball Mill'!H299:H304)</f>
        <v>17.458333333333332</v>
      </c>
      <c r="W130" s="976">
        <f t="shared" si="176"/>
        <v>77.906385789399977</v>
      </c>
      <c r="X130" s="976">
        <f>U130*M130</f>
        <v>78.251613495999976</v>
      </c>
      <c r="Y130" s="931">
        <f>V130*M130</f>
        <v>2410.8401510899994</v>
      </c>
      <c r="Z130" s="977">
        <f>(1.2*4)</f>
        <v>4.8</v>
      </c>
      <c r="AA130" s="446"/>
      <c r="AB130" s="1368"/>
    </row>
    <row r="131" spans="1:28" ht="15" customHeight="1" thickBot="1" x14ac:dyDescent="0.35">
      <c r="A131" s="1450"/>
      <c r="B131" s="1456">
        <v>46318</v>
      </c>
      <c r="C131" s="1457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0"/>
      <c r="N131" s="1460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469"/>
      <c r="T131" s="931"/>
      <c r="U131" s="931"/>
      <c r="V131" s="939"/>
      <c r="W131" s="976"/>
      <c r="X131" s="931"/>
      <c r="Y131" s="931"/>
      <c r="Z131" s="977"/>
      <c r="AA131" s="446"/>
      <c r="AB131" s="1368"/>
    </row>
    <row r="132" spans="1:28" ht="15" customHeight="1" thickBot="1" x14ac:dyDescent="0.35">
      <c r="A132" s="1450"/>
      <c r="B132" s="1456">
        <v>46318</v>
      </c>
      <c r="C132" s="1457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0">
        <f>(J132*K132*G132)-'Au Cal Leaching Tank'!$U$31-SUM(M130)</f>
        <v>162.16262848799994</v>
      </c>
      <c r="N132" s="1461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461"/>
      <c r="T132" s="1113">
        <f>AVERAGE('LF Ball Mill'!F306:F308)</f>
        <v>0.75633333333333341</v>
      </c>
      <c r="U132" s="1113">
        <f>AVERAGE('LF Ball Mill'!G306:G308)</f>
        <v>0.70666666666666667</v>
      </c>
      <c r="V132" s="1113">
        <f>AVERAGE('LF Ball Mill'!H306:H308)</f>
        <v>13.100000000000001</v>
      </c>
      <c r="W132" s="976">
        <f>T132*M132</f>
        <v>122.64900134642397</v>
      </c>
      <c r="X132" s="931">
        <f>U132*M132</f>
        <v>114.59492413151996</v>
      </c>
      <c r="Y132" s="931">
        <f>V132*M132</f>
        <v>2124.3304331927993</v>
      </c>
      <c r="Z132" s="977">
        <f>1.2*7</f>
        <v>8.4</v>
      </c>
      <c r="AA132" s="446"/>
      <c r="AB132" s="1368"/>
    </row>
    <row r="133" spans="1:28" ht="15" customHeight="1" thickBot="1" x14ac:dyDescent="0.35">
      <c r="A133" s="1451">
        <v>13</v>
      </c>
      <c r="B133" s="1467">
        <v>46319</v>
      </c>
      <c r="C133" s="1468"/>
      <c r="D133" s="1246" t="s">
        <v>792</v>
      </c>
      <c r="E133" s="1246" t="s">
        <v>958</v>
      </c>
      <c r="F133" s="1253" t="s">
        <v>12</v>
      </c>
      <c r="G133" s="1256">
        <v>0.35</v>
      </c>
      <c r="H133" s="1257">
        <f>J133-'Au Cal Leaching Tank'!T32</f>
        <v>332.38578499999988</v>
      </c>
      <c r="I133" s="1249">
        <f>H133/P133</f>
        <v>27.698815416666658</v>
      </c>
      <c r="J133" s="1249">
        <f>3.14*Z133*((10.7/2)^2)</f>
        <v>440.38578499999988</v>
      </c>
      <c r="K133" s="1260">
        <v>1.23</v>
      </c>
      <c r="L133" s="1256">
        <v>0.74</v>
      </c>
      <c r="M133" s="1250">
        <f>(J133*K133*G133)-'Au Cal Leaching Tank'!U32</f>
        <v>141.37488044249992</v>
      </c>
      <c r="N133" s="1454">
        <f>SUM(M133:M134)</f>
        <v>216.60505040999996</v>
      </c>
      <c r="O133" s="1249">
        <f>M133/P133</f>
        <v>11.781240036874992</v>
      </c>
      <c r="P133" s="1249">
        <f>Q133/60</f>
        <v>12</v>
      </c>
      <c r="Q133" s="1249">
        <f t="shared" ref="Q133" si="196">(720-R133)</f>
        <v>720</v>
      </c>
      <c r="R133" s="1249">
        <f>'Milling Down Time Hours'!G115</f>
        <v>0</v>
      </c>
      <c r="S133" s="1454">
        <f>SUM(M133:M135)</f>
        <v>276.70404096999999</v>
      </c>
      <c r="T133" s="1278">
        <f>AVERAGE('LF Ball Mill'!F309:F311)</f>
        <v>0.35966666666666663</v>
      </c>
      <c r="U133" s="1278">
        <f>AVERAGE('LF Ball Mill'!G309:G311)</f>
        <v>0.4466666666666666</v>
      </c>
      <c r="V133" s="1278">
        <f>AVERAGE('LF Ball Mill'!H309:H311)</f>
        <v>11.993333333333334</v>
      </c>
      <c r="W133" s="1252">
        <f>T133*M133</f>
        <v>50.847831999152461</v>
      </c>
      <c r="X133" s="1252">
        <f>U133*N133</f>
        <v>96.75025584979997</v>
      </c>
      <c r="Y133" s="1252">
        <f>V133*M133</f>
        <v>1695.556066107049</v>
      </c>
      <c r="Z133" s="1253">
        <f>(1.2*4)+0.1</f>
        <v>4.8999999999999995</v>
      </c>
      <c r="AA133" s="446"/>
      <c r="AB133" s="1368"/>
    </row>
    <row r="134" spans="1:28" ht="15" customHeight="1" thickBot="1" x14ac:dyDescent="0.35">
      <c r="A134" s="1451"/>
      <c r="B134" s="1452">
        <v>46319</v>
      </c>
      <c r="C134" s="1453"/>
      <c r="D134" s="1246" t="s">
        <v>792</v>
      </c>
      <c r="E134" s="1246" t="s">
        <v>960</v>
      </c>
      <c r="F134" s="1253" t="s">
        <v>13</v>
      </c>
      <c r="G134" s="1256">
        <v>0.35</v>
      </c>
      <c r="H134" s="1257">
        <f>J134-'Au Cal Leaching Tank'!T33-SUM(H133)</f>
        <v>170.76183500000008</v>
      </c>
      <c r="I134" s="1249">
        <f>H134/P134</f>
        <v>14.230152916666674</v>
      </c>
      <c r="J134" s="1249">
        <f>3.14*Z134*((10.7/2)^2)</f>
        <v>611.14761999999996</v>
      </c>
      <c r="K134" s="1260">
        <v>1.23</v>
      </c>
      <c r="L134" s="1256">
        <v>0.8</v>
      </c>
      <c r="M134" s="1250">
        <f>(J134*K134*G134)-'Au Cal Leaching Tank'!U33-SUM(M133)</f>
        <v>75.230169967500046</v>
      </c>
      <c r="N134" s="1455"/>
      <c r="O134" s="1249">
        <f>M134/P134</f>
        <v>6.2691808306250039</v>
      </c>
      <c r="P134" s="1249">
        <f>Q134/60</f>
        <v>12</v>
      </c>
      <c r="Q134" s="1249">
        <f t="shared" ref="Q134" si="197">(720-R134)</f>
        <v>720</v>
      </c>
      <c r="R134" s="1249">
        <f>'Milling Down Time Hours'!G116</f>
        <v>0</v>
      </c>
      <c r="S134" s="1464"/>
      <c r="T134" s="1278">
        <f>AVERAGE('LF Ball Mill'!F312:F314)</f>
        <v>0.442</v>
      </c>
      <c r="U134" s="1278">
        <f>AVERAGE('LF Ball Mill'!G312:G314)</f>
        <v>0.68</v>
      </c>
      <c r="V134" s="1278">
        <f>AVERAGE('LF Ball Mill'!H312:H314)</f>
        <v>14.886666666666665</v>
      </c>
      <c r="W134" s="1252">
        <f>T134*M134</f>
        <v>33.251735125635022</v>
      </c>
      <c r="X134" s="1252">
        <f>U134*M134</f>
        <v>51.156515577900038</v>
      </c>
      <c r="Y134" s="1252">
        <f>V134*M134</f>
        <v>1119.9264635828506</v>
      </c>
      <c r="Z134" s="1253">
        <f>(1.2*5)+0.8</f>
        <v>6.8</v>
      </c>
      <c r="AA134" s="446"/>
      <c r="AB134" s="1368"/>
    </row>
    <row r="135" spans="1:28" ht="15" customHeight="1" thickBot="1" x14ac:dyDescent="0.35">
      <c r="A135" s="1451"/>
      <c r="B135" s="1452">
        <v>46320</v>
      </c>
      <c r="C135" s="1453"/>
      <c r="D135" s="1246" t="s">
        <v>792</v>
      </c>
      <c r="E135" s="1246" t="s">
        <v>964</v>
      </c>
      <c r="F135" s="1253" t="s">
        <v>12</v>
      </c>
      <c r="G135" s="1256">
        <v>0.34</v>
      </c>
      <c r="H135" s="1257">
        <f>J135-'Au Cal Leaching Tank'!T34-SUM(H133:H134)</f>
        <v>152.78690499999993</v>
      </c>
      <c r="I135" s="1249">
        <f>H135/P135</f>
        <v>12.732242083333327</v>
      </c>
      <c r="J135" s="1249">
        <f>3.14*Z135*((10.7/2)^2)</f>
        <v>763.93452499999989</v>
      </c>
      <c r="K135" s="1260">
        <v>1.22</v>
      </c>
      <c r="L135" s="1256">
        <v>0.8</v>
      </c>
      <c r="M135" s="1250">
        <f>(J135*K135*G135)-'Au Cal Leaching Tank'!U34-SUM(M133:M134)</f>
        <v>60.098990560000033</v>
      </c>
      <c r="N135" s="1454">
        <f>SUM(M135:M136)</f>
        <v>240.445012174</v>
      </c>
      <c r="O135" s="1249">
        <f>M135/P135</f>
        <v>5.0082492133333361</v>
      </c>
      <c r="P135" s="1249">
        <f>Q135/60</f>
        <v>12</v>
      </c>
      <c r="Q135" s="1249">
        <f t="shared" ref="Q135" si="198">(720-R135)</f>
        <v>720</v>
      </c>
      <c r="R135" s="1249">
        <f>'Milling Down Time Hours'!G117</f>
        <v>0</v>
      </c>
      <c r="S135" s="1455"/>
      <c r="T135" s="1278">
        <f>AVERAGE('LF Ball Mill'!F315:F317)</f>
        <v>0.47399999999999998</v>
      </c>
      <c r="U135" s="1278">
        <f>AVERAGE('LF Ball Mill'!G315:G317)</f>
        <v>0.57333333333333325</v>
      </c>
      <c r="V135" s="1278">
        <f>AVERAGE('LF Ball Mill'!H315:H317)</f>
        <v>14.99</v>
      </c>
      <c r="W135" s="1252">
        <f>T135*M135</f>
        <v>28.486921525440014</v>
      </c>
      <c r="X135" s="1252">
        <f>U135*M135</f>
        <v>34.45675458773335</v>
      </c>
      <c r="Y135" s="1252">
        <f>V135*M135</f>
        <v>900.88386849440053</v>
      </c>
      <c r="Z135" s="1253">
        <f>(1.2*7)+0.1</f>
        <v>8.5</v>
      </c>
      <c r="AA135" s="446"/>
      <c r="AB135" s="1368"/>
    </row>
    <row r="136" spans="1:28" ht="15" customHeight="1" thickBot="1" x14ac:dyDescent="0.35">
      <c r="A136" s="1450">
        <v>14</v>
      </c>
      <c r="B136" s="1456">
        <v>46320</v>
      </c>
      <c r="C136" s="1457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0">
        <f>(J136*K136*G136)-'Au Cal Leaching Tank'!$U$33</f>
        <v>180.34602161399997</v>
      </c>
      <c r="N136" s="1455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460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8"/>
    </row>
    <row r="137" spans="1:28" ht="21" customHeight="1" x14ac:dyDescent="0.3">
      <c r="A137" s="1450"/>
      <c r="B137" s="1456">
        <v>46321</v>
      </c>
      <c r="C137" s="1457"/>
      <c r="D137" s="1458" t="s">
        <v>972</v>
      </c>
      <c r="E137" s="1459"/>
      <c r="F137" s="977" t="s">
        <v>12</v>
      </c>
      <c r="G137" s="934"/>
      <c r="H137" s="1428" t="s">
        <v>957</v>
      </c>
      <c r="I137" s="1428" t="s">
        <v>957</v>
      </c>
      <c r="J137" s="1428" t="s">
        <v>957</v>
      </c>
      <c r="K137" s="1428" t="s">
        <v>957</v>
      </c>
      <c r="L137" s="1428" t="s">
        <v>957</v>
      </c>
      <c r="M137" s="1428" t="s">
        <v>957</v>
      </c>
      <c r="N137" s="1460">
        <f>SUM(M137:M138)</f>
        <v>117.51020612850002</v>
      </c>
      <c r="O137" s="1428" t="s">
        <v>957</v>
      </c>
      <c r="P137" s="1428" t="s">
        <v>957</v>
      </c>
      <c r="Q137" s="1428" t="s">
        <v>957</v>
      </c>
      <c r="R137" s="1428" t="s">
        <v>957</v>
      </c>
      <c r="S137" s="1469"/>
      <c r="T137" s="1428" t="s">
        <v>957</v>
      </c>
      <c r="U137" s="1428" t="s">
        <v>957</v>
      </c>
      <c r="V137" s="1428" t="s">
        <v>957</v>
      </c>
      <c r="W137" s="1428" t="s">
        <v>957</v>
      </c>
      <c r="X137" s="1428" t="s">
        <v>957</v>
      </c>
      <c r="Y137" s="1428" t="s">
        <v>957</v>
      </c>
      <c r="Z137" s="1428" t="s">
        <v>957</v>
      </c>
      <c r="AA137" s="446"/>
      <c r="AB137" s="1368"/>
    </row>
    <row r="138" spans="1:28" ht="15" customHeight="1" thickBot="1" x14ac:dyDescent="0.35">
      <c r="A138" s="1450"/>
      <c r="B138" s="1456">
        <v>46321</v>
      </c>
      <c r="C138" s="1457"/>
      <c r="D138" s="451" t="s">
        <v>792</v>
      </c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0">
        <f>(J138*K138*G138)-'Au Cal Leaching Tank'!$U$33-SUM(M136)</f>
        <v>117.51020612850002</v>
      </c>
      <c r="N138" s="1461"/>
      <c r="O138" s="931">
        <f t="shared" ref="O138:O143" si="200">M138/P138</f>
        <v>9.7925171773750019</v>
      </c>
      <c r="P138" s="931">
        <f t="shared" ref="P138" si="201">Q138/60</f>
        <v>12</v>
      </c>
      <c r="Q138" s="931">
        <f t="shared" ref="Q138" si="202">(720-R138)</f>
        <v>720</v>
      </c>
      <c r="R138" s="931">
        <f>'Milling Down Time Hours'!G120</f>
        <v>0</v>
      </c>
      <c r="S138" s="1461"/>
      <c r="T138" s="1113">
        <f>AVERAGE('LF Ball Mill'!F320:F325)</f>
        <v>0.54133333333333333</v>
      </c>
      <c r="U138" s="1113">
        <f>AVERAGE('LF Ball Mill'!G320:G325)</f>
        <v>0.43500000000000005</v>
      </c>
      <c r="V138" s="1113">
        <f>AVERAGE('LF Ball Mill'!H320:H325)</f>
        <v>18.053333333333331</v>
      </c>
      <c r="W138" s="1113">
        <f>T138*M138</f>
        <v>63.612191584228007</v>
      </c>
      <c r="X138" s="1113">
        <f t="shared" ref="X138:Y138" si="203">U138*N138</f>
        <v>0</v>
      </c>
      <c r="Y138" s="1113">
        <f t="shared" si="203"/>
        <v>176.78757677554336</v>
      </c>
      <c r="Z138" s="977">
        <f>(1.2*7)+0.5</f>
        <v>8.9</v>
      </c>
      <c r="AA138" s="446"/>
      <c r="AB138" s="1368"/>
    </row>
    <row r="139" spans="1:28" ht="15" customHeight="1" thickBot="1" x14ac:dyDescent="0.35">
      <c r="A139" s="1451">
        <v>15</v>
      </c>
      <c r="B139" s="1462" t="s">
        <v>980</v>
      </c>
      <c r="C139" s="1453"/>
      <c r="D139" s="1246" t="s">
        <v>792</v>
      </c>
      <c r="E139" s="1246" t="s">
        <v>987</v>
      </c>
      <c r="F139" s="1253" t="s">
        <v>12</v>
      </c>
      <c r="G139" s="1256">
        <v>0.36</v>
      </c>
      <c r="H139" s="1257">
        <f>J139-'Au Cal Leaching Tank'!$T$30</f>
        <v>287.4484599999999</v>
      </c>
      <c r="I139" s="1249">
        <f>H139/P139</f>
        <v>23.954038333333326</v>
      </c>
      <c r="J139" s="1249">
        <f>3.14*Z139*((10.7/2)^2)</f>
        <v>395.4484599999999</v>
      </c>
      <c r="K139" s="1260">
        <v>1.24</v>
      </c>
      <c r="L139" s="1256">
        <v>0.78</v>
      </c>
      <c r="M139" s="1250">
        <f>(J139*K139*G139)-'Au Cal Leaching Tank'!$U$34</f>
        <v>136.35219254399996</v>
      </c>
      <c r="N139" s="1454">
        <f>SUM(M139:M140)</f>
        <v>203.15961487499999</v>
      </c>
      <c r="O139" s="1249">
        <f t="shared" si="200"/>
        <v>11.362682711999996</v>
      </c>
      <c r="P139" s="1249">
        <f t="shared" ref="P139" si="204">Q139/60</f>
        <v>12</v>
      </c>
      <c r="Q139" s="1249">
        <f t="shared" ref="Q139" si="205">(720-R139)</f>
        <v>720</v>
      </c>
      <c r="R139" s="1249">
        <f>'Milling Down Time Hours'!G121</f>
        <v>0</v>
      </c>
      <c r="S139" s="1454">
        <f>SUM(M139:M142)</f>
        <v>298.83836977200002</v>
      </c>
      <c r="T139" s="1249"/>
      <c r="U139" s="1249"/>
      <c r="V139" s="1251"/>
      <c r="W139" s="1252"/>
      <c r="X139" s="1249"/>
      <c r="Y139" s="1249"/>
      <c r="Z139" s="1253">
        <f>(1.2*3)+0.8</f>
        <v>4.3999999999999995</v>
      </c>
      <c r="AA139" s="446"/>
      <c r="AB139" s="1368"/>
    </row>
    <row r="140" spans="1:28" ht="15" customHeight="1" thickBot="1" x14ac:dyDescent="0.35">
      <c r="A140" s="1451"/>
      <c r="B140" s="1462" t="s">
        <v>980</v>
      </c>
      <c r="C140" s="1463"/>
      <c r="D140" s="1246" t="s">
        <v>792</v>
      </c>
      <c r="E140" s="1246" t="s">
        <v>986</v>
      </c>
      <c r="F140" s="1253" t="s">
        <v>13</v>
      </c>
      <c r="G140" s="1256">
        <v>0.38</v>
      </c>
      <c r="H140" s="1257">
        <f>J140-'Au Cal Leaching Tank'!$T$30-SUM(H139)</f>
        <v>116.83704500000005</v>
      </c>
      <c r="I140" s="1249">
        <f>H140/P140</f>
        <v>9.7364204166666699</v>
      </c>
      <c r="J140" s="1249">
        <f>3.14*Z140*((10.7/2)^2)</f>
        <v>512.28550499999994</v>
      </c>
      <c r="K140" s="1260">
        <v>1.25</v>
      </c>
      <c r="L140" s="1256">
        <v>0.79</v>
      </c>
      <c r="M140" s="1250">
        <f>(J140*K140*G140)-'Au Cal Leaching Tank'!$U$34-SUM(M139)</f>
        <v>66.807422331000026</v>
      </c>
      <c r="N140" s="1455"/>
      <c r="O140" s="1249">
        <f t="shared" si="200"/>
        <v>5.5672851942500019</v>
      </c>
      <c r="P140" s="1249">
        <f t="shared" ref="P140" si="206">Q140/60</f>
        <v>12</v>
      </c>
      <c r="Q140" s="1249">
        <f t="shared" ref="Q140" si="207">(720-R140)</f>
        <v>720</v>
      </c>
      <c r="R140" s="1249">
        <f>'Milling Down Time Hours'!G122</f>
        <v>0</v>
      </c>
      <c r="S140" s="1464"/>
      <c r="T140" s="1278">
        <f>AVERAGE('LF Ball Mill'!F327:F329)</f>
        <v>0.45433333333333331</v>
      </c>
      <c r="U140" s="1278">
        <f>AVERAGE('LF Ball Mill'!G327:G329)</f>
        <v>0.62</v>
      </c>
      <c r="V140" s="1278">
        <f>AVERAGE('LF Ball Mill'!H327:H329)</f>
        <v>15.773333333333333</v>
      </c>
      <c r="W140" s="1252"/>
      <c r="X140" s="1249"/>
      <c r="Y140" s="1249"/>
      <c r="Z140" s="1253">
        <f>(1.2*4)+0.9</f>
        <v>5.7</v>
      </c>
      <c r="AA140" s="446"/>
      <c r="AB140" s="1368"/>
    </row>
    <row r="141" spans="1:28" ht="15" customHeight="1" thickBot="1" x14ac:dyDescent="0.35">
      <c r="A141" s="1451"/>
      <c r="B141" s="1452">
        <v>46323</v>
      </c>
      <c r="C141" s="1453"/>
      <c r="D141" s="1246" t="s">
        <v>792</v>
      </c>
      <c r="E141" s="1246" t="s">
        <v>986</v>
      </c>
      <c r="F141" s="1253" t="s">
        <v>12</v>
      </c>
      <c r="G141" s="1256">
        <v>0.37</v>
      </c>
      <c r="H141" s="1257">
        <f>J141-'Au Cal Leaching Tank'!$T$30-SUM(H139:H140)</f>
        <v>224.68662499999982</v>
      </c>
      <c r="I141" s="1249">
        <f t="shared" ref="I141:I144" si="208">H141/P141</f>
        <v>21.398726190476175</v>
      </c>
      <c r="J141" s="1249">
        <f t="shared" ref="J141:J144" si="209">3.14*Z141*((10.7/2)^2)</f>
        <v>736.97212999999977</v>
      </c>
      <c r="K141" s="1260">
        <v>1.24</v>
      </c>
      <c r="L141" s="1256">
        <v>0.8</v>
      </c>
      <c r="M141" s="1250">
        <f>(J141*K141*G141)-'Au Cal Leaching Tank'!$U$34-SUM(M139:M140)</f>
        <v>94.787198368999952</v>
      </c>
      <c r="N141" s="1454">
        <f>SUM(M141:M142)</f>
        <v>95.678754897000033</v>
      </c>
      <c r="O141" s="1249">
        <f t="shared" si="200"/>
        <v>9.0273522256190439</v>
      </c>
      <c r="P141" s="1249">
        <f t="shared" ref="P141:P142" si="210">Q141/60</f>
        <v>10.5</v>
      </c>
      <c r="Q141" s="1249">
        <f t="shared" ref="Q141:Q142" si="211">(720-R141)</f>
        <v>630</v>
      </c>
      <c r="R141" s="1249">
        <f>'Milling Down Time Hours'!G123</f>
        <v>90</v>
      </c>
      <c r="S141" s="1464"/>
      <c r="T141" s="1249"/>
      <c r="U141" s="1249"/>
      <c r="V141" s="1251"/>
      <c r="W141" s="1252"/>
      <c r="X141" s="1249"/>
      <c r="Y141" s="1249"/>
      <c r="Z141" s="1253">
        <f>(1.2*6)+1</f>
        <v>8.1999999999999993</v>
      </c>
      <c r="AA141" s="446"/>
      <c r="AB141" s="1368"/>
    </row>
    <row r="142" spans="1:28" ht="15" customHeight="1" thickBot="1" x14ac:dyDescent="0.35">
      <c r="A142" s="1451"/>
      <c r="B142" s="1452">
        <v>46323</v>
      </c>
      <c r="C142" s="1453"/>
      <c r="D142" s="1246" t="s">
        <v>792</v>
      </c>
      <c r="E142" s="1246" t="s">
        <v>1002</v>
      </c>
      <c r="F142" s="1253" t="s">
        <v>13</v>
      </c>
      <c r="G142" s="1256">
        <v>0.36</v>
      </c>
      <c r="H142" s="1257">
        <f>J142-'Au Cal Leaching Tank'!$T$30-SUM(H139:H141)</f>
        <v>22.468662500000278</v>
      </c>
      <c r="I142" s="1249">
        <f t="shared" si="208"/>
        <v>1.8723885416666899</v>
      </c>
      <c r="J142" s="1249">
        <f t="shared" si="209"/>
        <v>759.44079250000004</v>
      </c>
      <c r="K142" s="1260">
        <v>1.24</v>
      </c>
      <c r="L142" s="1256">
        <v>0.8</v>
      </c>
      <c r="M142" s="1250">
        <f>(J142*K142*G142)-'Au Cal Leaching Tank'!$U$34-SUM(M139:M141)</f>
        <v>0.89155652800008056</v>
      </c>
      <c r="N142" s="1455"/>
      <c r="O142" s="1278">
        <f t="shared" si="200"/>
        <v>7.4296377333340047E-2</v>
      </c>
      <c r="P142" s="1249">
        <f t="shared" si="210"/>
        <v>12</v>
      </c>
      <c r="Q142" s="1249">
        <f t="shared" si="211"/>
        <v>720</v>
      </c>
      <c r="R142" s="1249">
        <f>'Milling Down Time Hours'!G124</f>
        <v>0</v>
      </c>
      <c r="S142" s="1455"/>
      <c r="T142" s="1249"/>
      <c r="U142" s="1249"/>
      <c r="V142" s="1251"/>
      <c r="W142" s="1252"/>
      <c r="X142" s="1249"/>
      <c r="Y142" s="1249"/>
      <c r="Z142" s="1413">
        <f>(1.2*7)+0.05</f>
        <v>8.4500000000000011</v>
      </c>
      <c r="AA142" s="446"/>
      <c r="AB142" s="1368"/>
    </row>
    <row r="143" spans="1:28" ht="15" thickBot="1" x14ac:dyDescent="0.35">
      <c r="A143" s="1450">
        <v>16</v>
      </c>
      <c r="B143" s="1456">
        <v>46324</v>
      </c>
      <c r="C143" s="1457"/>
      <c r="D143" s="451" t="s">
        <v>792</v>
      </c>
      <c r="E143" s="451" t="s">
        <v>1005</v>
      </c>
      <c r="F143" s="977" t="s">
        <v>12</v>
      </c>
      <c r="G143" s="934">
        <v>0.35</v>
      </c>
      <c r="H143" s="673">
        <f>J143-'Au Cal Leaching Tank'!$T$30</f>
        <v>431.24789999999996</v>
      </c>
      <c r="I143" s="931">
        <f t="shared" si="208"/>
        <v>35.937324999999994</v>
      </c>
      <c r="J143" s="931">
        <f t="shared" si="209"/>
        <v>539.24789999999996</v>
      </c>
      <c r="K143" s="450">
        <v>1.23</v>
      </c>
      <c r="L143" s="934">
        <v>0.8</v>
      </c>
      <c r="M143" s="1030">
        <f>(J143*K143*G143)-'Au Cal Leaching Tank'!$U$35</f>
        <v>185.65222094999996</v>
      </c>
      <c r="N143" s="1460">
        <f>SUM(M143:M144)</f>
        <v>307.83680762499989</v>
      </c>
      <c r="O143" s="931">
        <f t="shared" si="200"/>
        <v>15.471018412499996</v>
      </c>
      <c r="P143" s="931">
        <f t="shared" ref="P143" si="212">Q143/60</f>
        <v>12</v>
      </c>
      <c r="Q143" s="931">
        <f t="shared" ref="Q143" si="213">(720-R143)</f>
        <v>720</v>
      </c>
      <c r="R143" s="931">
        <f>'Milling Down Time Hours'!G125</f>
        <v>0</v>
      </c>
      <c r="S143" s="1460">
        <f>SUM(M143:M145)</f>
        <v>312.10585349999997</v>
      </c>
      <c r="T143" s="931"/>
      <c r="U143" s="931"/>
      <c r="V143" s="939"/>
      <c r="W143" s="976"/>
      <c r="X143" s="931"/>
      <c r="Y143" s="931"/>
      <c r="Z143" s="977">
        <f>1.2*5</f>
        <v>6</v>
      </c>
      <c r="AA143" s="446"/>
      <c r="AB143" s="1368"/>
    </row>
    <row r="144" spans="1:28" ht="15" thickBot="1" x14ac:dyDescent="0.35">
      <c r="A144" s="1450"/>
      <c r="B144" s="1456">
        <v>46324</v>
      </c>
      <c r="C144" s="1457"/>
      <c r="D144" s="451" t="s">
        <v>792</v>
      </c>
      <c r="E144" s="451" t="s">
        <v>1008</v>
      </c>
      <c r="F144" s="977" t="s">
        <v>13</v>
      </c>
      <c r="G144" s="934">
        <v>0.38</v>
      </c>
      <c r="H144" s="673">
        <f>J144-'Au Cal Leaching Tank'!$T$30-SUM(H143)</f>
        <v>206.71169499999985</v>
      </c>
      <c r="I144" s="931">
        <f t="shared" si="208"/>
        <v>39.373656190476161</v>
      </c>
      <c r="J144" s="931">
        <f t="shared" si="209"/>
        <v>745.95959499999981</v>
      </c>
      <c r="K144" s="450">
        <v>1.25</v>
      </c>
      <c r="L144" s="934">
        <v>0.8</v>
      </c>
      <c r="M144" s="1030">
        <f>(J144*K144*G144)-'Au Cal Leaching Tank'!$U$35-SUM(M143)</f>
        <v>122.18458667499993</v>
      </c>
      <c r="N144" s="1461"/>
      <c r="O144" s="931">
        <f>M144/P144</f>
        <v>23.273254604761892</v>
      </c>
      <c r="P144" s="931">
        <f>Q144/60</f>
        <v>5.25</v>
      </c>
      <c r="Q144" s="931">
        <f>(720-R144)</f>
        <v>315</v>
      </c>
      <c r="R144" s="931">
        <f>'Milling Down Time Hours'!G126</f>
        <v>405</v>
      </c>
      <c r="S144" s="1469"/>
      <c r="T144" s="931"/>
      <c r="U144" s="931"/>
      <c r="V144" s="939"/>
      <c r="W144" s="976"/>
      <c r="X144" s="931"/>
      <c r="Y144" s="931"/>
      <c r="Z144" s="977">
        <f>(1.2*6)+1.1</f>
        <v>8.2999999999999989</v>
      </c>
      <c r="AA144" s="446"/>
      <c r="AB144" s="1368"/>
    </row>
    <row r="145" spans="1:28" ht="15" thickBot="1" x14ac:dyDescent="0.35">
      <c r="A145" s="1450"/>
      <c r="B145" s="1456">
        <v>46325</v>
      </c>
      <c r="C145" s="1457"/>
      <c r="D145" s="451" t="s">
        <v>792</v>
      </c>
      <c r="E145" s="451" t="s">
        <v>1038</v>
      </c>
      <c r="F145" s="977" t="s">
        <v>12</v>
      </c>
      <c r="G145" s="934">
        <v>0.38</v>
      </c>
      <c r="H145" s="673">
        <f>J145-'Au Cal Leaching Tank'!$T$30-SUM(H143:H144)</f>
        <v>8.9874650000000429</v>
      </c>
      <c r="I145" s="931">
        <f t="shared" ref="I145" si="214">H145/P145</f>
        <v>0.7489554166666702</v>
      </c>
      <c r="J145" s="931">
        <f t="shared" ref="J145" si="215">3.14*Z145*((10.7/2)^2)</f>
        <v>754.94705999999985</v>
      </c>
      <c r="K145" s="450">
        <v>1.25</v>
      </c>
      <c r="L145" s="934">
        <v>0.8</v>
      </c>
      <c r="M145" s="1030">
        <f>(J145*K145*G145)-SUM(M143:M144)-'Au Cal Leaching Tank'!$U$35</f>
        <v>4.269045875000046</v>
      </c>
      <c r="N145" s="1460">
        <f>SUM(M145:M146)</f>
        <v>75.130701411000018</v>
      </c>
      <c r="O145" s="1113">
        <f>M145/P145</f>
        <v>0.35575382291667051</v>
      </c>
      <c r="P145" s="931">
        <f>Q145/60</f>
        <v>12</v>
      </c>
      <c r="Q145" s="931">
        <f>(720-R145)</f>
        <v>720</v>
      </c>
      <c r="R145" s="931">
        <f>'Milling Down Time Hours'!G127</f>
        <v>0</v>
      </c>
      <c r="S145" s="1461"/>
      <c r="T145" s="931"/>
      <c r="U145" s="931"/>
      <c r="V145" s="939"/>
      <c r="W145" s="976"/>
      <c r="X145" s="931"/>
      <c r="Y145" s="931"/>
      <c r="Z145" s="977">
        <f>(1.2*7)</f>
        <v>8.4</v>
      </c>
      <c r="AA145" s="446"/>
      <c r="AB145" s="1368"/>
    </row>
    <row r="146" spans="1:28" ht="15" thickBot="1" x14ac:dyDescent="0.35">
      <c r="A146" s="1451">
        <v>17</v>
      </c>
      <c r="B146" s="1452">
        <v>46325</v>
      </c>
      <c r="C146" s="1453"/>
      <c r="D146" s="1246" t="s">
        <v>792</v>
      </c>
      <c r="E146" s="1246" t="s">
        <v>1044</v>
      </c>
      <c r="F146" s="1253" t="s">
        <v>12</v>
      </c>
      <c r="G146" s="1256">
        <v>0.26</v>
      </c>
      <c r="H146" s="1257">
        <f>J146-'Au Cal Leaching Tank'!$T$30</f>
        <v>287.4484599999999</v>
      </c>
      <c r="I146" s="1249">
        <f>H146/P146</f>
        <v>35.931057499999987</v>
      </c>
      <c r="J146" s="1249">
        <f t="shared" ref="J146" si="216">3.14*Z146*((10.7/2)^2)</f>
        <v>395.4484599999999</v>
      </c>
      <c r="K146" s="1260">
        <v>1.1599999999999999</v>
      </c>
      <c r="L146" s="1256">
        <v>0.8</v>
      </c>
      <c r="M146" s="1250">
        <f>(J146*K146*G146)-'Au Cal Leaching Tank'!$U$36</f>
        <v>70.861655535999972</v>
      </c>
      <c r="N146" s="1461"/>
      <c r="O146" s="1249">
        <f>M146/P146</f>
        <v>8.8577069419999965</v>
      </c>
      <c r="P146" s="1249">
        <f>Q146/60</f>
        <v>8</v>
      </c>
      <c r="Q146" s="1249">
        <f>(480-R146)</f>
        <v>480</v>
      </c>
      <c r="R146" s="1249">
        <f>'Milling Down Time Hours'!G128</f>
        <v>0</v>
      </c>
      <c r="S146" s="1427"/>
      <c r="T146" s="1249"/>
      <c r="U146" s="1249"/>
      <c r="V146" s="1251"/>
      <c r="W146" s="1252"/>
      <c r="X146" s="1249"/>
      <c r="Y146" s="1249"/>
      <c r="Z146" s="1253">
        <f>(1.2*3)+0.8</f>
        <v>4.3999999999999995</v>
      </c>
      <c r="AA146" s="446"/>
      <c r="AB146" s="1368"/>
    </row>
    <row r="147" spans="1:28" ht="15" customHeight="1" thickBot="1" x14ac:dyDescent="0.35">
      <c r="A147" s="1451"/>
      <c r="B147" s="1452">
        <v>46325</v>
      </c>
      <c r="C147" s="1453"/>
      <c r="D147" s="1246" t="s">
        <v>792</v>
      </c>
      <c r="E147" s="1246" t="s">
        <v>1046</v>
      </c>
      <c r="F147" s="1253" t="s">
        <v>13</v>
      </c>
      <c r="G147" s="1256">
        <v>0.28999999999999998</v>
      </c>
      <c r="H147" s="1257">
        <f>J147-'Au Cal Leaching Tank'!$T$30-SUM(H146)</f>
        <v>107.84958</v>
      </c>
      <c r="I147" s="1249">
        <f>H147/P147</f>
        <v>76.129115294117639</v>
      </c>
      <c r="J147" s="1249">
        <f>3.14*Z147*((10.7/2)^2)</f>
        <v>503.2980399999999</v>
      </c>
      <c r="K147" s="1260">
        <v>1.18</v>
      </c>
      <c r="L147" s="1256">
        <v>0.8</v>
      </c>
      <c r="M147" s="1250">
        <f>(J147*K147*G147)-'Au Cal Leaching Tank'!$U$36-SUM(M146)</f>
        <v>52.961333751999973</v>
      </c>
      <c r="N147" s="1454">
        <f>SUM(M147:M148)</f>
        <v>65.263375843999995</v>
      </c>
      <c r="O147" s="1249">
        <f>M147/P147</f>
        <v>37.384470883764685</v>
      </c>
      <c r="P147" s="1249">
        <f>Q147/60</f>
        <v>1.4166666666666667</v>
      </c>
      <c r="Q147" s="1249">
        <f>(720-R147)</f>
        <v>85</v>
      </c>
      <c r="R147" s="1249">
        <f>'Milling Down Time Hours'!G129</f>
        <v>635</v>
      </c>
      <c r="S147" s="1427"/>
      <c r="T147" s="1249"/>
      <c r="U147" s="1249"/>
      <c r="V147" s="1251"/>
      <c r="W147" s="1252"/>
      <c r="X147" s="1249"/>
      <c r="Y147" s="1249"/>
      <c r="Z147" s="1253">
        <f>(1.2*4)+0.8</f>
        <v>5.6</v>
      </c>
      <c r="AA147" s="446"/>
      <c r="AB147" s="1368"/>
    </row>
    <row r="148" spans="1:28" ht="15" customHeight="1" thickBot="1" x14ac:dyDescent="0.35">
      <c r="A148" s="1451"/>
      <c r="B148" s="1452">
        <v>46326</v>
      </c>
      <c r="C148" s="1453"/>
      <c r="D148" s="1246" t="s">
        <v>792</v>
      </c>
      <c r="E148" s="1246" t="s">
        <v>1046</v>
      </c>
      <c r="F148" s="1253" t="s">
        <v>12</v>
      </c>
      <c r="G148" s="1256">
        <v>0.28999999999999998</v>
      </c>
      <c r="H148" s="1257">
        <f>J148-'Au Cal Leaching Tank'!$T$30-SUM(H146:H147)</f>
        <v>35.949860000000058</v>
      </c>
      <c r="I148" s="1249">
        <f>H148/P148</f>
        <v>10.271388571428588</v>
      </c>
      <c r="J148" s="1249">
        <f>3.14*Z148*((10.7/2)^2)</f>
        <v>539.24789999999996</v>
      </c>
      <c r="K148" s="1260">
        <v>1.18</v>
      </c>
      <c r="L148" s="1256">
        <v>0.8</v>
      </c>
      <c r="M148" s="1250">
        <f>(J148*K148*G148)-'Au Cal Leaching Tank'!$U$36-SUM(M146:M147)</f>
        <v>12.302042092000022</v>
      </c>
      <c r="N148" s="1455"/>
      <c r="O148" s="1249">
        <f>M148/P148</f>
        <v>3.5148691691428633</v>
      </c>
      <c r="P148" s="1249">
        <f>Q148/60</f>
        <v>3.5</v>
      </c>
      <c r="Q148" s="1249">
        <f>(720-R148)</f>
        <v>210</v>
      </c>
      <c r="R148" s="1249">
        <f>'Milling Down Time Hours'!G130</f>
        <v>510</v>
      </c>
      <c r="S148" s="1427"/>
      <c r="T148" s="1249"/>
      <c r="U148" s="1249"/>
      <c r="V148" s="1251"/>
      <c r="W148" s="1252"/>
      <c r="X148" s="1249"/>
      <c r="Y148" s="1249"/>
      <c r="Z148" s="1253">
        <f>(1.2*5)</f>
        <v>6</v>
      </c>
      <c r="AA148" s="446"/>
      <c r="AB148" s="1368"/>
    </row>
    <row r="149" spans="1:28" ht="15" customHeight="1" thickBot="1" x14ac:dyDescent="0.35">
      <c r="A149" s="1387"/>
      <c r="B149" s="1383"/>
      <c r="C149" s="1384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8"/>
    </row>
    <row r="150" spans="1:28" ht="15" customHeight="1" thickBot="1" x14ac:dyDescent="0.35">
      <c r="A150" s="1387"/>
      <c r="B150" s="1383"/>
      <c r="C150" s="1384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8"/>
    </row>
    <row r="151" spans="1:28" ht="15" customHeight="1" thickBot="1" x14ac:dyDescent="0.35">
      <c r="A151" s="1387"/>
      <c r="B151" s="1383"/>
      <c r="C151" s="1384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8"/>
    </row>
    <row r="152" spans="1:28" ht="15" customHeight="1" thickBot="1" x14ac:dyDescent="0.35">
      <c r="A152" s="1387"/>
      <c r="B152" s="1383"/>
      <c r="C152" s="1384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8"/>
    </row>
    <row r="153" spans="1:28" ht="15" customHeight="1" thickBot="1" x14ac:dyDescent="0.35">
      <c r="A153" s="1387"/>
      <c r="B153" s="1383"/>
      <c r="C153" s="1384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8"/>
    </row>
    <row r="154" spans="1:28" ht="15" customHeight="1" thickBot="1" x14ac:dyDescent="0.35">
      <c r="A154" s="1382"/>
      <c r="B154" s="1465"/>
      <c r="C154" s="1466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8"/>
    </row>
    <row r="155" spans="1:28" ht="15" thickBot="1" x14ac:dyDescent="0.35">
      <c r="B155" s="1465"/>
      <c r="C155" s="1466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8"/>
    </row>
    <row r="156" spans="1:28" ht="15" thickBot="1" x14ac:dyDescent="0.35">
      <c r="B156" s="1465"/>
      <c r="C156" s="1466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17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18">T156*M156</f>
        <v>0</v>
      </c>
      <c r="X156" s="154">
        <f t="shared" ref="X156" si="219">M156*U156</f>
        <v>0</v>
      </c>
      <c r="Y156" s="154">
        <f t="shared" ref="Y156" si="220">M156*V156</f>
        <v>0</v>
      </c>
      <c r="Z156" s="745"/>
      <c r="AA156" s="446"/>
      <c r="AB156" s="1368"/>
    </row>
    <row r="157" spans="1:28" ht="18" x14ac:dyDescent="0.35">
      <c r="B157" s="1372" t="s">
        <v>121</v>
      </c>
      <c r="C157" s="1373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1438">
        <f>AVERAGE(N5:N147)</f>
        <v>167.52784095020456</v>
      </c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2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2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W160" s="12"/>
      <c r="Y160" s="584" t="s">
        <v>201</v>
      </c>
      <c r="Z160" s="136">
        <f>MAX(Z5:Z102)</f>
        <v>11.3</v>
      </c>
      <c r="AA160" s="921"/>
      <c r="AB160" s="1"/>
    </row>
    <row r="161" spans="4:28" x14ac:dyDescent="0.3">
      <c r="L161" s="332"/>
      <c r="M161" s="884"/>
      <c r="N161" s="332"/>
      <c r="O161" s="432"/>
      <c r="P161" s="332"/>
      <c r="Q161" s="432"/>
      <c r="R161" s="12"/>
      <c r="S161" s="1"/>
      <c r="V161" s="29"/>
      <c r="W161" s="12"/>
      <c r="Y161" s="584"/>
      <c r="Z161" s="1"/>
      <c r="AA161" s="921"/>
      <c r="AB161" s="1"/>
    </row>
    <row r="162" spans="4:28" x14ac:dyDescent="0.3">
      <c r="L162" s="332"/>
      <c r="M162" s="432"/>
      <c r="N162" s="332"/>
      <c r="O162" s="432"/>
      <c r="P162" s="332"/>
      <c r="Q162" s="432"/>
      <c r="R162" s="12"/>
      <c r="S162" s="1"/>
      <c r="W162" s="12"/>
      <c r="Y162" s="584"/>
      <c r="Z162" s="1"/>
      <c r="AA162" s="921"/>
      <c r="AB162" s="1"/>
    </row>
    <row r="163" spans="4:28" x14ac:dyDescent="0.3">
      <c r="L163" s="332"/>
      <c r="M163" s="432"/>
      <c r="N163" s="332"/>
      <c r="O163" s="432"/>
      <c r="P163" s="332"/>
      <c r="Q163" s="432"/>
      <c r="R163" s="12"/>
      <c r="S163" s="1"/>
      <c r="W163" s="12"/>
      <c r="Y163" s="584"/>
      <c r="Z163" s="1"/>
      <c r="AA163" s="921"/>
      <c r="AB163" s="1"/>
    </row>
    <row r="164" spans="4:28" x14ac:dyDescent="0.3">
      <c r="L164" s="332"/>
      <c r="M164" s="432"/>
      <c r="N164" s="332"/>
      <c r="O164" s="432"/>
      <c r="P164" s="332"/>
      <c r="Q164" s="432"/>
      <c r="R164" s="12"/>
      <c r="S164" s="1"/>
      <c r="W164" s="12"/>
      <c r="Y164" s="584"/>
      <c r="Z164" s="1"/>
      <c r="AA164" s="921"/>
      <c r="AB164" s="1"/>
    </row>
    <row r="165" spans="4:28" x14ac:dyDescent="0.3">
      <c r="L165" s="332"/>
      <c r="M165" s="432"/>
      <c r="N165" s="332"/>
      <c r="O165" s="432"/>
      <c r="P165" s="332"/>
      <c r="Q165" s="432"/>
      <c r="R165" s="12"/>
      <c r="S165" s="1"/>
      <c r="W165" s="12"/>
      <c r="Y165" s="584"/>
      <c r="Z165" s="1"/>
      <c r="AA165" s="921"/>
      <c r="AB165" s="1"/>
    </row>
    <row r="166" spans="4:28" x14ac:dyDescent="0.3">
      <c r="L166" s="332"/>
      <c r="M166" s="432"/>
      <c r="N166" s="332"/>
      <c r="O166" s="432"/>
      <c r="P166" s="332"/>
      <c r="Q166" s="432"/>
      <c r="R166" s="12"/>
      <c r="S166" s="1"/>
      <c r="W166" s="12"/>
      <c r="Y166" s="584"/>
      <c r="Z166" s="1"/>
      <c r="AA166" s="921"/>
      <c r="AB166" s="1"/>
    </row>
    <row r="167" spans="4:28" x14ac:dyDescent="0.3">
      <c r="L167" s="332"/>
      <c r="M167" s="432"/>
      <c r="N167" s="332"/>
      <c r="O167" s="432"/>
      <c r="P167" s="332"/>
      <c r="Q167" s="432"/>
      <c r="R167" s="12"/>
      <c r="S167" s="1"/>
      <c r="W167" s="12"/>
      <c r="Y167" s="584"/>
      <c r="Z167" s="1"/>
      <c r="AA167" s="921"/>
      <c r="AB167" s="1"/>
    </row>
    <row r="168" spans="4:28" x14ac:dyDescent="0.3">
      <c r="D168" s="137"/>
      <c r="L168" s="332"/>
      <c r="M168" s="432"/>
      <c r="N168" s="332"/>
      <c r="O168" s="432"/>
      <c r="P168" s="332"/>
      <c r="Q168" s="432"/>
      <c r="R168" s="12"/>
      <c r="S168" s="1"/>
      <c r="W168" s="12"/>
      <c r="Y168" s="584"/>
      <c r="Z168" s="1"/>
      <c r="AA168" s="921"/>
      <c r="AB168" s="1"/>
    </row>
    <row r="169" spans="4:28" x14ac:dyDescent="0.3">
      <c r="D169" s="137"/>
      <c r="L169" s="332"/>
      <c r="M169" s="432"/>
      <c r="N169" s="332"/>
      <c r="O169" s="432"/>
      <c r="P169" s="332"/>
      <c r="Q169" s="432"/>
      <c r="R169" s="12"/>
      <c r="S169" s="1"/>
      <c r="W169" s="12"/>
      <c r="Y169" s="584"/>
      <c r="Z169" s="1"/>
      <c r="AA169" s="921"/>
      <c r="AB169" s="1"/>
    </row>
    <row r="170" spans="4:28" x14ac:dyDescent="0.3">
      <c r="L170" s="332"/>
      <c r="M170" s="432"/>
      <c r="N170" s="332"/>
      <c r="O170" s="432"/>
      <c r="P170" s="332"/>
      <c r="Q170" s="432"/>
      <c r="R170" s="12"/>
      <c r="S170" s="1"/>
      <c r="W170" s="12"/>
      <c r="Y170" s="584"/>
      <c r="Z170" s="1"/>
      <c r="AA170" s="921"/>
      <c r="AB170" s="1"/>
    </row>
    <row r="171" spans="4:28" x14ac:dyDescent="0.3">
      <c r="L171" s="332"/>
      <c r="M171" s="432"/>
      <c r="N171" s="332"/>
      <c r="O171" s="432"/>
      <c r="P171" s="332"/>
      <c r="Q171" s="432"/>
      <c r="R171" s="12"/>
      <c r="S171" s="1"/>
      <c r="W171" s="12"/>
      <c r="Y171" s="584"/>
      <c r="Z171" s="1"/>
      <c r="AA171" s="921"/>
      <c r="AB171" s="1"/>
    </row>
    <row r="172" spans="4:28" x14ac:dyDescent="0.3">
      <c r="L172" s="332"/>
      <c r="M172" s="432"/>
      <c r="N172" s="332"/>
      <c r="O172" s="432"/>
      <c r="P172" s="332"/>
      <c r="Q172" s="432"/>
      <c r="R172" s="12"/>
      <c r="S172" s="1"/>
      <c r="W172" s="12"/>
      <c r="Y172" s="584"/>
      <c r="Z172" s="1"/>
      <c r="AA172" s="921"/>
      <c r="AB172" s="1"/>
    </row>
    <row r="173" spans="4:28" x14ac:dyDescent="0.3">
      <c r="L173" s="332"/>
      <c r="M173" s="432"/>
      <c r="N173" s="332"/>
      <c r="O173" s="432"/>
      <c r="P173" s="332"/>
      <c r="Q173" s="432"/>
      <c r="R173" s="12"/>
      <c r="S173" s="1"/>
      <c r="W173" s="12"/>
      <c r="Y173" s="584"/>
      <c r="Z173" s="1"/>
      <c r="AA173" s="921"/>
      <c r="AB173" s="1"/>
    </row>
    <row r="174" spans="4:28" x14ac:dyDescent="0.3">
      <c r="L174" s="332"/>
      <c r="M174" s="432"/>
      <c r="N174" s="332"/>
      <c r="O174" s="432"/>
      <c r="P174" s="332"/>
      <c r="Q174" s="432"/>
      <c r="R174" s="12"/>
      <c r="S174" s="1"/>
      <c r="W174" s="12"/>
      <c r="Y174" s="584"/>
      <c r="Z174" s="1"/>
      <c r="AA174" s="921"/>
      <c r="AB174" s="1"/>
    </row>
    <row r="175" spans="4:28" x14ac:dyDescent="0.3">
      <c r="L175" s="332"/>
      <c r="M175" s="432"/>
      <c r="N175" s="332"/>
      <c r="O175" s="432"/>
      <c r="P175" s="332"/>
      <c r="Q175" s="432"/>
      <c r="R175" s="12"/>
      <c r="S175" s="1"/>
      <c r="W175" s="12"/>
      <c r="Y175" s="584"/>
      <c r="Z175" s="1"/>
      <c r="AA175" s="921"/>
      <c r="AB175" s="1"/>
    </row>
    <row r="176" spans="4:28" x14ac:dyDescent="0.3">
      <c r="L176" s="332"/>
      <c r="M176" s="432"/>
      <c r="N176" s="332"/>
      <c r="O176" s="432"/>
      <c r="P176" s="332"/>
      <c r="Q176" s="432"/>
      <c r="R176" s="12"/>
      <c r="S176" s="1"/>
      <c r="W176" s="12"/>
      <c r="Y176" s="584"/>
      <c r="Z176" s="1"/>
      <c r="AA176" s="921"/>
      <c r="AB176" s="1"/>
    </row>
    <row r="177" spans="12:28" x14ac:dyDescent="0.3">
      <c r="L177" s="332"/>
      <c r="M177" s="432"/>
      <c r="N177" s="332"/>
      <c r="O177" s="432"/>
      <c r="P177" s="332"/>
      <c r="Q177" s="432"/>
      <c r="R177" s="12"/>
      <c r="S177" s="1"/>
      <c r="W177" s="12"/>
      <c r="Y177" s="584"/>
      <c r="Z177" s="1"/>
      <c r="AA177" s="921"/>
      <c r="AB177" s="1"/>
    </row>
    <row r="178" spans="12:28" x14ac:dyDescent="0.3">
      <c r="L178" s="332"/>
      <c r="M178" s="432"/>
      <c r="N178" s="332"/>
      <c r="O178" s="432"/>
      <c r="P178" s="332"/>
      <c r="Q178" s="432"/>
      <c r="R178" s="12"/>
      <c r="S178" s="1"/>
      <c r="W178" s="12"/>
      <c r="Y178" s="584"/>
      <c r="Z178" s="1"/>
      <c r="AA178" s="921"/>
      <c r="AB178" s="1"/>
    </row>
    <row r="179" spans="12:28" x14ac:dyDescent="0.3">
      <c r="L179" s="332"/>
      <c r="M179" s="432"/>
      <c r="N179" s="332"/>
      <c r="O179" s="432"/>
      <c r="P179" s="332"/>
      <c r="Q179" s="432"/>
      <c r="R179" s="12"/>
      <c r="S179" s="1"/>
      <c r="W179" s="12"/>
      <c r="Y179" s="584"/>
      <c r="Z179" s="1"/>
      <c r="AA179" s="921"/>
      <c r="AB179" s="1"/>
    </row>
    <row r="180" spans="12:28" x14ac:dyDescent="0.3">
      <c r="L180" s="332"/>
      <c r="M180" s="432"/>
      <c r="N180" s="332"/>
      <c r="O180" s="432"/>
      <c r="P180" s="332"/>
      <c r="Q180" s="432"/>
      <c r="R180" s="12"/>
      <c r="S180" s="1"/>
      <c r="W180" s="12"/>
      <c r="Y180" s="584"/>
      <c r="Z180" s="1"/>
      <c r="AA180" s="921"/>
      <c r="AB180" s="1"/>
    </row>
    <row r="181" spans="12:28" x14ac:dyDescent="0.3">
      <c r="L181" s="332"/>
      <c r="M181" s="432"/>
      <c r="N181" s="332"/>
      <c r="O181" s="432"/>
      <c r="P181" s="332"/>
      <c r="Q181" s="432"/>
      <c r="R181" s="12"/>
      <c r="S181" s="1"/>
      <c r="W181" s="12"/>
      <c r="Y181" s="584"/>
      <c r="Z181" s="1"/>
      <c r="AA181" s="921"/>
      <c r="AB181" s="1"/>
    </row>
    <row r="182" spans="12:28" x14ac:dyDescent="0.3">
      <c r="L182" s="332"/>
      <c r="M182" s="432"/>
      <c r="N182" s="332"/>
      <c r="O182" s="432"/>
      <c r="P182" s="332"/>
      <c r="Q182" s="432"/>
      <c r="R182" s="12"/>
      <c r="S182" s="1"/>
      <c r="W182" s="12"/>
      <c r="Y182" s="584"/>
      <c r="Z182" s="1"/>
      <c r="AA182" s="921"/>
      <c r="AB182" s="1"/>
    </row>
  </sheetData>
  <mergeCells count="258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27:A129"/>
    <mergeCell ref="B130:C130"/>
    <mergeCell ref="B131:C131"/>
    <mergeCell ref="B132:C132"/>
    <mergeCell ref="B127:C128"/>
    <mergeCell ref="B129:C129"/>
    <mergeCell ref="S125:S126"/>
    <mergeCell ref="S127:S129"/>
    <mergeCell ref="S139:S142"/>
    <mergeCell ref="B143:C143"/>
    <mergeCell ref="B154:C154"/>
    <mergeCell ref="B155:C155"/>
    <mergeCell ref="B156:C156"/>
    <mergeCell ref="B133:C133"/>
    <mergeCell ref="N133:N134"/>
    <mergeCell ref="S133:S135"/>
    <mergeCell ref="B139:C139"/>
    <mergeCell ref="S136:S138"/>
    <mergeCell ref="N143:N144"/>
    <mergeCell ref="B141:C141"/>
    <mergeCell ref="B142:C142"/>
    <mergeCell ref="N141:N142"/>
    <mergeCell ref="B144:C144"/>
    <mergeCell ref="S143:S145"/>
    <mergeCell ref="A143:A145"/>
    <mergeCell ref="A133:A135"/>
    <mergeCell ref="A136:A138"/>
    <mergeCell ref="B134:C134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  <mergeCell ref="A139:A142"/>
    <mergeCell ref="B145:C145"/>
    <mergeCell ref="N145:N146"/>
    <mergeCell ref="B146:C146"/>
    <mergeCell ref="A146:A148"/>
    <mergeCell ref="N147:N148"/>
    <mergeCell ref="B147:C147"/>
    <mergeCell ref="B148:C148"/>
  </mergeCells>
  <phoneticPr fontId="122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8"/>
  <sheetViews>
    <sheetView topLeftCell="A52" workbookViewId="0">
      <selection activeCell="K64" sqref="K6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671" t="s">
        <v>269</v>
      </c>
      <c r="B3" s="1672"/>
      <c r="C3" s="1672"/>
      <c r="D3" s="1672"/>
      <c r="E3" s="1672"/>
      <c r="F3" s="1672"/>
      <c r="G3" s="1673"/>
      <c r="I3" s="1">
        <f>I2/2</f>
        <v>720</v>
      </c>
    </row>
    <row r="4" spans="1:14" ht="15" thickBot="1" x14ac:dyDescent="0.35">
      <c r="A4" s="1674" t="s">
        <v>0</v>
      </c>
      <c r="B4" s="167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48">
        <v>46268</v>
      </c>
      <c r="B5" s="1667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48">
        <v>46269</v>
      </c>
      <c r="B6" s="1667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48">
        <v>46270</v>
      </c>
      <c r="B7" s="1667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48">
        <v>46271</v>
      </c>
      <c r="B8" s="1667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48">
        <v>46272</v>
      </c>
      <c r="B9" s="1667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48">
        <v>46273</v>
      </c>
      <c r="B10" s="1667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48">
        <v>46274</v>
      </c>
      <c r="B11" s="1667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48">
        <v>46275</v>
      </c>
      <c r="B12" s="1667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48">
        <v>46276</v>
      </c>
      <c r="B13" s="1667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48">
        <v>46277</v>
      </c>
      <c r="B14" s="1667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48">
        <v>46278</v>
      </c>
      <c r="B15" s="1667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48">
        <v>46279</v>
      </c>
      <c r="B16" s="1667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48">
        <v>46280</v>
      </c>
      <c r="B17" s="1667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48">
        <v>46281</v>
      </c>
      <c r="B18" s="1667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48">
        <v>46282</v>
      </c>
      <c r="B19" s="1667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48">
        <v>46283</v>
      </c>
      <c r="B20" s="1667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48">
        <v>46284</v>
      </c>
      <c r="B21" s="1667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48">
        <v>46285</v>
      </c>
      <c r="B22" s="1667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48">
        <v>46286</v>
      </c>
      <c r="B23" s="1667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48">
        <v>46287</v>
      </c>
      <c r="B24" s="1667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48">
        <v>46288</v>
      </c>
      <c r="B25" s="1667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48">
        <v>46289</v>
      </c>
      <c r="B26" s="1667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48">
        <v>46290</v>
      </c>
      <c r="B27" s="1667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48">
        <v>46291</v>
      </c>
      <c r="B28" s="1667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48">
        <v>46292</v>
      </c>
      <c r="B29" s="1667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48">
        <v>46293</v>
      </c>
      <c r="B30" s="1667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48">
        <v>46294</v>
      </c>
      <c r="B31" s="1667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48">
        <v>46295</v>
      </c>
      <c r="B32" s="1667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48">
        <v>46296</v>
      </c>
      <c r="B33" s="1667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48">
        <v>46297</v>
      </c>
      <c r="B34" s="1667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48">
        <v>46298</v>
      </c>
      <c r="B35" s="1667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48">
        <v>46299</v>
      </c>
      <c r="B36" s="1667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48">
        <v>46300</v>
      </c>
      <c r="B37" s="1667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48">
        <v>46301</v>
      </c>
      <c r="B38" s="1667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48">
        <v>46302</v>
      </c>
      <c r="B39" s="1667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48">
        <v>46303</v>
      </c>
      <c r="B40" s="1667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48">
        <v>46304</v>
      </c>
      <c r="B41" s="1667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48">
        <v>46305</v>
      </c>
      <c r="B42" s="1667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48">
        <v>46306</v>
      </c>
      <c r="B43" s="1667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48">
        <v>46307</v>
      </c>
      <c r="B44" s="1667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48">
        <v>46308</v>
      </c>
      <c r="B45" s="1667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48">
        <v>46309</v>
      </c>
      <c r="B46" s="1667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48">
        <v>46310</v>
      </c>
      <c r="B47" s="1667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48">
        <v>46311</v>
      </c>
      <c r="B48" s="1667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48">
        <v>46312</v>
      </c>
      <c r="B49" s="1667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48">
        <v>46313</v>
      </c>
      <c r="B50" s="1667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48">
        <v>46314</v>
      </c>
      <c r="B51" s="1667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48">
        <v>46315</v>
      </c>
      <c r="B52" s="1667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48">
        <v>46316</v>
      </c>
      <c r="B53" s="1667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48">
        <v>46317</v>
      </c>
      <c r="B54" s="1667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48">
        <v>46318</v>
      </c>
      <c r="B55" s="1667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48">
        <v>46319</v>
      </c>
      <c r="B56" s="1667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48">
        <v>46320</v>
      </c>
      <c r="B57" s="1667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48">
        <v>46321</v>
      </c>
      <c r="B58" s="1667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48">
        <v>46322</v>
      </c>
      <c r="B59" s="1667"/>
      <c r="C59" s="64"/>
      <c r="D59" s="67"/>
      <c r="E59" s="67"/>
      <c r="F59" s="61">
        <f t="shared" si="5"/>
        <v>0</v>
      </c>
      <c r="G59" s="65"/>
    </row>
    <row r="60" spans="1:18" x14ac:dyDescent="0.3">
      <c r="A60" s="1848">
        <v>46323</v>
      </c>
      <c r="B60" s="1667"/>
      <c r="C60" s="64"/>
      <c r="D60" s="67"/>
      <c r="E60" s="67"/>
      <c r="F60" s="61">
        <f t="shared" si="5"/>
        <v>0</v>
      </c>
      <c r="G60" s="65"/>
    </row>
    <row r="61" spans="1:18" x14ac:dyDescent="0.3">
      <c r="A61" s="1848">
        <v>46324</v>
      </c>
      <c r="B61" s="1667"/>
      <c r="C61" s="64"/>
      <c r="D61" s="67"/>
      <c r="E61" s="67"/>
      <c r="F61" s="61">
        <f t="shared" si="5"/>
        <v>0</v>
      </c>
      <c r="G61" s="65"/>
    </row>
    <row r="62" spans="1:18" x14ac:dyDescent="0.3">
      <c r="A62" s="1848">
        <v>46325</v>
      </c>
      <c r="B62" s="1667"/>
      <c r="C62" s="64"/>
      <c r="D62" s="67"/>
      <c r="E62" s="67"/>
      <c r="F62" s="61">
        <f t="shared" si="5"/>
        <v>0</v>
      </c>
      <c r="G62" s="65"/>
    </row>
    <row r="63" spans="1:18" x14ac:dyDescent="0.3">
      <c r="A63" s="1848">
        <v>46326</v>
      </c>
      <c r="B63" s="1667"/>
      <c r="C63" s="64"/>
      <c r="D63" s="67">
        <v>0.54722222222222228</v>
      </c>
      <c r="E63" s="67">
        <v>0.61805555555555558</v>
      </c>
      <c r="F63" s="61">
        <f>(E63-D63)*1440</f>
        <v>101.99999999999996</v>
      </c>
      <c r="G63" s="1448" t="s">
        <v>1047</v>
      </c>
    </row>
    <row r="64" spans="1:18" x14ac:dyDescent="0.3">
      <c r="A64" s="1848">
        <v>46327</v>
      </c>
      <c r="B64" s="1667"/>
      <c r="C64" s="64"/>
      <c r="D64" s="67"/>
      <c r="E64" s="67"/>
      <c r="F64" s="61">
        <f t="shared" ref="F64:F68" si="6">(E64-D64)*1440</f>
        <v>0</v>
      </c>
      <c r="G64" s="65"/>
    </row>
    <row r="65" spans="1:7" x14ac:dyDescent="0.3">
      <c r="A65" s="1848">
        <v>46328</v>
      </c>
      <c r="B65" s="1667"/>
      <c r="C65" s="64"/>
      <c r="D65" s="67"/>
      <c r="E65" s="67"/>
      <c r="F65" s="61">
        <f t="shared" si="6"/>
        <v>0</v>
      </c>
      <c r="G65" s="65"/>
    </row>
    <row r="66" spans="1:7" x14ac:dyDescent="0.3">
      <c r="A66" s="1848">
        <v>46329</v>
      </c>
      <c r="B66" s="1667"/>
      <c r="C66" s="64"/>
      <c r="D66" s="67"/>
      <c r="E66" s="67"/>
      <c r="F66" s="61">
        <f t="shared" si="6"/>
        <v>0</v>
      </c>
      <c r="G66" s="65"/>
    </row>
    <row r="67" spans="1:7" x14ac:dyDescent="0.3">
      <c r="A67" s="1848">
        <v>46330</v>
      </c>
      <c r="B67" s="1667"/>
      <c r="C67" s="64"/>
      <c r="D67" s="67"/>
      <c r="E67" s="67"/>
      <c r="F67" s="61">
        <f t="shared" si="6"/>
        <v>0</v>
      </c>
      <c r="G67" s="65"/>
    </row>
    <row r="68" spans="1:7" x14ac:dyDescent="0.3">
      <c r="A68" s="1848">
        <v>46331</v>
      </c>
      <c r="B68" s="1667"/>
      <c r="C68" s="64"/>
      <c r="D68" s="67"/>
      <c r="E68" s="67"/>
      <c r="F68" s="61">
        <f t="shared" si="6"/>
        <v>0</v>
      </c>
      <c r="G68" s="65"/>
    </row>
  </sheetData>
  <mergeCells count="66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8:B68"/>
    <mergeCell ref="A63:B63"/>
    <mergeCell ref="A64:B64"/>
    <mergeCell ref="A65:B65"/>
    <mergeCell ref="A66:B66"/>
    <mergeCell ref="A67:B6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23"/>
  <sheetViews>
    <sheetView topLeftCell="A12" zoomScale="70" zoomScaleNormal="70" workbookViewId="0">
      <pane xSplit="2" topLeftCell="AR1" activePane="topRight" state="frozen"/>
      <selection pane="topRight" activeCell="BL43" sqref="BL43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customWidth="1"/>
    <col min="9" max="9" width="10.77734375" style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8.6640625" style="1" bestFit="1" customWidth="1"/>
    <col min="23" max="23" width="32.77734375" style="1" bestFit="1" customWidth="1"/>
    <col min="24" max="24" width="15.109375" style="12" bestFit="1" customWidth="1"/>
    <col min="25" max="25" width="11.5546875" style="1" bestFit="1" customWidth="1"/>
    <col min="26" max="26" width="19.88671875" style="1" bestFit="1" customWidth="1"/>
    <col min="27" max="27" width="21.77734375" style="1" bestFit="1" customWidth="1"/>
    <col min="28" max="28" width="26.33203125" style="1" bestFit="1" customWidth="1"/>
    <col min="29" max="29" width="18.33203125" style="1" customWidth="1"/>
    <col min="30" max="30" width="18.5546875" style="1" customWidth="1"/>
    <col min="31" max="31" width="26.77734375" style="1" bestFit="1" customWidth="1"/>
    <col min="32" max="32" width="30.5546875" style="1" customWidth="1"/>
    <col min="33" max="33" width="26.33203125" style="1" bestFit="1" customWidth="1"/>
    <col min="34" max="34" width="17.77734375" style="1" customWidth="1"/>
    <col min="35" max="36" width="7" style="1" customWidth="1"/>
    <col min="37" max="37" width="7.109375" style="1" bestFit="1" customWidth="1"/>
    <col min="38" max="38" width="6" style="1" bestFit="1" customWidth="1"/>
    <col min="39" max="39" width="7.33203125" style="1" customWidth="1"/>
    <col min="40" max="40" width="11.44140625" style="1" customWidth="1"/>
    <col min="41" max="41" width="14.44140625" style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870" t="s">
        <v>242</v>
      </c>
      <c r="F2" s="1871"/>
      <c r="G2" s="1871"/>
      <c r="H2" s="1871"/>
      <c r="I2" s="1871"/>
      <c r="J2" s="1871"/>
      <c r="K2" s="1871"/>
      <c r="L2" s="1871"/>
      <c r="M2" s="1871"/>
      <c r="N2" s="1871"/>
      <c r="O2" s="1871"/>
      <c r="P2" s="1871"/>
      <c r="Q2" s="1871"/>
      <c r="R2" s="1871"/>
      <c r="S2" s="1871"/>
      <c r="T2" s="1871"/>
      <c r="U2" s="1871"/>
      <c r="V2" s="1871"/>
      <c r="W2" s="1871"/>
      <c r="X2" s="1871"/>
      <c r="Y2" s="1871"/>
      <c r="Z2" s="1871"/>
      <c r="AA2" s="1871"/>
      <c r="AB2" s="1871"/>
      <c r="AC2" s="1871"/>
      <c r="AD2" s="1871"/>
      <c r="AE2" s="1871"/>
      <c r="AF2" s="1872"/>
    </row>
    <row r="3" spans="1:68" ht="24" thickBot="1" x14ac:dyDescent="0.5">
      <c r="E3" s="1870" t="s">
        <v>197</v>
      </c>
      <c r="F3" s="1871"/>
      <c r="G3" s="1871"/>
      <c r="H3" s="1871"/>
      <c r="I3" s="1871"/>
      <c r="J3" s="1871"/>
      <c r="K3" s="1871"/>
      <c r="L3" s="1871"/>
      <c r="M3" s="1871"/>
      <c r="N3" s="1871"/>
      <c r="O3" s="1871"/>
      <c r="P3" s="1871"/>
      <c r="Q3" s="1871"/>
      <c r="R3" s="1871"/>
      <c r="S3" s="1871"/>
      <c r="T3" s="1871"/>
      <c r="U3" s="1871"/>
      <c r="V3" s="1871"/>
      <c r="W3" s="1871"/>
      <c r="X3" s="1871"/>
      <c r="Y3" s="1871"/>
      <c r="Z3" s="1871"/>
      <c r="AA3" s="1871"/>
      <c r="AB3" s="1871"/>
      <c r="AC3" s="1871"/>
      <c r="AD3" s="1871"/>
      <c r="AE3" s="1871"/>
      <c r="AF3" s="1872"/>
      <c r="AJ3" s="136"/>
      <c r="AO3" s="2"/>
    </row>
    <row r="4" spans="1:68" ht="24" thickBot="1" x14ac:dyDescent="0.5">
      <c r="E4" s="1874" t="s">
        <v>535</v>
      </c>
      <c r="F4" s="1875"/>
      <c r="G4" s="1875"/>
      <c r="H4" s="1875"/>
      <c r="I4" s="1875"/>
      <c r="J4" s="1875"/>
      <c r="K4" s="1875"/>
      <c r="L4" s="1875"/>
      <c r="M4" s="1875"/>
      <c r="N4" s="1875"/>
      <c r="O4" s="1875"/>
      <c r="P4" s="1875"/>
      <c r="Q4" s="1875"/>
      <c r="R4" s="1875"/>
      <c r="S4" s="1875"/>
      <c r="T4" s="1875"/>
      <c r="U4" s="1875"/>
      <c r="V4" s="1875"/>
      <c r="W4" s="1875"/>
      <c r="X4" s="1875"/>
      <c r="Y4" s="1875"/>
      <c r="Z4" s="1875"/>
      <c r="AA4" s="1875"/>
      <c r="AB4" s="1875"/>
      <c r="AC4" s="1875"/>
      <c r="AD4" s="1875"/>
      <c r="AE4" s="1875"/>
      <c r="AF4" s="1876"/>
      <c r="AH4" s="422"/>
      <c r="AI4" s="2"/>
      <c r="AM4" s="2"/>
    </row>
    <row r="5" spans="1:68" x14ac:dyDescent="0.3">
      <c r="C5" s="10"/>
      <c r="G5" s="1230"/>
      <c r="O5" s="10"/>
      <c r="AJ5" s="2"/>
      <c r="AS5" s="2"/>
    </row>
    <row r="6" spans="1:68" x14ac:dyDescent="0.3">
      <c r="F6" s="1877" t="s">
        <v>843</v>
      </c>
      <c r="G6" s="1877"/>
      <c r="H6" s="1877" t="s">
        <v>844</v>
      </c>
      <c r="I6" s="1877"/>
      <c r="K6" s="244"/>
      <c r="L6" s="244"/>
      <c r="O6" s="29"/>
      <c r="V6" s="946"/>
      <c r="W6" s="10"/>
      <c r="Y6" s="10"/>
      <c r="Z6" s="117"/>
      <c r="AA6" s="117"/>
      <c r="AB6" s="117"/>
      <c r="AD6" s="1106"/>
      <c r="AE6" s="1144"/>
      <c r="AG6" s="2"/>
      <c r="AI6" s="10"/>
      <c r="AL6" s="43"/>
      <c r="AO6" s="10"/>
      <c r="AS6" s="10"/>
    </row>
    <row r="7" spans="1:68" x14ac:dyDescent="0.3">
      <c r="B7" s="1833" t="s">
        <v>258</v>
      </c>
      <c r="C7" s="205" t="s">
        <v>324</v>
      </c>
      <c r="D7" s="205" t="s">
        <v>704</v>
      </c>
      <c r="E7" s="1833" t="s">
        <v>243</v>
      </c>
      <c r="F7" s="1833" t="s">
        <v>244</v>
      </c>
      <c r="G7" s="1833" t="s">
        <v>245</v>
      </c>
      <c r="H7" s="1833" t="s">
        <v>246</v>
      </c>
      <c r="I7" s="1833" t="s">
        <v>247</v>
      </c>
      <c r="J7" s="1873" t="s">
        <v>144</v>
      </c>
      <c r="K7" s="1886" t="s">
        <v>678</v>
      </c>
      <c r="L7" s="1886" t="s">
        <v>934</v>
      </c>
      <c r="M7" s="1833" t="s">
        <v>249</v>
      </c>
      <c r="N7" s="1830" t="s">
        <v>248</v>
      </c>
      <c r="O7" s="224" t="s">
        <v>248</v>
      </c>
      <c r="P7" s="1830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833" t="s">
        <v>250</v>
      </c>
      <c r="W7" s="205" t="s">
        <v>302</v>
      </c>
      <c r="X7" s="1833" t="s">
        <v>259</v>
      </c>
      <c r="Y7" s="1833"/>
      <c r="Z7" s="1833"/>
      <c r="AA7" s="1849" t="s">
        <v>261</v>
      </c>
      <c r="AB7" s="1849"/>
      <c r="AC7" s="1849"/>
      <c r="AD7" s="1833" t="s">
        <v>268</v>
      </c>
      <c r="AE7" s="1833" t="s">
        <v>289</v>
      </c>
      <c r="AF7" s="1849" t="s">
        <v>255</v>
      </c>
      <c r="AG7" s="1849"/>
      <c r="AH7" s="1849"/>
      <c r="AI7" s="1849"/>
      <c r="AJ7" s="1849"/>
      <c r="AK7" s="1849"/>
      <c r="AL7" s="1849" t="s">
        <v>265</v>
      </c>
      <c r="AM7" s="1849"/>
      <c r="AN7" s="1849"/>
      <c r="AO7" s="1849" t="s">
        <v>266</v>
      </c>
      <c r="AP7" s="1849"/>
      <c r="AQ7" s="1849"/>
      <c r="AR7" s="131"/>
      <c r="AS7" s="247" t="s">
        <v>329</v>
      </c>
      <c r="AT7" s="1856" t="s">
        <v>272</v>
      </c>
      <c r="AU7" s="1857"/>
      <c r="AV7" s="1858"/>
      <c r="AW7" s="1862" t="s">
        <v>299</v>
      </c>
      <c r="AX7" s="1147"/>
      <c r="AY7" s="1830" t="s">
        <v>300</v>
      </c>
      <c r="AZ7" s="1849" t="s">
        <v>659</v>
      </c>
      <c r="BA7" s="1849"/>
      <c r="BB7" s="1849"/>
      <c r="BC7" s="131" t="s">
        <v>292</v>
      </c>
      <c r="BD7" s="1849" t="s">
        <v>276</v>
      </c>
      <c r="BE7" s="1849"/>
      <c r="BF7" s="1849"/>
      <c r="BG7" s="1849" t="s">
        <v>759</v>
      </c>
      <c r="BH7" s="1849"/>
      <c r="BI7" s="1849"/>
      <c r="BJ7" s="1849" t="s">
        <v>761</v>
      </c>
      <c r="BK7" s="1849"/>
      <c r="BL7" s="1849"/>
    </row>
    <row r="8" spans="1:68" x14ac:dyDescent="0.3">
      <c r="B8" s="1833"/>
      <c r="C8" s="205" t="s">
        <v>295</v>
      </c>
      <c r="D8" s="205" t="s">
        <v>36</v>
      </c>
      <c r="E8" s="1833"/>
      <c r="F8" s="1833"/>
      <c r="G8" s="1833"/>
      <c r="H8" s="1833"/>
      <c r="I8" s="1833"/>
      <c r="J8" s="1873"/>
      <c r="K8" s="1887"/>
      <c r="L8" s="1887"/>
      <c r="M8" s="1833"/>
      <c r="N8" s="1831"/>
      <c r="O8" s="225" t="s">
        <v>315</v>
      </c>
      <c r="P8" s="1831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833"/>
      <c r="W8" s="205" t="s">
        <v>184</v>
      </c>
      <c r="X8" s="1833" t="s">
        <v>260</v>
      </c>
      <c r="Y8" s="1833"/>
      <c r="Z8" s="1833"/>
      <c r="AA8" s="1849" t="s">
        <v>464</v>
      </c>
      <c r="AB8" s="1849"/>
      <c r="AC8" s="1849"/>
      <c r="AD8" s="1833"/>
      <c r="AE8" s="1833"/>
      <c r="AF8" s="1849" t="s">
        <v>262</v>
      </c>
      <c r="AG8" s="1849"/>
      <c r="AH8" s="1849"/>
      <c r="AI8" s="1849" t="s">
        <v>263</v>
      </c>
      <c r="AJ8" s="1849"/>
      <c r="AK8" s="1849"/>
      <c r="AL8" s="1849" t="s">
        <v>264</v>
      </c>
      <c r="AM8" s="1849"/>
      <c r="AN8" s="1849"/>
      <c r="AO8" s="1849" t="s">
        <v>256</v>
      </c>
      <c r="AP8" s="1849"/>
      <c r="AQ8" s="1849"/>
      <c r="AR8" s="131" t="s">
        <v>257</v>
      </c>
      <c r="AS8" s="248" t="s">
        <v>293</v>
      </c>
      <c r="AT8" s="1859"/>
      <c r="AU8" s="1860"/>
      <c r="AV8" s="1861"/>
      <c r="AW8" s="1863"/>
      <c r="AX8" s="1148"/>
      <c r="AY8" s="1832"/>
      <c r="AZ8" s="1849" t="s">
        <v>260</v>
      </c>
      <c r="BA8" s="1849"/>
      <c r="BB8" s="1849"/>
      <c r="BC8" s="131" t="s">
        <v>293</v>
      </c>
      <c r="BD8" s="1849" t="s">
        <v>40</v>
      </c>
      <c r="BE8" s="1849"/>
      <c r="BF8" s="1849"/>
      <c r="BG8" s="1849" t="s">
        <v>760</v>
      </c>
      <c r="BH8" s="1849"/>
      <c r="BI8" s="1849"/>
      <c r="BJ8" s="1849" t="s">
        <v>40</v>
      </c>
      <c r="BK8" s="1849"/>
      <c r="BL8" s="1849"/>
    </row>
    <row r="9" spans="1:68" x14ac:dyDescent="0.3">
      <c r="B9" s="1833"/>
      <c r="C9" s="205" t="s">
        <v>296</v>
      </c>
      <c r="D9" s="205" t="s">
        <v>741</v>
      </c>
      <c r="E9" s="1833"/>
      <c r="F9" s="1833"/>
      <c r="G9" s="1833"/>
      <c r="H9" s="1833"/>
      <c r="I9" s="1833"/>
      <c r="J9" s="1873"/>
      <c r="K9" s="1888"/>
      <c r="L9" s="1888"/>
      <c r="M9" s="1833"/>
      <c r="N9" s="1832"/>
      <c r="O9" s="204" t="s">
        <v>314</v>
      </c>
      <c r="P9" s="1832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833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833"/>
      <c r="AE9" s="1833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864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0">
        <f>(AY10*1000)/J10</f>
        <v>1.7953321364452424</v>
      </c>
      <c r="L10" s="1090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1">
        <v>133</v>
      </c>
      <c r="BJ10" s="1171">
        <f>BG10*$AY$10</f>
        <v>229</v>
      </c>
      <c r="BK10" s="1171">
        <f t="shared" ref="BK10:BL10" si="6">BH10*$AY$10</f>
        <v>231</v>
      </c>
      <c r="BL10" s="1171">
        <f t="shared" si="6"/>
        <v>133</v>
      </c>
      <c r="BM10" s="1172">
        <f>(BJ10+AR10+AO10)/N10</f>
        <v>0.86793570740465043</v>
      </c>
      <c r="BN10" s="824">
        <f>BM10*N10</f>
        <v>253.70941119999998</v>
      </c>
      <c r="BO10" s="1175">
        <f>BJ10/BN10</f>
        <v>0.9026074315370135</v>
      </c>
      <c r="BP10" s="1176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1">
        <f t="shared" ref="K11:K19" si="7">(AY11*1000)/J11</f>
        <v>1.8552875695732838</v>
      </c>
      <c r="L11" s="1091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0">
        <f t="shared" si="7"/>
        <v>1.545595054095827</v>
      </c>
      <c r="L12" s="1090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2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3">
        <f>(BJ12+AR12+AO12)/O12</f>
        <v>1.6265041031221315</v>
      </c>
      <c r="BN12" s="824">
        <f>BM12*O12</f>
        <v>531.81939700287501</v>
      </c>
      <c r="BO12" s="1175">
        <f t="shared" si="13"/>
        <v>0.91948507849809857</v>
      </c>
      <c r="BP12" s="1176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1">
        <f t="shared" si="7"/>
        <v>1.545595054095827</v>
      </c>
      <c r="L13" s="1091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0">
        <f t="shared" si="7"/>
        <v>2.3183925811437405</v>
      </c>
      <c r="L14" s="1090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3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3">
        <f>(BJ14+AR14+AO14)/O14</f>
        <v>3.161601080407022</v>
      </c>
      <c r="BN14" s="824">
        <f>BM14*O14</f>
        <v>844.10259373333326</v>
      </c>
      <c r="BO14" s="1175">
        <f t="shared" si="13"/>
        <v>0.9453827128649982</v>
      </c>
      <c r="BP14" s="1176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1">
        <f t="shared" si="7"/>
        <v>1.7964071856287425</v>
      </c>
      <c r="L15" s="1091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4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4">
        <f>BG15*$AY$15</f>
        <v>892.5</v>
      </c>
      <c r="BK15" s="1174">
        <f t="shared" ref="BK15:BL15" si="42">BH15*$AY$15</f>
        <v>891</v>
      </c>
      <c r="BL15" s="1174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0">
        <f t="shared" si="7"/>
        <v>1.9870181480990861</v>
      </c>
      <c r="L16" s="1090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1">
        <f t="shared" si="7"/>
        <v>1.5463917525773196</v>
      </c>
      <c r="L17" s="1091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1196">
        <f t="shared" si="21"/>
        <v>9.4204914232730648</v>
      </c>
      <c r="B18" s="451">
        <v>9</v>
      </c>
      <c r="C18" s="673">
        <f>SUM('Milling and Leach Feed'!P42:P45)</f>
        <v>39.083333333333336</v>
      </c>
      <c r="D18" s="673">
        <f t="shared" si="44"/>
        <v>12.103970021321961</v>
      </c>
      <c r="E18" s="451">
        <v>2</v>
      </c>
      <c r="F18" s="1136">
        <v>46285</v>
      </c>
      <c r="G18" s="1137">
        <v>0.1388888888888889</v>
      </c>
      <c r="H18" s="1136">
        <v>46286</v>
      </c>
      <c r="I18" s="1137">
        <v>0.33333333333333331</v>
      </c>
      <c r="J18" s="451">
        <v>1016</v>
      </c>
      <c r="K18" s="1415">
        <f t="shared" si="7"/>
        <v>1.4763779527559056</v>
      </c>
      <c r="L18" s="1415"/>
      <c r="M18" s="1139">
        <v>0.4</v>
      </c>
      <c r="N18" s="673">
        <f t="shared" si="0"/>
        <v>516.12800000000004</v>
      </c>
      <c r="O18" s="673">
        <f>N18-U16</f>
        <v>473.06349500000005</v>
      </c>
      <c r="P18" s="451">
        <v>1.27</v>
      </c>
      <c r="Q18" s="451">
        <v>2</v>
      </c>
      <c r="R18" s="1139">
        <v>0.31</v>
      </c>
      <c r="S18" s="1143">
        <v>1.2</v>
      </c>
      <c r="T18" s="673">
        <f t="shared" si="55"/>
        <v>107.85</v>
      </c>
      <c r="U18" s="673">
        <f>T18*S18*R18</f>
        <v>40.120199999999997</v>
      </c>
      <c r="V18" s="673">
        <f t="shared" si="45"/>
        <v>774.19199999999989</v>
      </c>
      <c r="W18" s="673">
        <f>W17+O18</f>
        <v>2864.9752927499999</v>
      </c>
      <c r="X18" s="1143">
        <f>AVERAGE('Milling and Leach Feed'!T42:T45)</f>
        <v>0.60575000000000001</v>
      </c>
      <c r="Y18" s="1143">
        <f>AVERAGE('Milling and Leach Feed'!U42:U45)</f>
        <v>0.86333333333333329</v>
      </c>
      <c r="Z18" s="1143">
        <f>AVERAGE('Milling and Leach Feed'!V42:V45)</f>
        <v>14.675833333333332</v>
      </c>
      <c r="AA18" s="1143">
        <f>SUM('Milling and Leach Feed'!W42:W45)/$O$18</f>
        <v>0.61348902249025417</v>
      </c>
      <c r="AB18" s="1143">
        <f>SUM('Milling and Leach Feed'!X42:X45)/$O$18</f>
        <v>0.87456041508519555</v>
      </c>
      <c r="AC18" s="1143">
        <f>SUM('Milling and Leach Feed'!Y42:Y45)/$O$18</f>
        <v>14.881153822712584</v>
      </c>
      <c r="AD18" s="1143">
        <f>AA18-X18</f>
        <v>7.7390224902541549E-3</v>
      </c>
      <c r="AE18" s="1022">
        <f t="shared" si="33"/>
        <v>-3.1737101370195096E-3</v>
      </c>
      <c r="AF18" s="1143">
        <f>'LT Floculation'!G14</f>
        <v>0.1028</v>
      </c>
      <c r="AG18" s="1143">
        <f>'LT Floculation'!H14</f>
        <v>0.40700000000000003</v>
      </c>
      <c r="AH18" s="1143">
        <f>'LT Floculation'!I14</f>
        <v>14.752000000000001</v>
      </c>
      <c r="AI18" s="451">
        <v>1.7000000000000001E-2</v>
      </c>
      <c r="AJ18" s="452"/>
      <c r="AK18" s="452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673">
        <v>9</v>
      </c>
      <c r="AT18" s="1022">
        <f>IFERROR(((AL18-(AO18+AR18))/AL18),"")</f>
        <v>0.78436426290500083</v>
      </c>
      <c r="AU18" s="1022">
        <f t="shared" si="27"/>
        <v>0.52857142857142847</v>
      </c>
      <c r="AV18" s="1022">
        <f t="shared" si="28"/>
        <v>8.6790193993868392E-3</v>
      </c>
      <c r="AW18" s="1023">
        <v>2</v>
      </c>
      <c r="AX18" s="1023"/>
      <c r="AY18" s="451">
        <v>1.5</v>
      </c>
      <c r="AZ18" s="673">
        <f>(BD10+BD12+BD14+BD16+BD18)/$AY$18</f>
        <v>582.72968819086111</v>
      </c>
      <c r="BA18" s="673">
        <f>(BE10+BE12+BE14+BE16+BE18)/$AY$18</f>
        <v>398.79510386632887</v>
      </c>
      <c r="BB18" s="673">
        <f>(BF10+BF12+BF14+BF16+BF18)/$AY$18</f>
        <v>777.8356407440674</v>
      </c>
      <c r="BC18" s="1122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452"/>
      <c r="BH18" s="452"/>
      <c r="BI18" s="452"/>
      <c r="BJ18" s="452"/>
      <c r="BK18" s="452"/>
      <c r="BL18" s="452"/>
      <c r="BM18" s="951"/>
      <c r="BN18" s="951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1">
        <f t="shared" si="7"/>
        <v>1.5306122448979591</v>
      </c>
      <c r="L19" s="1091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1196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6">
        <v>46291</v>
      </c>
      <c r="G20" s="1137">
        <v>0.52083333333333337</v>
      </c>
      <c r="H20" s="1136">
        <v>46292</v>
      </c>
      <c r="I20" s="1137">
        <v>0.625</v>
      </c>
      <c r="J20" s="451">
        <v>917</v>
      </c>
      <c r="K20" s="1138">
        <f>(AY20*1000)/J20</f>
        <v>1.6357688113413305</v>
      </c>
      <c r="L20" s="1138"/>
      <c r="M20" s="1139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3">
        <f>AVERAGE('Milling and Leach Feed'!T55:T59)</f>
        <v>0.7294666666666666</v>
      </c>
      <c r="Y20" s="1143">
        <f>AVERAGE('Milling and Leach Feed'!U55:U59)</f>
        <v>1.3033333333333335</v>
      </c>
      <c r="Z20" s="1143">
        <f>AVERAGE('Milling and Leach Feed'!V55:V59)</f>
        <v>18.880000000000003</v>
      </c>
      <c r="AA20" s="1143">
        <f>SUM('Milling and Leach Feed'!W55:W59)/'Au Cal Leaching Tank'!$O$20</f>
        <v>0.68413819284746402</v>
      </c>
      <c r="AB20" s="1143">
        <f>SUM('Milling and Leach Feed'!X55:X58)/'Au Cal Leaching Tank'!$O$20</f>
        <v>1.4868757002764379</v>
      </c>
      <c r="AC20" s="1143">
        <f>SUM('Milling and Leach Feed'!Y55:Y58)/'Au Cal Leaching Tank'!$O$20</f>
        <v>17.856298210974828</v>
      </c>
      <c r="AD20" s="1143">
        <f>X20-AA20</f>
        <v>4.5328473819202575E-2</v>
      </c>
      <c r="AE20" s="1022">
        <f t="shared" si="33"/>
        <v>1.6032936472354233E-2</v>
      </c>
      <c r="AF20" s="1143">
        <f>'LT Floculation'!G16</f>
        <v>0.13305555555555554</v>
      </c>
      <c r="AG20" s="1143">
        <f>'LT Floculation'!H16</f>
        <v>0.65888888888888886</v>
      </c>
      <c r="AH20" s="1143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2">
        <f t="shared" si="26"/>
        <v>0.71274456693932797</v>
      </c>
      <c r="AU20" s="1022">
        <f>IFERROR((AM20-AP20)/AM20,"")</f>
        <v>0.494458653026428</v>
      </c>
      <c r="AV20" s="1022">
        <f t="shared" ref="AV20" si="67">IFERROR((AN20-AQ20)/AN20,"")</f>
        <v>0.14577292823445687</v>
      </c>
      <c r="AW20" s="1023">
        <v>2</v>
      </c>
      <c r="AX20" s="1023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2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6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5">
        <v>0.25</v>
      </c>
      <c r="H22" s="453">
        <v>46302</v>
      </c>
      <c r="I22" s="1195">
        <v>0.25</v>
      </c>
      <c r="J22" s="451">
        <v>971</v>
      </c>
      <c r="K22" s="451">
        <v>1.2</v>
      </c>
      <c r="L22" s="1138">
        <f t="shared" si="70"/>
        <v>1.1652</v>
      </c>
      <c r="M22" s="1139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39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3">
        <f>AVERAGE('Milling and Leach Feed'!T75:T78)</f>
        <v>0.52375000000000005</v>
      </c>
      <c r="Y22" s="1143">
        <f>AVERAGE('Milling and Leach Feed'!U75:U78)</f>
        <v>0.7929166666666666</v>
      </c>
      <c r="Z22" s="1143">
        <f>AVERAGE('Milling and Leach Feed'!V75:V78)</f>
        <v>20.323666666666668</v>
      </c>
      <c r="AA22" s="1143">
        <f>SUM('Milling and Leach Feed'!W75:W78)/'Au Cal Leaching Tank'!$N$22</f>
        <v>0.51956311153530099</v>
      </c>
      <c r="AB22" s="1143">
        <f>SUM('Milling and Leach Feed'!X75:X78)/'Au Cal Leaching Tank'!$N$22</f>
        <v>0.78252973792303493</v>
      </c>
      <c r="AC22" s="1143">
        <f>SUM('Milling and Leach Feed'!Y75:Y78)/'Au Cal Leaching Tank'!$N$22</f>
        <v>20.922442368895513</v>
      </c>
      <c r="AD22" s="1143">
        <f>X22-AA22</f>
        <v>4.1868884646990567E-3</v>
      </c>
      <c r="AE22" s="1022">
        <f>((AA22-X22)/(AA22+X22)/2)</f>
        <v>-2.0065349598347264E-3</v>
      </c>
      <c r="AF22" s="1138">
        <f>'LT Floculation'!G18</f>
        <v>8.3666666666666667E-2</v>
      </c>
      <c r="AG22" s="1138">
        <f>'LT Floculation'!H18</f>
        <v>0.29833333333333334</v>
      </c>
      <c r="AH22" s="1138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2">
        <f t="shared" si="26"/>
        <v>0.75115354017502001</v>
      </c>
      <c r="AU22" s="1022">
        <f t="shared" si="27"/>
        <v>0.62375197057277976</v>
      </c>
      <c r="AV22" s="1022">
        <f t="shared" si="28"/>
        <v>0.39992665394242044</v>
      </c>
      <c r="AW22" s="1023">
        <v>2</v>
      </c>
      <c r="AX22" s="1023"/>
      <c r="AY22" s="1246">
        <v>1</v>
      </c>
      <c r="AZ22" s="1257">
        <f>BD22/$AY$22</f>
        <v>136.37670725000001</v>
      </c>
      <c r="BA22" s="1257">
        <f t="shared" ref="BA22:BB22" si="82">BE22/$AY$22</f>
        <v>171.44582874999998</v>
      </c>
      <c r="BB22" s="1257">
        <f t="shared" si="82"/>
        <v>2900.5487948505224</v>
      </c>
      <c r="BC22" s="1122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0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246">
        <v>1</v>
      </c>
      <c r="AZ23" s="1257">
        <f>BD23/$AY$23</f>
        <v>111.64994949999999</v>
      </c>
      <c r="BA23" s="1257">
        <f t="shared" ref="BA23:BB33" si="85">BE23/$AY$23</f>
        <v>745.46097499999985</v>
      </c>
      <c r="BB23" s="1257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29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6">
        <v>46305</v>
      </c>
      <c r="G24" s="1137">
        <v>0.29166666666666669</v>
      </c>
      <c r="H24" s="1136">
        <v>46305</v>
      </c>
      <c r="I24" s="1137">
        <v>0.79166666666666663</v>
      </c>
      <c r="J24" s="451">
        <v>818</v>
      </c>
      <c r="K24" s="451">
        <v>1.4</v>
      </c>
      <c r="L24" s="1138">
        <f t="shared" si="70"/>
        <v>1.1451999999999998</v>
      </c>
      <c r="M24" s="1139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39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3">
        <f>AVERAGE('Milling and Leach Feed'!T102:T104)</f>
        <v>0.38111111111111112</v>
      </c>
      <c r="Y24" s="1143">
        <f>AVERAGE('Milling and Leach Feed'!U102:U104)</f>
        <v>0.41888888888888887</v>
      </c>
      <c r="Z24" s="1143">
        <f>AVERAGE('Milling and Leach Feed'!V102:V104)</f>
        <v>9.163333333333334</v>
      </c>
      <c r="AA24" s="1143">
        <f>SUM('Milling and Leach Feed'!W102:W104)/'Au Cal Leaching Tank'!$O$25</f>
        <v>0.39166104129707469</v>
      </c>
      <c r="AB24" s="1143">
        <f>SUM('Milling and Leach Feed'!X102:X104)/'Au Cal Leaching Tank'!$O$25</f>
        <v>0.38138463180704396</v>
      </c>
      <c r="AC24" s="1143">
        <f>SUM('Milling and Leach Feed'!Y102:Y104)/'Au Cal Leaching Tank'!$O$25</f>
        <v>9.0231569854581082</v>
      </c>
      <c r="AD24" s="1143">
        <f>AA24-X24</f>
        <v>1.0549930185963563E-2</v>
      </c>
      <c r="AE24" s="1022">
        <f>((AA24-X24)/(AA24+X24)/2)</f>
        <v>6.8260289615036402E-3</v>
      </c>
      <c r="AF24" s="1143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2">
        <f>IFERROR(((AL24-(AO24+AR24))/AL24),"")</f>
        <v>0.46798822220016706</v>
      </c>
      <c r="AU24" s="1022">
        <f t="shared" si="27"/>
        <v>0.29575596816976119</v>
      </c>
      <c r="AV24" s="1022">
        <f>IFERROR((AN24-AQ24)/AN24,"")</f>
        <v>0.1122840915979775</v>
      </c>
      <c r="AW24" s="1345">
        <v>2</v>
      </c>
      <c r="AX24" s="1025"/>
      <c r="AY24" s="1246">
        <v>1</v>
      </c>
      <c r="AZ24" s="1257">
        <f>(BD22+BD24)/AY24</f>
        <v>191.76349527777779</v>
      </c>
      <c r="BA24" s="1257">
        <f t="shared" si="85"/>
        <v>38.472641388888874</v>
      </c>
      <c r="BB24" s="1257">
        <f t="shared" si="85"/>
        <v>314.62728999963929</v>
      </c>
      <c r="BC24" s="1122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5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246">
        <v>1</v>
      </c>
      <c r="AZ25" s="1257">
        <f>(BD23+BD25)/AY25</f>
        <v>198.98922174893497</v>
      </c>
      <c r="BA25" s="1257">
        <f t="shared" si="85"/>
        <v>79.708089515600008</v>
      </c>
      <c r="BB25" s="1257">
        <f t="shared" si="85"/>
        <v>95.869297649594955</v>
      </c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6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6">
        <v>46308</v>
      </c>
      <c r="G26" s="1137">
        <v>0.77083333333333337</v>
      </c>
      <c r="H26" s="1136">
        <v>46309</v>
      </c>
      <c r="I26" s="1137">
        <v>0.33333333333333331</v>
      </c>
      <c r="J26" s="451">
        <v>863</v>
      </c>
      <c r="K26" s="451">
        <v>0.93</v>
      </c>
      <c r="L26" s="1143">
        <f t="shared" si="70"/>
        <v>0.80259000000000003</v>
      </c>
      <c r="M26" s="1139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39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3">
        <f>AVERAGE('Milling and Leach Feed'!T110:T111)</f>
        <v>0.37083333333333335</v>
      </c>
      <c r="Y26" s="1143">
        <f>AVERAGE('Milling and Leach Feed'!U110:U111)</f>
        <v>0.41</v>
      </c>
      <c r="Z26" s="1143">
        <f>AVERAGE('Milling and Leach Feed'!V110:V111)</f>
        <v>10.078333333333333</v>
      </c>
      <c r="AA26" s="1143">
        <f>SUM('Milling and Leach Feed'!W110:W111)/'Au Cal Leaching Tank'!$O$26</f>
        <v>0.35850844619912364</v>
      </c>
      <c r="AB26" s="1143">
        <f>SUM('Milling and Leach Feed'!X110:X111)/'Au Cal Leaching Tank'!$O$26</f>
        <v>0.42230064165247283</v>
      </c>
      <c r="AC26" s="1143">
        <f>SUM('Milling and Leach Feed'!Y110:Y111)/'Au Cal Leaching Tank'!$O$26</f>
        <v>10.906278921798339</v>
      </c>
      <c r="AD26" s="1143">
        <f>X26-AA26</f>
        <v>1.2324887134209705E-2</v>
      </c>
      <c r="AE26" s="1022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3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2">
        <f t="shared" si="26"/>
        <v>0.42962103217546338</v>
      </c>
      <c r="AU26" s="1022">
        <f t="shared" si="27"/>
        <v>0.46341463414634138</v>
      </c>
      <c r="AV26" s="1022">
        <f>IFERROR((AN26-AQ26)/AN26,"")</f>
        <v>0.2655606868818986</v>
      </c>
      <c r="AW26" s="1345">
        <v>2</v>
      </c>
      <c r="AX26" s="1025"/>
      <c r="AY26" s="1246">
        <v>1</v>
      </c>
      <c r="AZ26" s="1257">
        <f>(BD22+BD24+BD26)/AY26</f>
        <v>241.11396801111113</v>
      </c>
      <c r="BA26" s="1257">
        <f t="shared" si="85"/>
        <v>58.854627999999991</v>
      </c>
      <c r="BB26" s="1257">
        <f t="shared" si="85"/>
        <v>897.15483435095985</v>
      </c>
      <c r="BC26" s="1122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5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8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246">
        <v>1</v>
      </c>
      <c r="AZ27" s="1257">
        <f>(BD23+BD25+BD27)/AY27</f>
        <v>288.89099697393499</v>
      </c>
      <c r="BA27" s="1257">
        <f t="shared" si="85"/>
        <v>49.923690250000007</v>
      </c>
      <c r="BB27" s="1257">
        <f t="shared" si="85"/>
        <v>224.97787455581965</v>
      </c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6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6">
        <v>46311</v>
      </c>
      <c r="G28" s="1137">
        <v>0.74722222222222223</v>
      </c>
      <c r="H28" s="1136">
        <v>46312</v>
      </c>
      <c r="I28" s="1137">
        <v>0.41666666666666669</v>
      </c>
      <c r="J28" s="451">
        <v>863</v>
      </c>
      <c r="K28" s="451">
        <v>0.86</v>
      </c>
      <c r="L28" s="1143">
        <f t="shared" si="70"/>
        <v>0.74217999999999995</v>
      </c>
      <c r="M28" s="1139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39">
        <v>0.35</v>
      </c>
      <c r="S28" s="451">
        <v>1.22</v>
      </c>
      <c r="T28" s="451">
        <v>108</v>
      </c>
      <c r="U28" s="673">
        <f t="shared" ref="U28:U36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3">
        <f>AVERAGE('Milling and Leach Feed'!T115:T117)</f>
        <v>0.38615873015873015</v>
      </c>
      <c r="Y28" s="1143">
        <f>AVERAGE('Milling and Leach Feed'!U115:U117)</f>
        <v>0.44349206349206344</v>
      </c>
      <c r="Z28" s="1143">
        <f>AVERAGE('Milling and Leach Feed'!V115:V117)</f>
        <v>13.407365079365078</v>
      </c>
      <c r="AA28" s="1143">
        <f>SUM('Milling and Leach Feed'!W115:W117)/$O$28</f>
        <v>0.38543603769508356</v>
      </c>
      <c r="AB28" s="1143">
        <f>SUM('Milling and Leach Feed'!X115:X117)/$O$28</f>
        <v>0.44544284064316592</v>
      </c>
      <c r="AC28" s="1143">
        <f>SUM('Milling and Leach Feed'!Y115:Y117)/$O$28</f>
        <v>13.412935945620669</v>
      </c>
      <c r="AD28" s="1143">
        <f>X28-AA28</f>
        <v>7.2269246364659034E-4</v>
      </c>
      <c r="AE28" s="1341">
        <f>((X28-AA28)/(X28+AA28)/2)</f>
        <v>4.6831088918393985E-4</v>
      </c>
      <c r="AF28" s="1143">
        <f>'LT Floculation'!G24</f>
        <v>0.15962500000000002</v>
      </c>
      <c r="AG28" s="1143">
        <f>'LT Floculation'!H24</f>
        <v>0.21625</v>
      </c>
      <c r="AH28" s="1143">
        <f>'LT Floculation'!I24</f>
        <v>10.736250000000002</v>
      </c>
      <c r="AI28" s="1143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2">
        <f t="shared" si="26"/>
        <v>0.377208817360633</v>
      </c>
      <c r="AU28" s="1022">
        <f t="shared" si="27"/>
        <v>0.51239262705798128</v>
      </c>
      <c r="AV28" s="1022">
        <f t="shared" si="28"/>
        <v>0.19956003342389822</v>
      </c>
      <c r="AW28" s="1345">
        <v>2</v>
      </c>
      <c r="AX28" s="1025"/>
      <c r="AY28" s="1246">
        <v>1</v>
      </c>
      <c r="AZ28" s="1257">
        <f>(BD24+BD26+BD28+BD22)/AY28</f>
        <v>290.45701587539679</v>
      </c>
      <c r="BA28" s="1257">
        <f t="shared" si="85"/>
        <v>76.978067214285687</v>
      </c>
      <c r="BB28" s="1257">
        <f t="shared" si="85"/>
        <v>906.72522273024424</v>
      </c>
      <c r="BC28" s="1122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5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8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246">
        <v>1</v>
      </c>
      <c r="AZ29" s="1257">
        <f>(BD25+BD27+BD29+BD23)/AY29</f>
        <v>476.8906698939349</v>
      </c>
      <c r="BA29" s="1257">
        <f t="shared" si="85"/>
        <v>112.08230080000001</v>
      </c>
      <c r="BB29" s="1257">
        <f t="shared" si="85"/>
        <v>-481.47072916500429</v>
      </c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6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6">
        <v>46314</v>
      </c>
      <c r="G30" s="1137">
        <v>1.3888888888888888E-2</v>
      </c>
      <c r="H30" s="1136">
        <v>46315</v>
      </c>
      <c r="I30" s="1137">
        <v>0.625</v>
      </c>
      <c r="J30" s="451">
        <v>755</v>
      </c>
      <c r="K30" s="451">
        <v>1.6</v>
      </c>
      <c r="L30" s="1143">
        <f t="shared" si="102"/>
        <v>1.208</v>
      </c>
      <c r="M30" s="1139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39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3">
        <f>AVERAGE('Milling and Leach Feed'!T121:T124)</f>
        <v>0.42383333333333334</v>
      </c>
      <c r="Y30" s="1143">
        <f>AVERAGE('Milling and Leach Feed'!U121:U124)</f>
        <v>0.40491666666666665</v>
      </c>
      <c r="Z30" s="1143">
        <f>AVERAGE('Milling and Leach Feed'!V121:V124)</f>
        <v>11.380666666666666</v>
      </c>
      <c r="AA30" s="1143">
        <f>SUM('Milling and Leach Feed'!W121:W124)/'Au Cal Leaching Tank'!$O$30</f>
        <v>0.41978980252404685</v>
      </c>
      <c r="AB30" s="1143">
        <f>SUM('Milling and Leach Feed'!X121:X124)/'Au Cal Leaching Tank'!$O$30</f>
        <v>0.40813185581910444</v>
      </c>
      <c r="AC30" s="1143">
        <f>SUM('Milling and Leach Feed'!Y121:Y124)/'Au Cal Leaching Tank'!$O$30</f>
        <v>11.102428731199707</v>
      </c>
      <c r="AD30" s="1143">
        <f>X30-AA30</f>
        <v>4.0435308092864886E-3</v>
      </c>
      <c r="AE30" s="1380">
        <f>((X30-AA30)/(X30+AA30)/2)</f>
        <v>2.3965267412782718E-3</v>
      </c>
      <c r="AF30" s="1143">
        <f>'LT Floculation'!G26</f>
        <v>0.14933333333333335</v>
      </c>
      <c r="AG30" s="1143">
        <f>'LT Floculation'!H26</f>
        <v>0.39666666666666667</v>
      </c>
      <c r="AH30" s="1143">
        <f>'LT Floculation'!I26</f>
        <v>14.963333333333333</v>
      </c>
      <c r="AI30" s="452">
        <v>0.04</v>
      </c>
      <c r="AJ30" s="452"/>
      <c r="AK30" s="452"/>
      <c r="AL30" s="673">
        <f t="shared" si="97"/>
        <v>123.29989800000003</v>
      </c>
      <c r="AM30" s="673">
        <f>$O30*Y30</f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>AG30*$O30</f>
        <v>115.39668000000002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2">
        <f t="shared" si="26"/>
        <v>0.45328279184788939</v>
      </c>
      <c r="AU30" s="1022">
        <f>IFERROR((AM30-AP30)/AM30,"")</f>
        <v>2.0374562667215507E-2</v>
      </c>
      <c r="AV30" s="1022">
        <f>IFERROR((AN30-AQ30)/AN30,"")</f>
        <v>-0.34775315344144758</v>
      </c>
      <c r="AW30" s="1023">
        <v>2</v>
      </c>
      <c r="AX30" s="1025"/>
      <c r="AY30" s="1246">
        <v>1</v>
      </c>
      <c r="AZ30" s="1257">
        <f>(BD26+BD28+BD30+BD24+BD22)/AY30</f>
        <v>346.3467378753968</v>
      </c>
      <c r="BA30" s="1257">
        <f t="shared" si="85"/>
        <v>2.4000570000000039</v>
      </c>
      <c r="BB30" s="1257">
        <f t="shared" si="85"/>
        <v>-1123.1989232343067</v>
      </c>
      <c r="BC30" s="1122">
        <v>21</v>
      </c>
      <c r="BD30" s="673">
        <f t="shared" si="83"/>
        <v>55.889722000000006</v>
      </c>
      <c r="BE30" s="673">
        <f>(AM30-AP30)</f>
        <v>2.4000570000000039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8">
        <f>((X31-AA31)/(X31+AA31)/2)</f>
        <v>5.3978826495598448E-3</v>
      </c>
      <c r="AF31" s="133">
        <f>'LT Floculation'!G27</f>
        <v>0.16366666666666665</v>
      </c>
      <c r="AG31" s="133">
        <f>'LT Floculation'!H27</f>
        <v>0.45333333333333337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>AG31*$O31</f>
        <v>120.89493333333337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>IFERROR((AM31-AP31)/AM31,"")</f>
        <v>1.13884177368549E-2</v>
      </c>
      <c r="AV31" s="38">
        <f t="shared" si="28"/>
        <v>0.12425734480423317</v>
      </c>
      <c r="AW31" s="979">
        <v>3</v>
      </c>
      <c r="AX31" s="227"/>
      <c r="AY31" s="1246">
        <v>1</v>
      </c>
      <c r="AZ31" s="1257">
        <f>(BD27+BD29+BD31+BD25+BD23)/AY31</f>
        <v>545.93331433837943</v>
      </c>
      <c r="BA31" s="1257">
        <f t="shared" si="85"/>
        <v>1.3926622222222278</v>
      </c>
      <c r="BB31" s="1257">
        <f t="shared" si="85"/>
        <v>567.45411593443168</v>
      </c>
      <c r="BC31" s="935">
        <v>22</v>
      </c>
      <c r="BD31" s="39">
        <f t="shared" si="83"/>
        <v>69.042644444444434</v>
      </c>
      <c r="BE31" s="39">
        <f t="shared" si="69"/>
        <v>1.3926622222222278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6">
        <v>46317</v>
      </c>
      <c r="G32" s="1137">
        <v>0.68888888888888888</v>
      </c>
      <c r="H32" s="1136">
        <v>46318</v>
      </c>
      <c r="I32" s="1137">
        <v>0.79166666666666663</v>
      </c>
      <c r="J32" s="451">
        <v>755</v>
      </c>
      <c r="K32" s="451">
        <v>1.6</v>
      </c>
      <c r="L32" s="451">
        <f t="shared" si="102"/>
        <v>1.208</v>
      </c>
      <c r="M32" s="1139">
        <v>0.36</v>
      </c>
      <c r="N32" s="673">
        <f t="shared" ref="N32:N37" si="104"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39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3">
        <f>AVERAGE('Milling and Leach Feed'!T127:T129)</f>
        <v>0.56241111111111108</v>
      </c>
      <c r="Y32" s="1143">
        <f>AVERAGE('Milling and Leach Feed'!U127:U129)</f>
        <v>0.63960000000000006</v>
      </c>
      <c r="Z32" s="1143">
        <f>AVERAGE('Milling and Leach Feed'!V127:V129)</f>
        <v>16.466111111111115</v>
      </c>
      <c r="AA32" s="1143">
        <f>SUM('Milling and Leach Feed'!W127:W129)/'Au Cal Leaching Tank'!$O$32</f>
        <v>0.58029348382248158</v>
      </c>
      <c r="AB32" s="1143">
        <f>SUM('Milling and Leach Feed'!X127:X129)/'Au Cal Leaching Tank'!$O$32</f>
        <v>0.64126248532239027</v>
      </c>
      <c r="AC32" s="1143">
        <f>SUM('Milling and Leach Feed'!Y127:Y129)/'Au Cal Leaching Tank'!$O$32</f>
        <v>16.05372690828413</v>
      </c>
      <c r="AD32" s="1143">
        <f>X32-AA32</f>
        <v>-1.7882372711370498E-2</v>
      </c>
      <c r="AE32" s="1022">
        <f>((X32-AA32)/(X32+AA32)/2)</f>
        <v>-7.824582482058591E-3</v>
      </c>
      <c r="AF32" s="1143">
        <f>'LT Floculation'!G28</f>
        <v>5.1700000000000003E-2</v>
      </c>
      <c r="AG32" s="1143">
        <f>'LT Floculation'!H28</f>
        <v>0.35400000000000004</v>
      </c>
      <c r="AH32" s="1143">
        <f>'LT Floculation'!I28</f>
        <v>15.597</v>
      </c>
      <c r="AI32" s="452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2">
        <f t="shared" si="26"/>
        <v>0.47172058742946738</v>
      </c>
      <c r="AU32" s="1022">
        <f t="shared" si="27"/>
        <v>0.44652908067542213</v>
      </c>
      <c r="AV32" s="1022">
        <f t="shared" si="28"/>
        <v>2.844989894829018E-2</v>
      </c>
      <c r="AW32" s="1023">
        <v>2</v>
      </c>
      <c r="AX32" s="1025"/>
      <c r="AY32" s="1246">
        <v>1</v>
      </c>
      <c r="AZ32" s="1257">
        <f>(BD28+BD30+BD32+BD26+BD24+BD22)/AY32</f>
        <v>423.42673067539681</v>
      </c>
      <c r="BA32" s="1257">
        <f t="shared" si="85"/>
        <v>82.977652800000016</v>
      </c>
      <c r="BB32" s="1257">
        <f t="shared" si="85"/>
        <v>132.69652247905469</v>
      </c>
      <c r="BC32" s="1122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 t="shared" si="104"/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39">
        <f>O33+W32</f>
        <v>7912.9144803100016</v>
      </c>
      <c r="X33" s="133">
        <f>AVERAGE('Milling and Leach Feed'!T130:T132)</f>
        <v>0.66025</v>
      </c>
      <c r="Y33" s="133">
        <f>AVERAGE('Milling and Leach Feed'!U130:U132)</f>
        <v>0.63666666666666671</v>
      </c>
      <c r="Z33" s="133">
        <f>AVERAGE('Milling and Leach Feed'!V130:V132)</f>
        <v>15.279166666666667</v>
      </c>
      <c r="AA33" s="133">
        <f>SUM('Milling and Leach Feed'!W130:W132)/'Au Cal Leaching Tank'!$O$33</f>
        <v>0.68939277020110235</v>
      </c>
      <c r="AB33" s="133">
        <f>SUM('Milling and Leach Feed'!X130:X132)/'Au Cal Leaching Tank'!$O$33</f>
        <v>0.66289422935665243</v>
      </c>
      <c r="AC33" s="133">
        <f>SUM('Milling and Leach Feed'!Y130:Y132)/'Au Cal Leaching Tank'!$O$33</f>
        <v>15.589278638104462</v>
      </c>
      <c r="AD33" s="133">
        <f t="shared" ref="AD33" si="105">X33-AA33</f>
        <v>-2.9142770201102342E-2</v>
      </c>
      <c r="AE33" s="38">
        <f t="shared" ref="AE33" si="106">((X33-AA33)/(X33+AA33)/2)</f>
        <v>-1.079647549875733E-2</v>
      </c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192.07728900000004</v>
      </c>
      <c r="AM33" s="39">
        <f t="shared" si="98"/>
        <v>185.21652000000006</v>
      </c>
      <c r="AN33" s="39">
        <f t="shared" si="99"/>
        <v>4535.1705842827987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>
        <f>IFERROR(((AL33-(AO33+AR33))/AL33),"")</f>
        <v>0.75061215071605891</v>
      </c>
      <c r="AU33" s="38">
        <f t="shared" si="27"/>
        <v>0.33246073298429324</v>
      </c>
      <c r="AV33" s="38">
        <f t="shared" si="28"/>
        <v>0.15540244213200929</v>
      </c>
      <c r="AW33" s="979">
        <v>3</v>
      </c>
      <c r="AX33" s="227"/>
      <c r="AY33" s="1246">
        <v>1</v>
      </c>
      <c r="AZ33" s="1257">
        <f>(BD29+BD31+BD33+BD27+BD25+BD23)/AY33</f>
        <v>690.10886133837926</v>
      </c>
      <c r="BA33" s="1257">
        <f t="shared" si="85"/>
        <v>61.577220000000025</v>
      </c>
      <c r="BB33" s="1257">
        <f t="shared" si="85"/>
        <v>704.77658428279847</v>
      </c>
      <c r="BC33" s="935">
        <v>24</v>
      </c>
      <c r="BD33" s="39">
        <f t="shared" si="83"/>
        <v>144.17554700000002</v>
      </c>
      <c r="BE33" s="39">
        <f t="shared" si="69"/>
        <v>61.577220000000025</v>
      </c>
      <c r="BF33" s="39">
        <f t="shared" si="86"/>
        <v>704.77658428279847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Feed'!P133:P135)-5</f>
        <v>31</v>
      </c>
      <c r="D34" s="673">
        <f>O34/C34</f>
        <v>9.3576774193548378</v>
      </c>
      <c r="E34" s="451">
        <v>2</v>
      </c>
      <c r="F34" s="1136">
        <v>46320</v>
      </c>
      <c r="G34" s="1137">
        <v>0.56319444444444444</v>
      </c>
      <c r="H34" s="1136">
        <v>46321</v>
      </c>
      <c r="I34" s="1137">
        <v>0.35416666666666669</v>
      </c>
      <c r="J34" s="451">
        <v>764</v>
      </c>
      <c r="K34" s="451">
        <v>1.6</v>
      </c>
      <c r="L34" s="1143">
        <f>(K34*J34)/1000</f>
        <v>1.2224000000000002</v>
      </c>
      <c r="M34" s="1139">
        <v>0.36</v>
      </c>
      <c r="N34" s="673">
        <f t="shared" si="104"/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39">
        <v>0.31</v>
      </c>
      <c r="S34" s="1143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673">
        <f>O34+W33</f>
        <v>8203.0024803100023</v>
      </c>
      <c r="X34" s="1143">
        <f>AVERAGE('Milling and Leach Feed'!T133:T135)</f>
        <v>0.42522222222222217</v>
      </c>
      <c r="Y34" s="1143">
        <f>AVERAGE('Milling and Leach Feed'!U133:U135)</f>
        <v>0.56666666666666665</v>
      </c>
      <c r="Z34" s="1143">
        <f>AVERAGE('Milling and Leach Feed'!V133:V135)</f>
        <v>13.956666666666665</v>
      </c>
      <c r="AA34" s="1143">
        <f>SUM('Milling and Leach Feed'!W133:W135)/'Au Cal Leaching Tank'!$O$34</f>
        <v>0.38811149944233303</v>
      </c>
      <c r="AB34" s="1143">
        <f>SUM('Milling and Leach Feed'!X133:X135)/'Au Cal Leaching Tank'!$O$34</f>
        <v>0.62864898243096357</v>
      </c>
      <c r="AC34" s="1143">
        <f>SUM('Milling and Leach Feed'!Y133:Y135)/'Au Cal Leaching Tank'!$O$34</f>
        <v>12.811169018312722</v>
      </c>
      <c r="AD34" s="1143">
        <f t="shared" ref="AD34" si="107">X34-AA34</f>
        <v>3.7110722779889138E-2</v>
      </c>
      <c r="AE34" s="1022">
        <f t="shared" ref="AE34" si="108">((X34-AA34)/(X34+AA34)/2)</f>
        <v>2.2813958029392262E-2</v>
      </c>
      <c r="AF34" s="1143">
        <f>'LT Floculation'!G30</f>
        <v>5.9199999999999996E-2</v>
      </c>
      <c r="AG34" s="1143">
        <f>'LT Floculation'!H30</f>
        <v>0.55400000000000005</v>
      </c>
      <c r="AH34" s="1143">
        <f>'LT Floculation'!I30</f>
        <v>17.962</v>
      </c>
      <c r="AI34" s="452">
        <v>0.14699999999999999</v>
      </c>
      <c r="AJ34" s="452"/>
      <c r="AK34" s="452"/>
      <c r="AL34" s="673">
        <f>$O34*X34</f>
        <v>123.35186399999996</v>
      </c>
      <c r="AM34" s="673">
        <f t="shared" si="98"/>
        <v>164.38319999999999</v>
      </c>
      <c r="AN34" s="673">
        <f t="shared" si="99"/>
        <v>3716.3663981843001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>IFERROR(AI34*V34,"")</f>
        <v>88.408857599999976</v>
      </c>
      <c r="AS34" s="673">
        <v>25</v>
      </c>
      <c r="AT34" s="1022">
        <f>IFERROR(((AL34-(AO34+AR34))/AL34),"")</f>
        <v>0.14405778902538513</v>
      </c>
      <c r="AU34" s="1022">
        <f t="shared" si="27"/>
        <v>2.2352941176470492E-2</v>
      </c>
      <c r="AV34" s="1022">
        <f t="shared" si="28"/>
        <v>-0.4020578429903241</v>
      </c>
      <c r="AW34" s="1023">
        <v>2</v>
      </c>
      <c r="AX34" s="1025"/>
      <c r="AY34" s="1246">
        <v>1</v>
      </c>
      <c r="AZ34" s="1312"/>
      <c r="BA34" s="1312"/>
      <c r="BB34" s="1426"/>
      <c r="BC34" s="1122">
        <v>25</v>
      </c>
      <c r="BD34" s="673">
        <f>IFERROR((AL34-AO34-AR34),"")</f>
        <v>17.769796799999995</v>
      </c>
      <c r="BE34" s="673">
        <f t="shared" si="69"/>
        <v>3.6744479999999839</v>
      </c>
      <c r="BF34" s="673">
        <f t="shared" si="86"/>
        <v>-1494.1942578156995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39">
        <f>SUM('Milling and Leach Feed'!P136:P138)+5</f>
        <v>24.5</v>
      </c>
      <c r="D35" s="39">
        <f t="shared" ref="D35:D36" si="109">O35/C35</f>
        <v>12.159428571428569</v>
      </c>
      <c r="E35" s="13">
        <v>3</v>
      </c>
      <c r="F35" s="73">
        <v>46322</v>
      </c>
      <c r="G35" s="102">
        <v>0.25694444444444442</v>
      </c>
      <c r="H35" s="73">
        <v>46323</v>
      </c>
      <c r="I35" s="102">
        <v>0.125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 t="shared" si="104"/>
        <v>344.4</v>
      </c>
      <c r="O35" s="39">
        <f>N35-U33</f>
        <v>297.90599999999995</v>
      </c>
      <c r="P35" s="13">
        <v>1.23</v>
      </c>
      <c r="Q35" s="13">
        <v>3</v>
      </c>
      <c r="R35" s="40">
        <v>0.35</v>
      </c>
      <c r="S35" s="13">
        <v>1.23</v>
      </c>
      <c r="T35" s="13">
        <v>108</v>
      </c>
      <c r="U35" s="39">
        <f t="shared" si="101"/>
        <v>46.494</v>
      </c>
      <c r="V35" s="39">
        <f t="shared" si="45"/>
        <v>639.6</v>
      </c>
      <c r="W35" s="39">
        <f>O35+W34</f>
        <v>8500.9084803100013</v>
      </c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246"/>
      <c r="AZ35" s="1312"/>
      <c r="BA35" s="1312"/>
      <c r="BB35" s="1426"/>
      <c r="BC35" s="935">
        <v>26</v>
      </c>
      <c r="BD35" s="39">
        <f>IFERROR((AL35-AO35-AR35),"")</f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673">
        <f>SUM('Milling and Leach Feed'!P139:P142)-9</f>
        <v>37.5</v>
      </c>
      <c r="D36" s="673">
        <f t="shared" si="109"/>
        <v>7.9637760000000011</v>
      </c>
      <c r="E36" s="451">
        <v>2</v>
      </c>
      <c r="F36" s="1136">
        <v>46323</v>
      </c>
      <c r="G36" s="1137">
        <v>0.875</v>
      </c>
      <c r="H36" s="1136">
        <v>46324</v>
      </c>
      <c r="I36" s="1137">
        <v>0.66666666666666663</v>
      </c>
      <c r="J36" s="451">
        <v>759</v>
      </c>
      <c r="K36" s="451">
        <v>1.6</v>
      </c>
      <c r="L36" s="1143">
        <f>(K36*J36)/1000</f>
        <v>1.2144000000000001</v>
      </c>
      <c r="M36" s="1139">
        <v>0.36</v>
      </c>
      <c r="N36" s="673">
        <f t="shared" si="104"/>
        <v>338.81760000000003</v>
      </c>
      <c r="O36" s="673">
        <f>N36-U34</f>
        <v>298.64160000000004</v>
      </c>
      <c r="P36" s="451">
        <v>1.24</v>
      </c>
      <c r="Q36" s="451">
        <v>2</v>
      </c>
      <c r="R36" s="1139">
        <v>0.36</v>
      </c>
      <c r="S36" s="451">
        <v>1.2450000000000001</v>
      </c>
      <c r="T36" s="451">
        <v>108</v>
      </c>
      <c r="U36" s="673">
        <f t="shared" si="101"/>
        <v>48.4056</v>
      </c>
      <c r="V36" s="673">
        <f t="shared" si="45"/>
        <v>602.34240000000011</v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>
        <v>6.3E-2</v>
      </c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>
        <f t="shared" si="81"/>
        <v>37.947571200000006</v>
      </c>
      <c r="AS36" s="673">
        <v>27</v>
      </c>
      <c r="AT36" s="1022" t="str">
        <f t="shared" si="26"/>
        <v/>
      </c>
      <c r="AU36" s="1022" t="str">
        <f t="shared" si="27"/>
        <v/>
      </c>
      <c r="AV36" s="1022" t="str">
        <f t="shared" si="28"/>
        <v/>
      </c>
      <c r="AW36" s="1023">
        <v>2</v>
      </c>
      <c r="AX36" s="1025"/>
      <c r="AY36" s="1246"/>
      <c r="AZ36" s="1312"/>
      <c r="BA36" s="1312"/>
      <c r="BB36" s="1426"/>
      <c r="BC36" s="1122">
        <v>27</v>
      </c>
      <c r="BD36" s="673">
        <f t="shared" si="83"/>
        <v>-37.947571200000006</v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39">
        <f>SUM('Milling and Leach Feed'!P143:P145)+9</f>
        <v>38.25</v>
      </c>
      <c r="D37" s="39">
        <f>O37/C37</f>
        <v>8.160287581699345</v>
      </c>
      <c r="E37" s="13">
        <v>3</v>
      </c>
      <c r="F37" s="73">
        <v>46325</v>
      </c>
      <c r="G37" s="102">
        <v>0.39583333333333331</v>
      </c>
      <c r="H37" s="73">
        <v>46326</v>
      </c>
      <c r="I37" s="102">
        <v>2.0833333333333332E-2</v>
      </c>
      <c r="J37" s="13">
        <v>755</v>
      </c>
      <c r="K37" s="13">
        <v>1.6</v>
      </c>
      <c r="L37" s="13">
        <f>(K37*J37)/1000</f>
        <v>1.208</v>
      </c>
      <c r="M37" s="40">
        <v>0.38</v>
      </c>
      <c r="N37" s="39">
        <f t="shared" si="104"/>
        <v>358.625</v>
      </c>
      <c r="O37" s="39">
        <f>N37-U35</f>
        <v>312.13099999999997</v>
      </c>
      <c r="P37" s="13">
        <v>1.25</v>
      </c>
      <c r="Q37" s="13">
        <v>3</v>
      </c>
      <c r="R37" s="13"/>
      <c r="S37" s="13"/>
      <c r="T37" s="13">
        <v>108</v>
      </c>
      <c r="U37" s="6"/>
      <c r="V37" s="39">
        <f t="shared" si="45"/>
        <v>585.125</v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>
        <f t="shared" si="81"/>
        <v>0</v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>
        <f t="shared" si="83"/>
        <v>0</v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2" t="str">
        <f t="shared" si="26"/>
        <v/>
      </c>
      <c r="AU38" s="1022" t="str">
        <f t="shared" si="27"/>
        <v/>
      </c>
      <c r="AV38" s="1022" t="str">
        <f t="shared" si="28"/>
        <v/>
      </c>
      <c r="AW38" s="1025"/>
      <c r="AX38" s="1025"/>
      <c r="AY38" s="451"/>
      <c r="AZ38" s="452"/>
      <c r="BA38" s="452"/>
      <c r="BB38" s="1024"/>
      <c r="BC38" s="1122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2" t="str">
        <f t="shared" si="26"/>
        <v/>
      </c>
      <c r="AU40" s="1022" t="str">
        <f t="shared" si="27"/>
        <v/>
      </c>
      <c r="AV40" s="1022" t="str">
        <f t="shared" si="28"/>
        <v/>
      </c>
      <c r="AW40" s="1025"/>
      <c r="AX40" s="1025"/>
      <c r="AY40" s="451"/>
      <c r="AZ40" s="452"/>
      <c r="BA40" s="452"/>
      <c r="BB40" s="1024"/>
      <c r="BC40" s="1024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2" t="str">
        <f t="shared" si="26"/>
        <v/>
      </c>
      <c r="AU42" s="1022" t="str">
        <f t="shared" si="27"/>
        <v/>
      </c>
      <c r="AV42" s="1022" t="str">
        <f t="shared" si="28"/>
        <v/>
      </c>
      <c r="AW42" s="1025"/>
      <c r="AX42" s="1025"/>
      <c r="AY42" s="451"/>
      <c r="AZ42" s="452"/>
      <c r="BA42" s="452"/>
      <c r="BB42" s="1024"/>
      <c r="BC42" s="1024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35.42738095238095</v>
      </c>
      <c r="D60" s="135">
        <f>AVERAGE(D10:D59)</f>
        <v>9.5265913509174514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203.99667960119999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0.58106831746031729</v>
      </c>
      <c r="Y60" s="207">
        <f>AVERAGE(Y10:Y59)</f>
        <v>0.71319780952380951</v>
      </c>
      <c r="Z60" s="207">
        <f>AVERAGE(Z10:Z59)</f>
        <v>12.188204603174603</v>
      </c>
      <c r="AA60" s="207">
        <f>AVERAGE(AA10:AA59)</f>
        <v>0.57256117196004785</v>
      </c>
      <c r="AB60" s="207">
        <f t="shared" ref="AB60:AC60" si="110">AVERAGE(AB10:AB59)</f>
        <v>0.7500338725462895</v>
      </c>
      <c r="AC60" s="207">
        <f t="shared" si="110"/>
        <v>12.122985245918526</v>
      </c>
      <c r="AD60" s="134"/>
      <c r="AE60" s="134"/>
      <c r="AF60" s="207">
        <f>AVERAGE(AF10:AF59)</f>
        <v>9.717756410256409E-2</v>
      </c>
      <c r="AG60" s="207">
        <f t="shared" ref="AG60:AI60" si="111">AVERAGE(AG10:AG59)</f>
        <v>0.33048931623931621</v>
      </c>
      <c r="AH60" s="207">
        <f t="shared" si="111"/>
        <v>10.720930555555555</v>
      </c>
      <c r="AI60" s="207">
        <f t="shared" si="111"/>
        <v>4.3481481481481489E-2</v>
      </c>
      <c r="AJ60" s="134"/>
      <c r="AK60" s="134"/>
      <c r="AL60" s="135">
        <f>SUM(AL10:AL59)</f>
        <v>4762.9860722023977</v>
      </c>
      <c r="AM60" s="135">
        <f t="shared" ref="AM60:AN60" si="112">SUM(AM10:AM59)</f>
        <v>6116.9963187976564</v>
      </c>
      <c r="AN60" s="135">
        <f t="shared" si="112"/>
        <v>101260.28940614098</v>
      </c>
      <c r="AO60" s="135">
        <f>SUM(AO10:AO59)</f>
        <v>830.7728202555827</v>
      </c>
      <c r="AP60" s="135">
        <f t="shared" ref="AP60:AR60" si="113">SUM(AP10:AP59)</f>
        <v>2862.7415374835555</v>
      </c>
      <c r="AQ60" s="135">
        <f t="shared" si="113"/>
        <v>91940.396475605361</v>
      </c>
      <c r="AR60" s="135">
        <f t="shared" si="113"/>
        <v>742.8382682189</v>
      </c>
      <c r="AS60" s="134"/>
      <c r="AT60" s="232">
        <f>AVERAGE(AT10:AT59)</f>
        <v>0.65670360782086246</v>
      </c>
      <c r="AU60" s="232">
        <f t="shared" ref="AU60:AV60" si="114">AVERAGE(AU10:AU59)</f>
        <v>0.46978336590414516</v>
      </c>
      <c r="AV60" s="232">
        <f t="shared" si="114"/>
        <v>8.2317222073829049E-2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991.96666666666658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9065.5650803100016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0">
        <f>SUM(BD10:BD59)</f>
        <v>3189.3749837279156</v>
      </c>
      <c r="BE61" s="980">
        <f>SUM(BE10:BE59)</f>
        <v>3254.2547813141018</v>
      </c>
      <c r="BF61" s="980">
        <f>SUM(BF10:BF59)</f>
        <v>9319.8929305356141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0.57608333333333328</v>
      </c>
      <c r="Y62" s="244">
        <f t="shared" ref="Y62:Z62" si="115">MEDIAN(Y10:Y59)</f>
        <v>0.58833333333333337</v>
      </c>
      <c r="Z62" s="244">
        <f t="shared" si="115"/>
        <v>11.179166666666667</v>
      </c>
      <c r="AA62" s="244">
        <f>MEDIAN(AA10:AA59)</f>
        <v>0.57406611465424262</v>
      </c>
      <c r="AB62" s="244">
        <f t="shared" ref="AB62:AC62" si="116">MEDIAN(AB10:AB59)</f>
        <v>0.62864898243096357</v>
      </c>
      <c r="AC62" s="244">
        <f t="shared" si="116"/>
        <v>10.911280349797986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3189.3749837279152</v>
      </c>
      <c r="BD63" s="10">
        <f>BD61*0.8</f>
        <v>2551.4999869823328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602" t="s">
        <v>309</v>
      </c>
      <c r="AP65" s="1602"/>
      <c r="AQ65" s="1602"/>
      <c r="AR65" s="1602"/>
      <c r="AS65" s="249"/>
      <c r="AT65" s="131" t="s">
        <v>329</v>
      </c>
      <c r="AU65" s="1849" t="s">
        <v>259</v>
      </c>
      <c r="AV65" s="1849"/>
      <c r="AW65" s="1849"/>
      <c r="AX65" s="429"/>
      <c r="AY65" s="1620" t="s">
        <v>255</v>
      </c>
      <c r="AZ65" s="1621"/>
      <c r="BA65" s="1621"/>
      <c r="BB65" s="1621"/>
      <c r="BC65" s="1621"/>
      <c r="BD65" s="1622"/>
      <c r="BE65" s="1850" t="s">
        <v>276</v>
      </c>
      <c r="BF65" s="1851"/>
      <c r="BG65" s="1852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849" t="s">
        <v>260</v>
      </c>
      <c r="AV66" s="1849"/>
      <c r="AW66" s="1849"/>
      <c r="AX66" s="429"/>
      <c r="AY66" s="1620" t="s">
        <v>262</v>
      </c>
      <c r="AZ66" s="1621"/>
      <c r="BA66" s="1622"/>
      <c r="BB66" s="1620" t="s">
        <v>263</v>
      </c>
      <c r="BC66" s="1621"/>
      <c r="BD66" s="1622"/>
      <c r="BE66" s="1620" t="s">
        <v>40</v>
      </c>
      <c r="BF66" s="1621"/>
      <c r="BG66" s="1622"/>
    </row>
    <row r="67" spans="5:60" x14ac:dyDescent="0.3">
      <c r="F67" s="43"/>
      <c r="J67" s="39">
        <f>SUM(C10:C59)</f>
        <v>991.96666666666658</v>
      </c>
      <c r="K67" s="39"/>
      <c r="L67" s="39"/>
      <c r="M67" s="39">
        <f>'Milling Down Time Hours'!P92</f>
        <v>422.81666666666666</v>
      </c>
      <c r="N67" s="39">
        <f>N61/J67</f>
        <v>9.13898156555328</v>
      </c>
      <c r="O67" s="39"/>
      <c r="P67" s="39">
        <f>(N61/J68)</f>
        <v>219.33555757327875</v>
      </c>
      <c r="Q67" s="39"/>
      <c r="R67" s="39"/>
      <c r="S67" s="39"/>
      <c r="T67" s="39"/>
      <c r="U67" s="39">
        <f>(J67+M67)/24</f>
        <v>58.949305555555554</v>
      </c>
      <c r="AO67" s="13" t="s">
        <v>328</v>
      </c>
      <c r="AP67" s="133">
        <f>AVERAGE(X10:X15)</f>
        <v>0.7364814814814814</v>
      </c>
      <c r="AQ67" s="133">
        <f t="shared" ref="AQ67:AR67" si="117">AVERAGE(Y10:Y15)</f>
        <v>0.64749537037037042</v>
      </c>
      <c r="AR67" s="133">
        <f t="shared" si="117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41.331944444444439</v>
      </c>
      <c r="K68" s="43"/>
      <c r="L68" s="43"/>
      <c r="M68" s="43">
        <f>M67/24</f>
        <v>17.617361111111112</v>
      </c>
      <c r="AD68" s="1849" t="s">
        <v>259</v>
      </c>
      <c r="AE68" s="1849"/>
      <c r="AF68" s="1849"/>
      <c r="AG68" s="1849"/>
      <c r="AH68" s="1849"/>
      <c r="AO68" s="13" t="s">
        <v>200</v>
      </c>
      <c r="AP68" s="133">
        <f>MEDIAN(X10:X15)</f>
        <v>0.69599999999999995</v>
      </c>
      <c r="AQ68" s="133">
        <f t="shared" ref="AQ68:AR68" si="118">MEDIAN(Y10:Y15)</f>
        <v>0.66361111111111115</v>
      </c>
      <c r="AR68" s="133">
        <f t="shared" si="118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6">
        <v>7.2224166666666676</v>
      </c>
      <c r="AX68" s="1149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833" t="s">
        <v>258</v>
      </c>
      <c r="AE69" s="1833" t="s">
        <v>485</v>
      </c>
      <c r="AF69" s="1849" t="s">
        <v>260</v>
      </c>
      <c r="AG69" s="1849"/>
      <c r="AH69" s="1849"/>
      <c r="AO69" s="13" t="s">
        <v>202</v>
      </c>
      <c r="AP69" s="133">
        <f>MIN(X10:X15)</f>
        <v>0.57608333333333328</v>
      </c>
      <c r="AQ69" s="133">
        <f t="shared" ref="AQ69:AR69" si="119">MIN(Y10:Y15)</f>
        <v>0.49666666666666665</v>
      </c>
      <c r="AR69" s="133">
        <f t="shared" si="119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6">
        <v>9.051111111111112</v>
      </c>
      <c r="AX69" s="1149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991.96666666666658</v>
      </c>
      <c r="O70" s="1868" t="s">
        <v>890</v>
      </c>
      <c r="P70" s="1882" t="s">
        <v>935</v>
      </c>
      <c r="Q70" s="1880" t="s">
        <v>936</v>
      </c>
      <c r="R70" s="1880"/>
      <c r="S70" s="1881"/>
      <c r="AD70" s="1833"/>
      <c r="AE70" s="1833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20">MAX(Y10:Y15)</f>
        <v>0.79333333333333333</v>
      </c>
      <c r="AR70" s="133">
        <f t="shared" si="120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6">
        <v>9.0688888888888908</v>
      </c>
      <c r="AX70" s="1149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422.81666666666666</v>
      </c>
      <c r="O71" s="1869"/>
      <c r="P71" s="1883"/>
      <c r="Q71" s="1349" t="s">
        <v>337</v>
      </c>
      <c r="R71" s="1350" t="s">
        <v>338</v>
      </c>
      <c r="S71" s="1357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6">
        <v>9.1508333333333347</v>
      </c>
      <c r="AX71" s="1149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1414.7833333333333</v>
      </c>
      <c r="O72" s="1884">
        <v>46266</v>
      </c>
      <c r="P72" s="24">
        <v>1</v>
      </c>
      <c r="Q72" s="1351">
        <f>X10</f>
        <v>0.70799999999999996</v>
      </c>
      <c r="R72" s="1351">
        <f t="shared" ref="R72:S87" si="121">Y10</f>
        <v>0.53525</v>
      </c>
      <c r="S72" s="1352">
        <f t="shared" si="121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6">
        <v>9.0411111111111087</v>
      </c>
      <c r="AX72" s="1149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0.70114387362022446</v>
      </c>
      <c r="O73" s="1885"/>
      <c r="P73" s="13">
        <v>2</v>
      </c>
      <c r="Q73" s="133">
        <f t="shared" ref="Q73:Q91" si="122">X11</f>
        <v>0.68400000000000005</v>
      </c>
      <c r="R73" s="133">
        <f t="shared" si="121"/>
        <v>0.79333333333333333</v>
      </c>
      <c r="S73" s="1353">
        <f t="shared" si="121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6">
        <v>7.58</v>
      </c>
      <c r="AX73" s="1149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9.13898156555328</v>
      </c>
      <c r="O74" s="1885"/>
      <c r="P74" s="13">
        <v>3</v>
      </c>
      <c r="Q74" s="133">
        <f t="shared" si="122"/>
        <v>0.93455555555555547</v>
      </c>
      <c r="R74" s="133">
        <f t="shared" si="121"/>
        <v>0.65888888888888886</v>
      </c>
      <c r="S74" s="1353">
        <f t="shared" si="121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6">
        <v>9.8144444444444439</v>
      </c>
      <c r="AX74" s="1149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219.33555757327875</v>
      </c>
      <c r="O75" s="1885"/>
      <c r="P75" s="13">
        <v>4</v>
      </c>
      <c r="Q75" s="133">
        <f t="shared" si="122"/>
        <v>0.92891666666666661</v>
      </c>
      <c r="R75" s="133">
        <f t="shared" si="121"/>
        <v>0.73249999999999993</v>
      </c>
      <c r="S75" s="1353">
        <f t="shared" si="121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6">
        <v>10.3775</v>
      </c>
      <c r="AX75" s="1149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58.949305555555554</v>
      </c>
      <c r="O76" s="1885"/>
      <c r="P76" s="13">
        <v>5</v>
      </c>
      <c r="Q76" s="133">
        <f t="shared" si="122"/>
        <v>0.58733333333333337</v>
      </c>
      <c r="R76" s="133">
        <f t="shared" si="121"/>
        <v>0.49666666666666665</v>
      </c>
      <c r="S76" s="1353">
        <f t="shared" si="121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6">
        <v>14.675833333333332</v>
      </c>
      <c r="AX76" s="1149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0.29885612637977549</v>
      </c>
      <c r="O77" s="1885"/>
      <c r="P77" s="13">
        <v>6</v>
      </c>
      <c r="Q77" s="133">
        <f t="shared" si="122"/>
        <v>0.57608333333333328</v>
      </c>
      <c r="R77" s="133">
        <f t="shared" si="121"/>
        <v>0.66833333333333333</v>
      </c>
      <c r="S77" s="1353">
        <f t="shared" si="121"/>
        <v>7.58</v>
      </c>
      <c r="AT77" s="13">
        <v>10</v>
      </c>
      <c r="AU77" s="133">
        <v>0.82590476190476192</v>
      </c>
      <c r="AV77" s="133">
        <v>1.1390476190476191</v>
      </c>
      <c r="AW77" s="1146">
        <v>17.893333333333334</v>
      </c>
      <c r="AX77" s="1149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85"/>
      <c r="P78" s="13">
        <v>7</v>
      </c>
      <c r="Q78" s="133">
        <f t="shared" si="122"/>
        <v>0.53555555555555556</v>
      </c>
      <c r="R78" s="133">
        <f t="shared" si="121"/>
        <v>0.53555555555555556</v>
      </c>
      <c r="S78" s="1353">
        <f t="shared" si="121"/>
        <v>9.8144444444444439</v>
      </c>
      <c r="V78" s="131" t="s">
        <v>258</v>
      </c>
      <c r="W78" s="131"/>
      <c r="X78" s="131"/>
      <c r="Y78" s="131" t="s">
        <v>292</v>
      </c>
      <c r="Z78" s="1878" t="s">
        <v>317</v>
      </c>
      <c r="AA78" s="1849" t="s">
        <v>631</v>
      </c>
      <c r="AB78" s="1849"/>
      <c r="AC78" s="1849"/>
      <c r="AD78" s="429"/>
      <c r="AE78" s="429"/>
      <c r="AF78" s="429"/>
      <c r="AG78" s="1620" t="s">
        <v>323</v>
      </c>
      <c r="AH78" s="1621"/>
      <c r="AI78" s="1622"/>
      <c r="AT78" s="13">
        <v>11</v>
      </c>
      <c r="AU78" s="133">
        <v>0.7294666666666666</v>
      </c>
      <c r="AV78" s="133">
        <v>1.3033333333333335</v>
      </c>
      <c r="AW78" s="1146">
        <v>18.880000000000003</v>
      </c>
      <c r="AX78" s="1149"/>
      <c r="AY78" s="1145">
        <v>0.16700000000000001</v>
      </c>
      <c r="AZ78" s="1145">
        <v>1.26</v>
      </c>
      <c r="BA78" s="1145">
        <v>17.43</v>
      </c>
      <c r="BB78" s="1145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85"/>
      <c r="P79" s="13">
        <v>8</v>
      </c>
      <c r="Q79" s="133">
        <f t="shared" si="122"/>
        <v>0.58483333333333321</v>
      </c>
      <c r="R79" s="133">
        <f t="shared" si="121"/>
        <v>0.58833333333333337</v>
      </c>
      <c r="S79" s="1353">
        <f t="shared" si="121"/>
        <v>10.3775</v>
      </c>
      <c r="V79" s="131" t="s">
        <v>320</v>
      </c>
      <c r="W79" s="131"/>
      <c r="X79" s="131"/>
      <c r="Y79" s="131" t="s">
        <v>632</v>
      </c>
      <c r="Z79" s="1879"/>
      <c r="AA79" s="131" t="s">
        <v>252</v>
      </c>
      <c r="AB79" s="131" t="s">
        <v>253</v>
      </c>
      <c r="AC79" s="131" t="s">
        <v>254</v>
      </c>
      <c r="AD79" s="131"/>
      <c r="AE79" s="131"/>
      <c r="AF79" s="131"/>
      <c r="AG79" s="131" t="s">
        <v>252</v>
      </c>
      <c r="AH79" s="131" t="s">
        <v>253</v>
      </c>
      <c r="AI79" s="131" t="s">
        <v>254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23">AVERAGE(AV68:AV78)</f>
        <v>0.75587049062049061</v>
      </c>
      <c r="AW79" s="133">
        <f t="shared" si="123"/>
        <v>11.159588383838383</v>
      </c>
      <c r="AX79" s="207"/>
      <c r="AY79" s="133">
        <f>AVERAGE(AY68:AY78)</f>
        <v>9.6350505050505048E-2</v>
      </c>
      <c r="AZ79" s="133">
        <f t="shared" ref="AZ79:BB79" si="124">AVERAGE(AZ68:AZ78)</f>
        <v>0.38267676767676767</v>
      </c>
      <c r="BA79" s="133">
        <f t="shared" si="124"/>
        <v>10.193287878787878</v>
      </c>
      <c r="BB79" s="133">
        <f t="shared" si="124"/>
        <v>2.5727272727272724E-2</v>
      </c>
      <c r="BC79" s="6"/>
      <c r="BD79" s="6"/>
      <c r="BE79" s="6"/>
      <c r="BF79" s="6"/>
      <c r="BG79" s="6"/>
    </row>
    <row r="80" spans="5:60" x14ac:dyDescent="0.3">
      <c r="O80" s="1885"/>
      <c r="P80" s="13">
        <v>9</v>
      </c>
      <c r="Q80" s="133">
        <f t="shared" si="122"/>
        <v>0.60575000000000001</v>
      </c>
      <c r="R80" s="133">
        <f t="shared" si="121"/>
        <v>0.86333333333333329</v>
      </c>
      <c r="S80" s="1353">
        <f t="shared" si="121"/>
        <v>14.675833333333332</v>
      </c>
      <c r="V80" s="13">
        <v>1</v>
      </c>
      <c r="W80" s="13"/>
      <c r="X80" s="13"/>
      <c r="Y80" s="13">
        <v>1</v>
      </c>
      <c r="Z80" s="39">
        <f>N10</f>
        <v>292.31359999999995</v>
      </c>
      <c r="AA80" s="133">
        <f t="shared" ref="AA80:AC86" si="125">X10</f>
        <v>0.70799999999999996</v>
      </c>
      <c r="AB80" s="133">
        <f t="shared" si="125"/>
        <v>0.53525</v>
      </c>
      <c r="AC80" s="133">
        <f t="shared" si="125"/>
        <v>7.2224166666666676</v>
      </c>
      <c r="AD80" s="133"/>
      <c r="AE80" s="133"/>
      <c r="AF80" s="133"/>
      <c r="AG80" s="133">
        <f t="shared" ref="AG80:AI84" si="126">AF10</f>
        <v>5.5750000000000001E-2</v>
      </c>
      <c r="AH80" s="133">
        <f t="shared" si="126"/>
        <v>0.17</v>
      </c>
      <c r="AI80" s="133">
        <f t="shared" si="126"/>
        <v>6.55</v>
      </c>
      <c r="AR80" s="10"/>
      <c r="AS80" s="10"/>
      <c r="AT80" s="1150" t="s">
        <v>17</v>
      </c>
      <c r="AU80" s="1853"/>
      <c r="AV80" s="1854"/>
      <c r="AW80" s="1854"/>
      <c r="AX80" s="1854"/>
      <c r="AY80" s="1854"/>
      <c r="AZ80" s="1854"/>
      <c r="BA80" s="1854"/>
      <c r="BB80" s="1854"/>
      <c r="BC80" s="1854"/>
      <c r="BD80" s="1855"/>
      <c r="BE80" s="1151">
        <f>SUM(BE68:BE79)</f>
        <v>2023.4684999216388</v>
      </c>
      <c r="BF80" s="1151">
        <f t="shared" ref="BF80:BG80" si="127">SUM(BF68:BF79)</f>
        <v>1374.7770814606047</v>
      </c>
      <c r="BG80" s="1151">
        <f t="shared" si="127"/>
        <v>3002.5736707038232</v>
      </c>
    </row>
    <row r="81" spans="15:45" x14ac:dyDescent="0.3">
      <c r="O81" s="1885"/>
      <c r="P81" s="13">
        <v>10</v>
      </c>
      <c r="Q81" s="133">
        <f t="shared" si="122"/>
        <v>0.82590476190476192</v>
      </c>
      <c r="R81" s="133">
        <f t="shared" si="121"/>
        <v>1.1390476190476191</v>
      </c>
      <c r="S81" s="1353">
        <f t="shared" si="121"/>
        <v>17.893333333333334</v>
      </c>
      <c r="V81" s="13">
        <v>2</v>
      </c>
      <c r="W81" s="13"/>
      <c r="X81" s="13"/>
      <c r="Y81" s="13">
        <v>2</v>
      </c>
      <c r="Z81" s="39">
        <f>N11</f>
        <v>300.14215000000002</v>
      </c>
      <c r="AA81" s="133">
        <f t="shared" si="125"/>
        <v>0.68400000000000005</v>
      </c>
      <c r="AB81" s="133">
        <f t="shared" si="125"/>
        <v>0.79333333333333333</v>
      </c>
      <c r="AC81" s="133">
        <f t="shared" si="125"/>
        <v>9.051111111111112</v>
      </c>
      <c r="AD81" s="133"/>
      <c r="AE81" s="133"/>
      <c r="AF81" s="133"/>
      <c r="AG81" s="133">
        <f t="shared" si="126"/>
        <v>5.5749999999999994E-2</v>
      </c>
      <c r="AH81" s="133">
        <f t="shared" si="126"/>
        <v>0.25</v>
      </c>
      <c r="AI81" s="133">
        <f t="shared" si="126"/>
        <v>8.3524999999999991</v>
      </c>
      <c r="AR81" s="10"/>
      <c r="AS81" s="10"/>
    </row>
    <row r="82" spans="15:45" x14ac:dyDescent="0.3">
      <c r="O82" s="1885"/>
      <c r="P82" s="13">
        <v>11</v>
      </c>
      <c r="Q82" s="133">
        <f t="shared" si="122"/>
        <v>0.7294666666666666</v>
      </c>
      <c r="R82" s="133">
        <f t="shared" si="121"/>
        <v>1.3033333333333335</v>
      </c>
      <c r="S82" s="1353">
        <f t="shared" si="121"/>
        <v>18.880000000000003</v>
      </c>
      <c r="V82" s="13">
        <v>3</v>
      </c>
      <c r="W82" s="13"/>
      <c r="X82" s="13"/>
      <c r="Y82" s="13">
        <v>3</v>
      </c>
      <c r="Z82" s="39">
        <f>O12</f>
        <v>326.97083025000006</v>
      </c>
      <c r="AA82" s="133">
        <f t="shared" si="125"/>
        <v>0.93455555555555547</v>
      </c>
      <c r="AB82" s="133">
        <f t="shared" si="125"/>
        <v>0.65888888888888886</v>
      </c>
      <c r="AC82" s="133">
        <f t="shared" si="125"/>
        <v>9.0688888888888908</v>
      </c>
      <c r="AD82" s="133"/>
      <c r="AE82" s="133"/>
      <c r="AF82" s="133"/>
      <c r="AG82" s="133">
        <f t="shared" si="126"/>
        <v>9.816666666666668E-2</v>
      </c>
      <c r="AH82" s="133">
        <f t="shared" si="126"/>
        <v>0.23333333333333331</v>
      </c>
      <c r="AI82" s="133">
        <f t="shared" si="126"/>
        <v>8.9633333333333329</v>
      </c>
      <c r="AR82" s="10"/>
    </row>
    <row r="83" spans="15:45" ht="15" thickBot="1" x14ac:dyDescent="0.35">
      <c r="O83" s="1885"/>
      <c r="P83" s="95">
        <v>12</v>
      </c>
      <c r="Q83" s="1342">
        <f t="shared" si="122"/>
        <v>0.58996666666666664</v>
      </c>
      <c r="R83" s="1342">
        <f t="shared" si="121"/>
        <v>1.3809999999999998</v>
      </c>
      <c r="S83" s="1356">
        <f t="shared" si="121"/>
        <v>16.069666666666667</v>
      </c>
      <c r="V83" s="13">
        <v>4</v>
      </c>
      <c r="W83" s="13"/>
      <c r="X83" s="13"/>
      <c r="Y83" s="13">
        <v>4</v>
      </c>
      <c r="Z83" s="39">
        <f>O13</f>
        <v>316.93530000000004</v>
      </c>
      <c r="AA83" s="133">
        <f t="shared" si="125"/>
        <v>0.92891666666666661</v>
      </c>
      <c r="AB83" s="133">
        <f t="shared" si="125"/>
        <v>0.73249999999999993</v>
      </c>
      <c r="AC83" s="133">
        <f t="shared" si="125"/>
        <v>9.1508333333333347</v>
      </c>
      <c r="AD83" s="133"/>
      <c r="AE83" s="133"/>
      <c r="AF83" s="133"/>
      <c r="AG83" s="133">
        <f t="shared" si="126"/>
        <v>0.10916666666666668</v>
      </c>
      <c r="AH83" s="133">
        <f t="shared" si="126"/>
        <v>0.24</v>
      </c>
      <c r="AI83" s="133">
        <f t="shared" si="126"/>
        <v>5.1633333333333331</v>
      </c>
      <c r="AR83" s="10"/>
      <c r="AS83" s="10"/>
    </row>
    <row r="84" spans="15:45" x14ac:dyDescent="0.3">
      <c r="O84" s="1865" t="s">
        <v>937</v>
      </c>
      <c r="P84" s="24">
        <v>13</v>
      </c>
      <c r="Q84" s="1351">
        <f t="shared" si="122"/>
        <v>0.52375000000000005</v>
      </c>
      <c r="R84" s="1351">
        <f t="shared" si="121"/>
        <v>0.7929166666666666</v>
      </c>
      <c r="S84" s="1352">
        <f t="shared" si="121"/>
        <v>20.323666666666668</v>
      </c>
      <c r="V84" s="13">
        <v>5</v>
      </c>
      <c r="W84" s="13"/>
      <c r="X84" s="13"/>
      <c r="Y84" s="13">
        <v>5</v>
      </c>
      <c r="Z84" s="39">
        <f>O14</f>
        <v>266.98580000000004</v>
      </c>
      <c r="AA84" s="133">
        <f t="shared" si="125"/>
        <v>0.58733333333333337</v>
      </c>
      <c r="AB84" s="133">
        <f t="shared" si="125"/>
        <v>0.49666666666666665</v>
      </c>
      <c r="AC84" s="133">
        <f t="shared" si="125"/>
        <v>9.0411111111111087</v>
      </c>
      <c r="AD84" s="133"/>
      <c r="AE84" s="133"/>
      <c r="AF84" s="133"/>
      <c r="AG84" s="133">
        <f t="shared" si="126"/>
        <v>0.12466666666666666</v>
      </c>
      <c r="AH84" s="133">
        <f t="shared" si="126"/>
        <v>0.37833333333333335</v>
      </c>
      <c r="AI84" s="133">
        <f t="shared" si="126"/>
        <v>7.5183333333333335</v>
      </c>
    </row>
    <row r="85" spans="15:45" x14ac:dyDescent="0.3">
      <c r="O85" s="1866"/>
      <c r="P85" s="13">
        <v>14</v>
      </c>
      <c r="Q85" s="133">
        <f t="shared" si="122"/>
        <v>0.44266666666666671</v>
      </c>
      <c r="R85" s="133">
        <f t="shared" si="121"/>
        <v>2.0333333333333332</v>
      </c>
      <c r="S85" s="1353">
        <f t="shared" si="121"/>
        <v>11.179166666666667</v>
      </c>
      <c r="V85" s="13">
        <v>6</v>
      </c>
      <c r="W85" s="13"/>
      <c r="X85" s="13"/>
      <c r="Y85" s="13">
        <v>6</v>
      </c>
      <c r="Z85" s="39">
        <f>O15</f>
        <v>277.03691250000003</v>
      </c>
      <c r="AA85" s="133">
        <f t="shared" si="125"/>
        <v>0.57608333333333328</v>
      </c>
      <c r="AB85" s="133">
        <f t="shared" si="125"/>
        <v>0.66833333333333333</v>
      </c>
      <c r="AC85" s="133">
        <f t="shared" si="125"/>
        <v>7.58</v>
      </c>
      <c r="AD85" s="133"/>
      <c r="AE85" s="133"/>
      <c r="AF85" s="133"/>
      <c r="AG85" s="133"/>
      <c r="AH85" s="133"/>
      <c r="AI85" s="133"/>
    </row>
    <row r="86" spans="15:45" x14ac:dyDescent="0.3">
      <c r="O86" s="1866"/>
      <c r="P86" s="13">
        <v>15</v>
      </c>
      <c r="Q86" s="133">
        <f t="shared" si="122"/>
        <v>0.38111111111111112</v>
      </c>
      <c r="R86" s="133">
        <f t="shared" si="121"/>
        <v>0.41888888888888887</v>
      </c>
      <c r="S86" s="1353">
        <f t="shared" si="121"/>
        <v>9.163333333333334</v>
      </c>
      <c r="V86" s="13">
        <v>7</v>
      </c>
      <c r="W86" s="13"/>
      <c r="X86" s="13"/>
      <c r="Y86" s="13">
        <v>7</v>
      </c>
      <c r="Z86" s="39">
        <f>O16</f>
        <v>246.07747500000002</v>
      </c>
      <c r="AA86" s="133">
        <f t="shared" si="125"/>
        <v>0.53555555555555556</v>
      </c>
      <c r="AB86" s="133">
        <f t="shared" si="125"/>
        <v>0.53555555555555556</v>
      </c>
      <c r="AC86" s="133">
        <f t="shared" si="125"/>
        <v>9.8144444444444439</v>
      </c>
      <c r="AD86" s="133"/>
      <c r="AE86" s="133"/>
      <c r="AF86" s="133"/>
      <c r="AG86" s="133"/>
      <c r="AH86" s="133"/>
      <c r="AI86" s="133"/>
    </row>
    <row r="87" spans="15:45" x14ac:dyDescent="0.3">
      <c r="O87" s="1866"/>
      <c r="P87" s="13">
        <v>16</v>
      </c>
      <c r="Q87" s="133">
        <f t="shared" si="122"/>
        <v>0.48775000000000002</v>
      </c>
      <c r="R87" s="133">
        <f t="shared" si="121"/>
        <v>0.47666666666666674</v>
      </c>
      <c r="S87" s="1353">
        <f t="shared" si="121"/>
        <v>12.970833333333335</v>
      </c>
      <c r="V87" s="14" t="s">
        <v>321</v>
      </c>
      <c r="W87" s="14"/>
      <c r="X87" s="14"/>
      <c r="Y87" s="14"/>
      <c r="Z87" s="234">
        <f>AVERAGE(Z80:Z86)</f>
        <v>289.49458110714284</v>
      </c>
      <c r="AA87" s="242">
        <f>AVERAGE(AA80:AA86)</f>
        <v>0.70777777777777773</v>
      </c>
      <c r="AB87" s="242">
        <f t="shared" ref="AB87:AC87" si="128">AVERAGE(AB80:AB86)</f>
        <v>0.63150396825396826</v>
      </c>
      <c r="AC87" s="242">
        <f t="shared" si="128"/>
        <v>8.7041150793650797</v>
      </c>
      <c r="AD87" s="242"/>
      <c r="AE87" s="242"/>
      <c r="AF87" s="242"/>
      <c r="AG87" s="242">
        <f>AVERAGE(AG80:AG84)</f>
        <v>8.8700000000000001E-2</v>
      </c>
      <c r="AH87" s="242">
        <f t="shared" ref="AH87:AI87" si="129">AVERAGE(AH80:AH84)</f>
        <v>0.25433333333333336</v>
      </c>
      <c r="AI87" s="242">
        <f t="shared" si="129"/>
        <v>7.3094999999999999</v>
      </c>
    </row>
    <row r="88" spans="15:45" x14ac:dyDescent="0.3">
      <c r="O88" s="1866"/>
      <c r="P88" s="13">
        <v>17</v>
      </c>
      <c r="Q88" s="133">
        <f t="shared" si="122"/>
        <v>0.37083333333333335</v>
      </c>
      <c r="R88" s="133">
        <f t="shared" ref="R88:R91" si="130">Y26</f>
        <v>0.41</v>
      </c>
      <c r="S88" s="1353">
        <f t="shared" ref="S88:S91" si="131">Z26</f>
        <v>10.078333333333333</v>
      </c>
      <c r="V88" s="14" t="s">
        <v>322</v>
      </c>
      <c r="W88" s="14"/>
      <c r="X88" s="14"/>
      <c r="Y88" s="14"/>
      <c r="Z88" s="234">
        <f>SUM(Z80:Z86)</f>
        <v>2026.46206775</v>
      </c>
      <c r="AA88" s="14"/>
      <c r="AB88" s="14"/>
      <c r="AC88" s="14"/>
      <c r="AD88" s="14"/>
      <c r="AE88" s="14"/>
      <c r="AF88" s="14"/>
      <c r="AG88" s="14"/>
      <c r="AH88" s="14"/>
      <c r="AI88" s="14"/>
    </row>
    <row r="89" spans="15:45" x14ac:dyDescent="0.3">
      <c r="O89" s="1866"/>
      <c r="P89" s="13">
        <v>18</v>
      </c>
      <c r="Q89" s="133">
        <f t="shared" si="122"/>
        <v>0.39500000000000002</v>
      </c>
      <c r="R89" s="133">
        <f t="shared" si="130"/>
        <v>0.30555555555555552</v>
      </c>
      <c r="S89" s="1353">
        <f t="shared" si="131"/>
        <v>7.7222222222222223</v>
      </c>
    </row>
    <row r="90" spans="15:45" x14ac:dyDescent="0.3">
      <c r="O90" s="1866"/>
      <c r="P90" s="13">
        <v>19</v>
      </c>
      <c r="Q90" s="133">
        <f t="shared" si="122"/>
        <v>0.38615873015873015</v>
      </c>
      <c r="R90" s="133">
        <f t="shared" si="130"/>
        <v>0.44349206349206344</v>
      </c>
      <c r="S90" s="1353">
        <f t="shared" si="131"/>
        <v>13.407365079365078</v>
      </c>
    </row>
    <row r="91" spans="15:45" ht="15" thickBot="1" x14ac:dyDescent="0.35">
      <c r="O91" s="1867"/>
      <c r="P91" s="28">
        <v>20</v>
      </c>
      <c r="Q91" s="1354">
        <f t="shared" si="122"/>
        <v>0.68184444444444436</v>
      </c>
      <c r="R91" s="1354">
        <f t="shared" si="130"/>
        <v>0.5471111111111111</v>
      </c>
      <c r="S91" s="1355">
        <f t="shared" si="131"/>
        <v>8.7253333333333334</v>
      </c>
    </row>
    <row r="92" spans="15:45" ht="15" thickBot="1" x14ac:dyDescent="0.35">
      <c r="P92" s="28">
        <v>21</v>
      </c>
    </row>
    <row r="93" spans="15:45" ht="15" thickBot="1" x14ac:dyDescent="0.35">
      <c r="P93" s="28">
        <v>22</v>
      </c>
      <c r="Q93" s="117"/>
      <c r="R93" s="117"/>
      <c r="S93" s="117"/>
    </row>
    <row r="94" spans="15:45" ht="15" thickBot="1" x14ac:dyDescent="0.35">
      <c r="P94" s="28">
        <v>23</v>
      </c>
    </row>
    <row r="95" spans="15:45" ht="15" thickBot="1" x14ac:dyDescent="0.35">
      <c r="P95" s="28">
        <v>24</v>
      </c>
    </row>
    <row r="97" spans="15:43" x14ac:dyDescent="0.3">
      <c r="V97" s="1897" t="s">
        <v>258</v>
      </c>
      <c r="W97" s="1897" t="s">
        <v>1030</v>
      </c>
      <c r="X97" s="1897" t="s">
        <v>1032</v>
      </c>
      <c r="Y97" s="1897" t="s">
        <v>329</v>
      </c>
      <c r="Z97" s="1897" t="s">
        <v>1034</v>
      </c>
      <c r="AA97" s="1897" t="s">
        <v>1036</v>
      </c>
      <c r="AB97" s="1894" t="s">
        <v>317</v>
      </c>
    </row>
    <row r="98" spans="15:43" ht="14.4" customHeight="1" x14ac:dyDescent="0.3">
      <c r="V98" s="1897"/>
      <c r="W98" s="1897"/>
      <c r="X98" s="1897"/>
      <c r="Y98" s="1897"/>
      <c r="Z98" s="1897"/>
      <c r="AA98" s="1897"/>
      <c r="AB98" s="1895"/>
      <c r="AD98" s="1897" t="s">
        <v>329</v>
      </c>
      <c r="AE98" s="1897" t="s">
        <v>1034</v>
      </c>
      <c r="AF98" s="1897" t="s">
        <v>1036</v>
      </c>
      <c r="AG98" s="1894" t="s">
        <v>317</v>
      </c>
      <c r="AH98" s="1873" t="s">
        <v>1040</v>
      </c>
      <c r="AI98" s="1906" t="s">
        <v>631</v>
      </c>
      <c r="AJ98" s="1907"/>
      <c r="AK98" s="1908"/>
      <c r="AL98" s="1906" t="s">
        <v>1042</v>
      </c>
      <c r="AM98" s="1907"/>
      <c r="AN98" s="1908"/>
      <c r="AO98" s="1873" t="s">
        <v>1041</v>
      </c>
      <c r="AP98" s="1429"/>
      <c r="AQ98" s="1429"/>
    </row>
    <row r="99" spans="15:43" ht="86.4" customHeight="1" x14ac:dyDescent="0.3">
      <c r="V99" s="1897" t="s">
        <v>1029</v>
      </c>
      <c r="W99" s="1898" t="s">
        <v>1031</v>
      </c>
      <c r="X99" s="1897" t="s">
        <v>36</v>
      </c>
      <c r="Y99" s="1897" t="s">
        <v>1033</v>
      </c>
      <c r="Z99" s="1897" t="s">
        <v>1035</v>
      </c>
      <c r="AA99" s="1897" t="s">
        <v>1037</v>
      </c>
      <c r="AB99" s="1895"/>
      <c r="AD99" s="1897"/>
      <c r="AE99" s="1897"/>
      <c r="AF99" s="1897"/>
      <c r="AG99" s="1895"/>
      <c r="AH99" s="1873"/>
      <c r="AI99" s="1909"/>
      <c r="AJ99" s="1910"/>
      <c r="AK99" s="1911"/>
      <c r="AL99" s="1909"/>
      <c r="AM99" s="1910"/>
      <c r="AN99" s="1911"/>
      <c r="AO99" s="1873"/>
      <c r="AP99" s="1429"/>
      <c r="AQ99" s="1429"/>
    </row>
    <row r="100" spans="15:43" x14ac:dyDescent="0.3">
      <c r="V100" s="1897"/>
      <c r="W100" s="1898"/>
      <c r="X100" s="1897"/>
      <c r="Y100" s="1897"/>
      <c r="Z100" s="1897"/>
      <c r="AA100" s="1897"/>
      <c r="AB100" s="1896"/>
      <c r="AD100" s="1897" t="s">
        <v>1033</v>
      </c>
      <c r="AE100" s="1897" t="s">
        <v>1035</v>
      </c>
      <c r="AF100" s="1897" t="s">
        <v>1037</v>
      </c>
      <c r="AG100" s="1895"/>
      <c r="AH100" s="1873"/>
      <c r="AI100" s="1830" t="s">
        <v>252</v>
      </c>
      <c r="AJ100" s="1830" t="s">
        <v>253</v>
      </c>
      <c r="AK100" s="1830" t="s">
        <v>254</v>
      </c>
      <c r="AL100" s="1830" t="s">
        <v>252</v>
      </c>
      <c r="AM100" s="1830" t="s">
        <v>253</v>
      </c>
      <c r="AN100" s="1830" t="s">
        <v>254</v>
      </c>
      <c r="AO100" s="1833" t="s">
        <v>252</v>
      </c>
    </row>
    <row r="101" spans="15:43" x14ac:dyDescent="0.3">
      <c r="V101" s="13">
        <v>6</v>
      </c>
      <c r="W101" s="39">
        <f>C27</f>
        <v>36</v>
      </c>
      <c r="X101" s="39">
        <f>D27</f>
        <v>9.6099500000000013</v>
      </c>
      <c r="Y101" s="13">
        <v>6</v>
      </c>
      <c r="Z101" s="13">
        <v>9.6999999999999993</v>
      </c>
      <c r="AA101" s="39">
        <f>J25</f>
        <v>826.84677999999997</v>
      </c>
      <c r="AB101" s="39">
        <f>O27</f>
        <v>345.95820000000003</v>
      </c>
      <c r="AD101" s="1897"/>
      <c r="AE101" s="1897"/>
      <c r="AF101" s="1897"/>
      <c r="AG101" s="1896"/>
      <c r="AH101" s="1873"/>
      <c r="AI101" s="1832"/>
      <c r="AJ101" s="1832"/>
      <c r="AK101" s="1832"/>
      <c r="AL101" s="1832"/>
      <c r="AM101" s="1832"/>
      <c r="AN101" s="1832"/>
      <c r="AO101" s="1833"/>
    </row>
    <row r="102" spans="15:43" x14ac:dyDescent="0.3">
      <c r="V102" s="13">
        <v>7</v>
      </c>
      <c r="W102" s="39">
        <f t="shared" ref="W102:W111" si="132">C28</f>
        <v>36</v>
      </c>
      <c r="X102" s="39">
        <f t="shared" ref="X102:X111" si="133">D28</f>
        <v>9.4096999999999991</v>
      </c>
      <c r="Y102" s="13">
        <v>7</v>
      </c>
      <c r="Z102" s="13">
        <v>9.6</v>
      </c>
      <c r="AA102" s="39">
        <f t="shared" ref="AA102:AA111" si="134">J26</f>
        <v>863</v>
      </c>
      <c r="AB102" s="39">
        <f t="shared" ref="AB102:AB111" si="135">O28</f>
        <v>338.74919999999997</v>
      </c>
      <c r="AD102" s="13">
        <v>6</v>
      </c>
      <c r="AE102" s="13">
        <v>9.6999999999999993</v>
      </c>
      <c r="AF102" s="39">
        <f>O26</f>
        <v>309.76120000000003</v>
      </c>
      <c r="AG102" s="39">
        <f>O27</f>
        <v>345.95820000000003</v>
      </c>
      <c r="AH102" s="879">
        <f>M27</f>
        <v>0.36</v>
      </c>
      <c r="AI102" s="445">
        <f>X26</f>
        <v>0.37083333333333335</v>
      </c>
      <c r="AJ102" s="445">
        <f t="shared" ref="AJ102:AK102" si="136">Y26</f>
        <v>0.41</v>
      </c>
      <c r="AK102" s="445">
        <f t="shared" si="136"/>
        <v>10.078333333333333</v>
      </c>
      <c r="AL102" s="445">
        <f>AF28</f>
        <v>0.15962500000000002</v>
      </c>
      <c r="AM102" s="445">
        <f t="shared" ref="AM102:AN102" si="137">AG28</f>
        <v>0.21625</v>
      </c>
      <c r="AN102" s="445">
        <f t="shared" si="137"/>
        <v>10.736250000000002</v>
      </c>
      <c r="AO102" s="445">
        <f>AI27</f>
        <v>0.04</v>
      </c>
    </row>
    <row r="103" spans="15:43" x14ac:dyDescent="0.3">
      <c r="V103" s="13">
        <v>8</v>
      </c>
      <c r="W103" s="39">
        <f t="shared" si="132"/>
        <v>36</v>
      </c>
      <c r="X103" s="39">
        <f t="shared" si="133"/>
        <v>9.9222999999999999</v>
      </c>
      <c r="Y103" s="13">
        <v>8</v>
      </c>
      <c r="Z103" s="13">
        <v>10.1</v>
      </c>
      <c r="AA103" s="39">
        <f t="shared" si="134"/>
        <v>872</v>
      </c>
      <c r="AB103" s="39">
        <f t="shared" si="135"/>
        <v>357.20280000000002</v>
      </c>
      <c r="AD103" s="13">
        <v>7</v>
      </c>
      <c r="AE103" s="13">
        <v>9.6</v>
      </c>
      <c r="AF103" s="39">
        <f t="shared" ref="AF103:AF112" si="138">O27</f>
        <v>345.95820000000003</v>
      </c>
      <c r="AG103" s="39">
        <f t="shared" ref="AG103:AG112" si="139">O28</f>
        <v>338.74919999999997</v>
      </c>
      <c r="AH103" s="879">
        <f t="shared" ref="AH103:AH112" si="140">M28</f>
        <v>0.36</v>
      </c>
      <c r="AI103" s="445">
        <f t="shared" ref="AI103:AI109" si="141">X27</f>
        <v>0.39500000000000002</v>
      </c>
      <c r="AJ103" s="445">
        <f t="shared" ref="AJ103:AJ109" si="142">Y27</f>
        <v>0.30555555555555552</v>
      </c>
      <c r="AK103" s="445">
        <f t="shared" ref="AK103:AK109" si="143">Z27</f>
        <v>7.7222222222222223</v>
      </c>
      <c r="AL103" s="445">
        <f t="shared" ref="AL103:AL108" si="144">AF29</f>
        <v>7.5166666666666659E-2</v>
      </c>
      <c r="AM103" s="445">
        <f t="shared" ref="AM103:AM108" si="145">AG29</f>
        <v>0.23333333333333331</v>
      </c>
      <c r="AN103" s="445">
        <f t="shared" ref="AN103:AN108" si="146">AH29</f>
        <v>9.793333333333333</v>
      </c>
      <c r="AO103" s="445">
        <f t="shared" ref="AO103:AO111" si="147">AI28</f>
        <v>0.04</v>
      </c>
    </row>
    <row r="104" spans="15:43" x14ac:dyDescent="0.3">
      <c r="V104" s="13">
        <v>9</v>
      </c>
      <c r="W104" s="39">
        <f t="shared" si="132"/>
        <v>32.6</v>
      </c>
      <c r="X104" s="39">
        <f t="shared" si="133"/>
        <v>8.9238036809815959</v>
      </c>
      <c r="Y104" s="13">
        <v>9</v>
      </c>
      <c r="Z104" s="13">
        <v>8.4</v>
      </c>
      <c r="AA104" s="39">
        <f t="shared" si="134"/>
        <v>863</v>
      </c>
      <c r="AB104" s="39">
        <f t="shared" si="135"/>
        <v>290.91600000000005</v>
      </c>
      <c r="AD104" s="13">
        <v>8</v>
      </c>
      <c r="AE104" s="13">
        <v>10.1</v>
      </c>
      <c r="AF104" s="39">
        <f t="shared" si="138"/>
        <v>338.74919999999997</v>
      </c>
      <c r="AG104" s="39">
        <f t="shared" si="139"/>
        <v>357.20280000000002</v>
      </c>
      <c r="AH104" s="879">
        <f t="shared" si="140"/>
        <v>0.36</v>
      </c>
      <c r="AI104" s="445">
        <f t="shared" si="141"/>
        <v>0.38615873015873015</v>
      </c>
      <c r="AJ104" s="445">
        <f t="shared" si="142"/>
        <v>0.44349206349206344</v>
      </c>
      <c r="AK104" s="445">
        <f t="shared" si="143"/>
        <v>13.407365079365078</v>
      </c>
      <c r="AL104" s="445">
        <f t="shared" si="144"/>
        <v>0.14933333333333335</v>
      </c>
      <c r="AM104" s="445">
        <f t="shared" si="145"/>
        <v>0.39666666666666667</v>
      </c>
      <c r="AN104" s="445">
        <f t="shared" si="146"/>
        <v>14.963333333333333</v>
      </c>
      <c r="AO104" s="445">
        <f t="shared" si="147"/>
        <v>0.04</v>
      </c>
    </row>
    <row r="105" spans="15:43" ht="15" thickBot="1" x14ac:dyDescent="0.35">
      <c r="O105" s="1358"/>
      <c r="P105" s="1359" t="s">
        <v>321</v>
      </c>
      <c r="Q105" s="1360">
        <f>AVERAGE(Q72:Q91)</f>
        <v>0.59797400793650779</v>
      </c>
      <c r="R105" s="1360">
        <f>AVERAGE(R72:R91)</f>
        <v>0.75617698412698409</v>
      </c>
      <c r="S105" s="1361">
        <f>AVERAGE(S72:S91)</f>
        <v>11.619769642857143</v>
      </c>
      <c r="V105" s="13">
        <v>10</v>
      </c>
      <c r="W105" s="39">
        <f t="shared" si="132"/>
        <v>25.666666666666664</v>
      </c>
      <c r="X105" s="39">
        <f t="shared" si="133"/>
        <v>10.390129870129874</v>
      </c>
      <c r="Y105" s="13">
        <v>10</v>
      </c>
      <c r="Z105" s="13">
        <v>8.4</v>
      </c>
      <c r="AA105" s="39">
        <f t="shared" si="134"/>
        <v>908</v>
      </c>
      <c r="AB105" s="39">
        <f t="shared" si="135"/>
        <v>266.68000000000006</v>
      </c>
      <c r="AD105" s="13">
        <v>9</v>
      </c>
      <c r="AE105" s="13">
        <v>8.4</v>
      </c>
      <c r="AF105" s="39">
        <f t="shared" si="138"/>
        <v>357.20280000000002</v>
      </c>
      <c r="AG105" s="39">
        <f t="shared" si="139"/>
        <v>290.91600000000005</v>
      </c>
      <c r="AH105" s="879">
        <f t="shared" si="140"/>
        <v>0.36</v>
      </c>
      <c r="AI105" s="445">
        <f t="shared" si="141"/>
        <v>0.68184444444444436</v>
      </c>
      <c r="AJ105" s="445">
        <f t="shared" si="142"/>
        <v>0.5471111111111111</v>
      </c>
      <c r="AK105" s="445">
        <f t="shared" si="143"/>
        <v>8.7253333333333334</v>
      </c>
      <c r="AL105" s="445">
        <f t="shared" si="144"/>
        <v>0.16366666666666665</v>
      </c>
      <c r="AM105" s="445">
        <f t="shared" si="145"/>
        <v>0.45333333333333337</v>
      </c>
      <c r="AN105" s="445">
        <f t="shared" si="146"/>
        <v>14.996666666666668</v>
      </c>
      <c r="AO105" s="445">
        <f t="shared" si="147"/>
        <v>0.04</v>
      </c>
    </row>
    <row r="106" spans="15:43" x14ac:dyDescent="0.3">
      <c r="V106" s="13">
        <v>11</v>
      </c>
      <c r="W106" s="39">
        <f t="shared" si="132"/>
        <v>30.333333333333336</v>
      </c>
      <c r="X106" s="39">
        <f t="shared" si="133"/>
        <v>9.5781758241758244</v>
      </c>
      <c r="Y106" s="13">
        <v>11</v>
      </c>
      <c r="Z106" s="13">
        <v>8.4</v>
      </c>
      <c r="AA106" s="39">
        <f t="shared" si="134"/>
        <v>755</v>
      </c>
      <c r="AB106" s="39">
        <f t="shared" si="135"/>
        <v>290.53800000000001</v>
      </c>
      <c r="AD106" s="13">
        <v>10</v>
      </c>
      <c r="AE106" s="13">
        <v>8.4</v>
      </c>
      <c r="AF106" s="39">
        <f t="shared" si="138"/>
        <v>290.91600000000005</v>
      </c>
      <c r="AG106" s="39">
        <f t="shared" si="139"/>
        <v>266.68000000000006</v>
      </c>
      <c r="AH106" s="879">
        <f t="shared" si="140"/>
        <v>0.34</v>
      </c>
      <c r="AI106" s="445">
        <f t="shared" si="141"/>
        <v>0.42383333333333334</v>
      </c>
      <c r="AJ106" s="445">
        <f t="shared" si="142"/>
        <v>0.40491666666666665</v>
      </c>
      <c r="AK106" s="445">
        <f t="shared" si="143"/>
        <v>11.380666666666666</v>
      </c>
      <c r="AL106" s="445">
        <f t="shared" si="144"/>
        <v>5.1700000000000003E-2</v>
      </c>
      <c r="AM106" s="445">
        <f t="shared" si="145"/>
        <v>0.35400000000000004</v>
      </c>
      <c r="AN106" s="445">
        <f t="shared" si="146"/>
        <v>15.597</v>
      </c>
      <c r="AO106" s="445">
        <f t="shared" si="147"/>
        <v>3.2000000000000001E-2</v>
      </c>
    </row>
    <row r="107" spans="15:43" x14ac:dyDescent="0.3">
      <c r="V107" s="13">
        <v>12</v>
      </c>
      <c r="W107" s="39">
        <f t="shared" si="132"/>
        <v>25.516666666666666</v>
      </c>
      <c r="X107" s="39">
        <f t="shared" si="133"/>
        <v>11.401018941868063</v>
      </c>
      <c r="Y107" s="13">
        <v>12</v>
      </c>
      <c r="Z107" s="12">
        <v>8.4</v>
      </c>
      <c r="AA107" s="39">
        <f t="shared" si="134"/>
        <v>755</v>
      </c>
      <c r="AB107" s="39">
        <f t="shared" si="135"/>
        <v>290.91600000000005</v>
      </c>
      <c r="AD107" s="13">
        <v>11</v>
      </c>
      <c r="AE107" s="13">
        <v>8.4</v>
      </c>
      <c r="AF107" s="39">
        <f t="shared" si="138"/>
        <v>266.68000000000006</v>
      </c>
      <c r="AG107" s="39">
        <f t="shared" si="139"/>
        <v>290.53800000000001</v>
      </c>
      <c r="AH107" s="879">
        <f t="shared" si="140"/>
        <v>0.36</v>
      </c>
      <c r="AI107" s="445">
        <f t="shared" si="141"/>
        <v>0.49551111111111101</v>
      </c>
      <c r="AJ107" s="445">
        <f t="shared" si="142"/>
        <v>0.45855555555555561</v>
      </c>
      <c r="AK107" s="445">
        <f t="shared" si="143"/>
        <v>15.227111111111114</v>
      </c>
      <c r="AL107" s="445">
        <f t="shared" si="144"/>
        <v>5.5499999999999994E-2</v>
      </c>
      <c r="AM107" s="445">
        <f t="shared" si="145"/>
        <v>0.42500000000000004</v>
      </c>
      <c r="AN107" s="445">
        <f t="shared" si="146"/>
        <v>13.166666666666664</v>
      </c>
      <c r="AO107" s="445">
        <f t="shared" si="147"/>
        <v>0.11899999999999999</v>
      </c>
    </row>
    <row r="108" spans="15:43" x14ac:dyDescent="0.3">
      <c r="V108" s="13">
        <v>13</v>
      </c>
      <c r="W108" s="39">
        <f t="shared" si="132"/>
        <v>31</v>
      </c>
      <c r="X108" s="39">
        <f t="shared" si="133"/>
        <v>9.3576774193548378</v>
      </c>
      <c r="Y108" s="13">
        <v>13</v>
      </c>
      <c r="Z108" s="13">
        <v>8.5</v>
      </c>
      <c r="AA108" s="39">
        <f t="shared" si="134"/>
        <v>755</v>
      </c>
      <c r="AB108" s="39">
        <f t="shared" si="135"/>
        <v>290.08799999999997</v>
      </c>
      <c r="AD108" s="13">
        <v>12</v>
      </c>
      <c r="AE108" s="12">
        <v>8.4</v>
      </c>
      <c r="AF108" s="39">
        <f t="shared" si="138"/>
        <v>290.53800000000001</v>
      </c>
      <c r="AG108" s="39">
        <f t="shared" si="139"/>
        <v>290.91600000000005</v>
      </c>
      <c r="AH108" s="879">
        <f t="shared" si="140"/>
        <v>0.36</v>
      </c>
      <c r="AI108" s="445">
        <f t="shared" si="141"/>
        <v>0.56241111111111108</v>
      </c>
      <c r="AJ108" s="445">
        <f t="shared" si="142"/>
        <v>0.63960000000000006</v>
      </c>
      <c r="AK108" s="445">
        <f t="shared" si="143"/>
        <v>16.466111111111115</v>
      </c>
      <c r="AL108" s="445">
        <f t="shared" si="144"/>
        <v>5.9199999999999996E-2</v>
      </c>
      <c r="AM108" s="445">
        <f t="shared" si="145"/>
        <v>0.55400000000000005</v>
      </c>
      <c r="AN108" s="445">
        <f t="shared" si="146"/>
        <v>17.962</v>
      </c>
      <c r="AO108" s="445">
        <f t="shared" si="147"/>
        <v>5.2999999999999999E-2</v>
      </c>
    </row>
    <row r="109" spans="15:43" x14ac:dyDescent="0.3">
      <c r="V109" s="13">
        <v>14</v>
      </c>
      <c r="W109" s="39">
        <f t="shared" si="132"/>
        <v>24.5</v>
      </c>
      <c r="X109" s="39">
        <f t="shared" si="133"/>
        <v>12.159428571428569</v>
      </c>
      <c r="Y109" s="13">
        <v>14</v>
      </c>
      <c r="Z109" s="13">
        <v>8.9</v>
      </c>
      <c r="AA109" s="39">
        <f t="shared" si="134"/>
        <v>755</v>
      </c>
      <c r="AB109" s="39">
        <f t="shared" si="135"/>
        <v>297.90599999999995</v>
      </c>
      <c r="AD109" s="13">
        <v>13</v>
      </c>
      <c r="AE109" s="13">
        <v>8.5</v>
      </c>
      <c r="AF109" s="39">
        <f t="shared" si="138"/>
        <v>290.91600000000005</v>
      </c>
      <c r="AG109" s="39">
        <f t="shared" si="139"/>
        <v>290.08799999999997</v>
      </c>
      <c r="AH109" s="879">
        <f t="shared" si="140"/>
        <v>0.36</v>
      </c>
      <c r="AI109" s="445">
        <f t="shared" si="141"/>
        <v>0.66025</v>
      </c>
      <c r="AJ109" s="445">
        <f t="shared" si="142"/>
        <v>0.63666666666666671</v>
      </c>
      <c r="AK109" s="445">
        <f t="shared" si="143"/>
        <v>15.279166666666667</v>
      </c>
      <c r="AL109" s="445"/>
      <c r="AM109" s="445"/>
      <c r="AN109" s="445"/>
      <c r="AO109" s="445">
        <f t="shared" si="147"/>
        <v>0.14699999999999999</v>
      </c>
    </row>
    <row r="110" spans="15:43" x14ac:dyDescent="0.3">
      <c r="V110" s="13">
        <v>15</v>
      </c>
      <c r="W110" s="39">
        <f t="shared" si="132"/>
        <v>37.5</v>
      </c>
      <c r="X110" s="39">
        <f t="shared" si="133"/>
        <v>7.9637760000000011</v>
      </c>
      <c r="Y110" s="13">
        <v>15</v>
      </c>
      <c r="Z110" s="13">
        <v>8.5</v>
      </c>
      <c r="AA110" s="39">
        <f t="shared" si="134"/>
        <v>764</v>
      </c>
      <c r="AB110" s="39">
        <f t="shared" si="135"/>
        <v>298.64160000000004</v>
      </c>
      <c r="AD110" s="13">
        <v>14</v>
      </c>
      <c r="AE110" s="13">
        <v>8.9</v>
      </c>
      <c r="AF110" s="39">
        <f t="shared" si="138"/>
        <v>290.08799999999997</v>
      </c>
      <c r="AG110" s="39">
        <f t="shared" si="139"/>
        <v>297.90599999999995</v>
      </c>
      <c r="AH110" s="879">
        <f t="shared" si="140"/>
        <v>0.35</v>
      </c>
      <c r="AI110" s="445"/>
      <c r="AJ110" s="445"/>
      <c r="AK110" s="445"/>
      <c r="AL110" s="233"/>
      <c r="AM110" s="233"/>
      <c r="AN110" s="233"/>
      <c r="AO110" s="445">
        <f t="shared" si="147"/>
        <v>0.14299999999999999</v>
      </c>
    </row>
    <row r="111" spans="15:43" x14ac:dyDescent="0.3">
      <c r="V111" s="13">
        <v>16</v>
      </c>
      <c r="W111" s="39">
        <f t="shared" si="132"/>
        <v>38.25</v>
      </c>
      <c r="X111" s="39">
        <f t="shared" si="133"/>
        <v>8.160287581699345</v>
      </c>
      <c r="Y111" s="13">
        <v>16</v>
      </c>
      <c r="Z111" s="13">
        <v>8.4</v>
      </c>
      <c r="AA111" s="39">
        <f t="shared" si="134"/>
        <v>800</v>
      </c>
      <c r="AB111" s="39">
        <f t="shared" si="135"/>
        <v>312.13099999999997</v>
      </c>
      <c r="AD111" s="13">
        <v>15</v>
      </c>
      <c r="AE111" s="13">
        <v>8.5</v>
      </c>
      <c r="AF111" s="39">
        <f t="shared" si="138"/>
        <v>297.90599999999995</v>
      </c>
      <c r="AG111" s="39">
        <f t="shared" si="139"/>
        <v>298.64160000000004</v>
      </c>
      <c r="AH111" s="879">
        <f t="shared" si="140"/>
        <v>0.36</v>
      </c>
      <c r="AI111" s="445"/>
      <c r="AJ111" s="445"/>
      <c r="AK111" s="445"/>
      <c r="AL111" s="233"/>
      <c r="AM111" s="233"/>
      <c r="AN111" s="233"/>
      <c r="AO111" s="445">
        <f t="shared" si="147"/>
        <v>6.3E-2</v>
      </c>
    </row>
    <row r="112" spans="15:43" x14ac:dyDescent="0.3">
      <c r="V112" s="1899" t="s">
        <v>16</v>
      </c>
      <c r="W112" s="1889">
        <f>AVERAGE(W101:W111)</f>
        <v>32.124242424242425</v>
      </c>
      <c r="X112" s="1889">
        <f>AVERAGE(X101:X111)</f>
        <v>9.7160225354216454</v>
      </c>
      <c r="Y112" s="1902"/>
      <c r="Z112" s="1904">
        <f>AVERAGE(Z101:Z111)</f>
        <v>8.8454545454545457</v>
      </c>
      <c r="AA112" s="1889">
        <f>AVERAGE(AA101:AA111)</f>
        <v>810.62243454545455</v>
      </c>
      <c r="AB112" s="1889">
        <f>AVERAGE(AB101:AB111)</f>
        <v>307.24789090909093</v>
      </c>
      <c r="AD112" s="13">
        <v>16</v>
      </c>
      <c r="AE112" s="13">
        <v>8.4</v>
      </c>
      <c r="AF112" s="39">
        <f t="shared" si="138"/>
        <v>298.64160000000004</v>
      </c>
      <c r="AG112" s="39">
        <f t="shared" si="139"/>
        <v>312.13099999999997</v>
      </c>
      <c r="AH112" s="879">
        <f t="shared" si="140"/>
        <v>0.38</v>
      </c>
      <c r="AI112" s="445"/>
      <c r="AJ112" s="445"/>
      <c r="AK112" s="445"/>
      <c r="AL112" s="233"/>
      <c r="AM112" s="233"/>
      <c r="AN112" s="233"/>
      <c r="AO112" s="445"/>
    </row>
    <row r="113" spans="22:51" x14ac:dyDescent="0.3">
      <c r="V113" s="1900"/>
      <c r="W113" s="1890"/>
      <c r="X113" s="1890"/>
      <c r="Y113" s="1903"/>
      <c r="Z113" s="1905"/>
      <c r="AA113" s="1890"/>
      <c r="AB113" s="1890"/>
      <c r="AD113" s="1893" t="s">
        <v>16</v>
      </c>
      <c r="AE113" s="1891"/>
      <c r="AF113" s="1891"/>
      <c r="AG113" s="1891"/>
      <c r="AH113" s="1891"/>
      <c r="AI113" s="1912">
        <f>AVERAGE(AI102:AI112)</f>
        <v>0.49698025793650791</v>
      </c>
      <c r="AJ113" s="1912">
        <f t="shared" ref="AJ113:AO113" si="148">AVERAGE(AJ102:AJ112)</f>
        <v>0.48073720238095236</v>
      </c>
      <c r="AK113" s="1912">
        <f t="shared" si="148"/>
        <v>12.285788690476192</v>
      </c>
      <c r="AL113" s="1912">
        <f t="shared" si="148"/>
        <v>0.10202738095238095</v>
      </c>
      <c r="AM113" s="1912">
        <f t="shared" si="148"/>
        <v>0.37608333333333338</v>
      </c>
      <c r="AN113" s="1912">
        <f t="shared" si="148"/>
        <v>13.887892857142859</v>
      </c>
      <c r="AO113" s="1912">
        <f t="shared" si="148"/>
        <v>7.1700000000000014E-2</v>
      </c>
    </row>
    <row r="114" spans="22:51" x14ac:dyDescent="0.3">
      <c r="V114" s="1592" t="s">
        <v>1039</v>
      </c>
      <c r="W114" s="1901"/>
      <c r="X114" s="1901"/>
      <c r="Y114" s="1901"/>
      <c r="Z114" s="1891"/>
      <c r="AA114" s="1891"/>
      <c r="AB114" s="1892">
        <f>SUM(AB101:AB111)</f>
        <v>3379.7267999999999</v>
      </c>
      <c r="AD114" s="1893"/>
      <c r="AE114" s="1891"/>
      <c r="AF114" s="1891"/>
      <c r="AG114" s="1891"/>
      <c r="AH114" s="1891"/>
      <c r="AI114" s="1913"/>
      <c r="AJ114" s="1913"/>
      <c r="AK114" s="1913"/>
      <c r="AL114" s="1913"/>
      <c r="AM114" s="1913"/>
      <c r="AN114" s="1913"/>
      <c r="AO114" s="1913"/>
    </row>
    <row r="115" spans="22:51" x14ac:dyDescent="0.3">
      <c r="V115" s="1592"/>
      <c r="W115" s="1901"/>
      <c r="X115" s="1901"/>
      <c r="Y115" s="1901"/>
      <c r="Z115" s="1891"/>
      <c r="AA115" s="1891"/>
      <c r="AB115" s="1893"/>
      <c r="AD115" s="1893"/>
      <c r="AE115" s="1891"/>
      <c r="AF115" s="1891"/>
      <c r="AG115" s="1891"/>
      <c r="AH115" s="1891"/>
      <c r="AI115" s="1914"/>
      <c r="AJ115" s="1914"/>
      <c r="AK115" s="1914"/>
      <c r="AL115" s="1914"/>
      <c r="AM115" s="1914"/>
      <c r="AN115" s="1914"/>
      <c r="AO115" s="1914"/>
    </row>
    <row r="116" spans="22:51" x14ac:dyDescent="0.3">
      <c r="V116" s="12"/>
      <c r="W116" s="12"/>
      <c r="Y116" s="12"/>
      <c r="Z116" s="12"/>
      <c r="AA116" s="12"/>
      <c r="AB116" s="12"/>
      <c r="AK116" s="11"/>
      <c r="AL116" s="11"/>
      <c r="AM116" s="12"/>
      <c r="AW116" s="1"/>
      <c r="AX116" s="1"/>
      <c r="AY116" s="1"/>
    </row>
    <row r="117" spans="22:51" x14ac:dyDescent="0.3">
      <c r="V117" s="12"/>
      <c r="W117" s="12"/>
      <c r="Y117" s="12"/>
      <c r="Z117" s="12"/>
      <c r="AA117" s="12"/>
      <c r="AB117" s="12"/>
      <c r="AK117" s="11"/>
      <c r="AL117" s="11"/>
      <c r="AM117" s="12"/>
      <c r="AW117" s="1"/>
      <c r="AX117" s="1"/>
      <c r="AY117" s="1"/>
    </row>
    <row r="118" spans="22:51" x14ac:dyDescent="0.3">
      <c r="V118" s="12"/>
      <c r="W118" s="12"/>
      <c r="Y118" s="12"/>
      <c r="Z118" s="12"/>
      <c r="AA118" s="12"/>
      <c r="AB118" s="12"/>
    </row>
    <row r="119" spans="22:51" x14ac:dyDescent="0.3">
      <c r="V119" s="12"/>
      <c r="W119" s="12"/>
      <c r="Y119" s="12"/>
      <c r="Z119" s="12"/>
      <c r="AA119" s="12"/>
      <c r="AB119" s="12"/>
    </row>
    <row r="120" spans="22:51" x14ac:dyDescent="0.3">
      <c r="V120" s="12"/>
      <c r="W120" s="12"/>
      <c r="Y120" s="12"/>
      <c r="Z120" s="12"/>
      <c r="AA120" s="12"/>
      <c r="AB120" s="12"/>
    </row>
    <row r="121" spans="22:51" x14ac:dyDescent="0.3">
      <c r="V121" s="12"/>
      <c r="W121" s="12"/>
      <c r="Y121" s="12"/>
      <c r="Z121" s="12"/>
      <c r="AA121" s="12"/>
      <c r="AB121" s="12"/>
    </row>
    <row r="122" spans="22:51" x14ac:dyDescent="0.3">
      <c r="V122" s="12"/>
      <c r="W122" s="12"/>
      <c r="Y122" s="12"/>
      <c r="Z122" s="12"/>
      <c r="AA122" s="12"/>
      <c r="AB122" s="12"/>
    </row>
    <row r="123" spans="22:51" x14ac:dyDescent="0.3">
      <c r="V123" s="12"/>
      <c r="W123" s="12"/>
      <c r="Y123" s="12"/>
      <c r="Z123" s="12"/>
      <c r="AA123" s="12"/>
      <c r="AB123" s="12"/>
    </row>
  </sheetData>
  <mergeCells count="120">
    <mergeCell ref="AF113:AF115"/>
    <mergeCell ref="AG113:AG115"/>
    <mergeCell ref="AH113:AH115"/>
    <mergeCell ref="AI113:AI115"/>
    <mergeCell ref="AJ113:AJ115"/>
    <mergeCell ref="AK113:AK115"/>
    <mergeCell ref="AL113:AL115"/>
    <mergeCell ref="AM113:AM115"/>
    <mergeCell ref="AN113:AN115"/>
    <mergeCell ref="Y114:Y115"/>
    <mergeCell ref="Z112:Z113"/>
    <mergeCell ref="Z114:Z115"/>
    <mergeCell ref="AO98:AO99"/>
    <mergeCell ref="AO100:AO101"/>
    <mergeCell ref="AD113:AD115"/>
    <mergeCell ref="AL98:AN99"/>
    <mergeCell ref="AL100:AL101"/>
    <mergeCell ref="AM100:AM101"/>
    <mergeCell ref="AN100:AN101"/>
    <mergeCell ref="AH98:AH101"/>
    <mergeCell ref="AI98:AK99"/>
    <mergeCell ref="AI100:AI101"/>
    <mergeCell ref="AJ100:AJ101"/>
    <mergeCell ref="AK100:AK101"/>
    <mergeCell ref="AD98:AD99"/>
    <mergeCell ref="AE98:AE99"/>
    <mergeCell ref="AF98:AF99"/>
    <mergeCell ref="AG98:AG101"/>
    <mergeCell ref="AD100:AD101"/>
    <mergeCell ref="AE100:AE101"/>
    <mergeCell ref="AF100:AF101"/>
    <mergeCell ref="AO113:AO115"/>
    <mergeCell ref="AE113:AE115"/>
    <mergeCell ref="AA112:AA113"/>
    <mergeCell ref="AA114:AA115"/>
    <mergeCell ref="AB112:AB113"/>
    <mergeCell ref="AB114:AB115"/>
    <mergeCell ref="AB97:AB100"/>
    <mergeCell ref="AA99:AA100"/>
    <mergeCell ref="V97:V98"/>
    <mergeCell ref="W97:W98"/>
    <mergeCell ref="X97:X98"/>
    <mergeCell ref="Y97:Y98"/>
    <mergeCell ref="Z97:Z98"/>
    <mergeCell ref="AA97:AA98"/>
    <mergeCell ref="W99:W100"/>
    <mergeCell ref="V99:V100"/>
    <mergeCell ref="X99:X100"/>
    <mergeCell ref="Y99:Y100"/>
    <mergeCell ref="Z99:Z100"/>
    <mergeCell ref="V112:V113"/>
    <mergeCell ref="V114:V115"/>
    <mergeCell ref="W112:W113"/>
    <mergeCell ref="W114:W115"/>
    <mergeCell ref="X112:X113"/>
    <mergeCell ref="X114:X115"/>
    <mergeCell ref="Y112:Y113"/>
    <mergeCell ref="AG78:AI78"/>
    <mergeCell ref="AA78:AC78"/>
    <mergeCell ref="I7:I9"/>
    <mergeCell ref="Q70:S70"/>
    <mergeCell ref="P70:P71"/>
    <mergeCell ref="O72:O83"/>
    <mergeCell ref="K7:K9"/>
    <mergeCell ref="L7:L9"/>
    <mergeCell ref="AI8:AK8"/>
    <mergeCell ref="AF7:AK7"/>
    <mergeCell ref="AF69:AH69"/>
    <mergeCell ref="AD68:AH68"/>
    <mergeCell ref="AD69:AD70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AE69:AE70"/>
    <mergeCell ref="F6:G6"/>
    <mergeCell ref="H6:I6"/>
    <mergeCell ref="Z78:Z79"/>
    <mergeCell ref="B7:B9"/>
    <mergeCell ref="E7:E9"/>
    <mergeCell ref="F7:F9"/>
    <mergeCell ref="G7:G9"/>
    <mergeCell ref="H7:H9"/>
    <mergeCell ref="AL7:AN7"/>
    <mergeCell ref="AL8:AN8"/>
    <mergeCell ref="AT7:AV8"/>
    <mergeCell ref="AY7:AY8"/>
    <mergeCell ref="AF8:AH8"/>
    <mergeCell ref="AW7:AW9"/>
    <mergeCell ref="AO7:AQ7"/>
    <mergeCell ref="AO8:AQ8"/>
    <mergeCell ref="BJ8:BL8"/>
    <mergeCell ref="BJ7:BL7"/>
    <mergeCell ref="BE66:BG66"/>
    <mergeCell ref="BE65:BG65"/>
    <mergeCell ref="BD7:BF7"/>
    <mergeCell ref="BD8:BF8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AZ7:BB7"/>
    <mergeCell ref="AZ8:BB8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0870-3D82-41BF-A5C2-4614BC3951BC}">
  <dimension ref="A5:O43"/>
  <sheetViews>
    <sheetView topLeftCell="A15" zoomScale="115" zoomScaleNormal="115" workbookViewId="0">
      <selection activeCell="E43" sqref="E43"/>
    </sheetView>
  </sheetViews>
  <sheetFormatPr defaultRowHeight="14.4" x14ac:dyDescent="0.3"/>
  <cols>
    <col min="2" max="2" width="13.6640625" customWidth="1"/>
    <col min="3" max="3" width="13.21875" style="50" bestFit="1" customWidth="1"/>
    <col min="4" max="4" width="8.88671875" style="50"/>
    <col min="5" max="5" width="13.33203125" style="50" bestFit="1" customWidth="1"/>
    <col min="6" max="6" width="11.88671875" style="50" bestFit="1" customWidth="1"/>
    <col min="7" max="7" width="8.88671875" style="50"/>
    <col min="10" max="10" width="15.88671875" bestFit="1" customWidth="1"/>
    <col min="13" max="13" width="16" bestFit="1" customWidth="1"/>
    <col min="14" max="14" width="16.109375" bestFit="1" customWidth="1"/>
  </cols>
  <sheetData>
    <row r="5" spans="1:14" ht="15" thickBot="1" x14ac:dyDescent="0.35">
      <c r="A5" s="1439" t="s">
        <v>542</v>
      </c>
      <c r="B5" s="1439" t="s">
        <v>989</v>
      </c>
      <c r="C5" s="1440" t="s">
        <v>997</v>
      </c>
      <c r="D5" s="1440" t="s">
        <v>995</v>
      </c>
      <c r="E5" s="1440" t="s">
        <v>998</v>
      </c>
      <c r="F5" s="1440" t="s">
        <v>999</v>
      </c>
      <c r="G5" s="1440" t="s">
        <v>1000</v>
      </c>
      <c r="H5" s="1440" t="s">
        <v>1001</v>
      </c>
      <c r="I5" s="1440" t="s">
        <v>990</v>
      </c>
      <c r="J5" s="1440" t="s">
        <v>991</v>
      </c>
      <c r="K5" s="1440" t="s">
        <v>993</v>
      </c>
      <c r="L5" s="1440" t="s">
        <v>994</v>
      </c>
      <c r="M5" s="1440" t="s">
        <v>22</v>
      </c>
      <c r="N5" s="1407" t="s">
        <v>996</v>
      </c>
    </row>
    <row r="6" spans="1:14" x14ac:dyDescent="0.3">
      <c r="A6" s="1921"/>
      <c r="B6" s="1927" t="s">
        <v>992</v>
      </c>
      <c r="C6" s="1927">
        <v>981</v>
      </c>
      <c r="D6" s="1927">
        <v>2.5</v>
      </c>
      <c r="E6" s="1927">
        <v>0.01</v>
      </c>
      <c r="F6" s="1441">
        <v>1100</v>
      </c>
      <c r="G6" s="1441"/>
      <c r="H6" s="1442"/>
      <c r="I6" s="1441">
        <v>0</v>
      </c>
      <c r="J6" s="1441"/>
      <c r="K6" s="1441">
        <v>15</v>
      </c>
      <c r="L6" s="1442"/>
      <c r="M6" s="1443">
        <f>(K6-L6)/K6</f>
        <v>1</v>
      </c>
      <c r="N6" s="1924">
        <f>AVERAGE(M7:M23)</f>
        <v>0.63250030097130294</v>
      </c>
    </row>
    <row r="7" spans="1:14" x14ac:dyDescent="0.3">
      <c r="A7" s="1922"/>
      <c r="B7" s="1928"/>
      <c r="C7" s="1928"/>
      <c r="D7" s="1928"/>
      <c r="E7" s="1928"/>
      <c r="F7" s="120">
        <v>600</v>
      </c>
      <c r="G7" s="120"/>
      <c r="H7" s="18"/>
      <c r="I7" s="120">
        <v>1</v>
      </c>
      <c r="J7" s="120">
        <v>1</v>
      </c>
      <c r="K7" s="120">
        <v>13.573</v>
      </c>
      <c r="L7" s="120">
        <v>8.4960000000000004</v>
      </c>
      <c r="M7" s="1444">
        <f>(K7-L7)/K7</f>
        <v>0.37405142562440136</v>
      </c>
      <c r="N7" s="1925"/>
    </row>
    <row r="8" spans="1:14" x14ac:dyDescent="0.3">
      <c r="A8" s="1922"/>
      <c r="B8" s="1928"/>
      <c r="C8" s="1928"/>
      <c r="D8" s="1928"/>
      <c r="E8" s="1928"/>
      <c r="F8" s="120">
        <v>400</v>
      </c>
      <c r="G8" s="120"/>
      <c r="H8" s="18"/>
      <c r="I8" s="120">
        <v>2</v>
      </c>
      <c r="J8" s="120">
        <v>2</v>
      </c>
      <c r="K8" s="120">
        <v>6.6920000000000002</v>
      </c>
      <c r="L8" s="120">
        <v>2.827</v>
      </c>
      <c r="M8" s="1444">
        <f t="shared" ref="M8:M24" si="0">(K8-L8)/K8</f>
        <v>0.57755528989838611</v>
      </c>
      <c r="N8" s="1925"/>
    </row>
    <row r="9" spans="1:14" x14ac:dyDescent="0.3">
      <c r="A9" s="1922"/>
      <c r="B9" s="1928"/>
      <c r="C9" s="1928"/>
      <c r="D9" s="1928"/>
      <c r="E9" s="1928"/>
      <c r="F9" s="120">
        <v>400</v>
      </c>
      <c r="G9" s="120"/>
      <c r="H9" s="18"/>
      <c r="I9" s="1126">
        <v>3</v>
      </c>
      <c r="J9" s="1126">
        <v>3</v>
      </c>
      <c r="K9" s="1126">
        <v>5.4580000000000002</v>
      </c>
      <c r="L9" s="1126">
        <v>6.4930000000000003</v>
      </c>
      <c r="M9" s="1445">
        <f t="shared" si="0"/>
        <v>-0.18962990106266034</v>
      </c>
      <c r="N9" s="1925"/>
    </row>
    <row r="10" spans="1:14" x14ac:dyDescent="0.3">
      <c r="A10" s="1922"/>
      <c r="B10" s="1928"/>
      <c r="C10" s="1928"/>
      <c r="D10" s="1928"/>
      <c r="E10" s="1928"/>
      <c r="F10" s="120">
        <v>400</v>
      </c>
      <c r="G10" s="120"/>
      <c r="H10" s="18"/>
      <c r="I10" s="13">
        <v>4</v>
      </c>
      <c r="J10" s="13">
        <v>4</v>
      </c>
      <c r="K10" s="13">
        <v>15.085000000000001</v>
      </c>
      <c r="L10" s="13">
        <v>2.0830000000000002</v>
      </c>
      <c r="M10" s="1444">
        <f t="shared" si="0"/>
        <v>0.86191581040768972</v>
      </c>
      <c r="N10" s="1925"/>
    </row>
    <row r="11" spans="1:14" x14ac:dyDescent="0.3">
      <c r="A11" s="1922"/>
      <c r="B11" s="1928"/>
      <c r="C11" s="1928"/>
      <c r="D11" s="1928"/>
      <c r="E11" s="1928"/>
      <c r="F11" s="120">
        <v>400</v>
      </c>
      <c r="G11" s="120"/>
      <c r="H11" s="18"/>
      <c r="I11" s="120">
        <v>5</v>
      </c>
      <c r="J11" s="120">
        <v>5</v>
      </c>
      <c r="K11" s="120">
        <v>9.6219999999999999</v>
      </c>
      <c r="L11" s="120">
        <v>1.6120000000000001</v>
      </c>
      <c r="M11" s="1444">
        <f t="shared" si="0"/>
        <v>0.83246726252338388</v>
      </c>
      <c r="N11" s="1925"/>
    </row>
    <row r="12" spans="1:14" x14ac:dyDescent="0.3">
      <c r="A12" s="1922"/>
      <c r="B12" s="1928"/>
      <c r="C12" s="1928"/>
      <c r="D12" s="1928"/>
      <c r="E12" s="1928"/>
      <c r="F12" s="120">
        <v>400</v>
      </c>
      <c r="G12" s="120"/>
      <c r="H12" s="18"/>
      <c r="I12" s="120">
        <v>6</v>
      </c>
      <c r="J12" s="120">
        <v>6</v>
      </c>
      <c r="K12" s="120">
        <v>6.5759999999999996</v>
      </c>
      <c r="L12" s="120">
        <v>1.1599999999999999</v>
      </c>
      <c r="M12" s="1444">
        <f t="shared" si="0"/>
        <v>0.82360097323600967</v>
      </c>
      <c r="N12" s="1925"/>
    </row>
    <row r="13" spans="1:14" x14ac:dyDescent="0.3">
      <c r="A13" s="1922"/>
      <c r="B13" s="1928"/>
      <c r="C13" s="1928"/>
      <c r="D13" s="1928"/>
      <c r="E13" s="1928"/>
      <c r="F13" s="120">
        <v>400</v>
      </c>
      <c r="G13" s="120"/>
      <c r="H13" s="18"/>
      <c r="I13" s="120">
        <v>7</v>
      </c>
      <c r="J13" s="120">
        <v>7</v>
      </c>
      <c r="K13" s="120">
        <v>5.3010000000000002</v>
      </c>
      <c r="L13" s="120">
        <v>0.74199999999999999</v>
      </c>
      <c r="M13" s="1444">
        <f t="shared" si="0"/>
        <v>0.86002641011129977</v>
      </c>
      <c r="N13" s="1925"/>
    </row>
    <row r="14" spans="1:14" x14ac:dyDescent="0.3">
      <c r="A14" s="1922"/>
      <c r="B14" s="1928"/>
      <c r="C14" s="1928"/>
      <c r="D14" s="1928"/>
      <c r="E14" s="1928"/>
      <c r="F14" s="120">
        <v>400</v>
      </c>
      <c r="G14" s="120"/>
      <c r="H14" s="18"/>
      <c r="I14" s="120">
        <v>8</v>
      </c>
      <c r="J14" s="120">
        <v>8</v>
      </c>
      <c r="K14" s="120">
        <v>5.95</v>
      </c>
      <c r="L14" s="120">
        <v>1.2450000000000001</v>
      </c>
      <c r="M14" s="1444">
        <f t="shared" si="0"/>
        <v>0.79075630252100837</v>
      </c>
      <c r="N14" s="1925"/>
    </row>
    <row r="15" spans="1:14" x14ac:dyDescent="0.3">
      <c r="A15" s="1922"/>
      <c r="B15" s="1928"/>
      <c r="C15" s="1928"/>
      <c r="D15" s="1928"/>
      <c r="E15" s="1928"/>
      <c r="F15" s="120">
        <v>200</v>
      </c>
      <c r="G15" s="120"/>
      <c r="H15" s="18"/>
      <c r="I15" s="120">
        <v>9</v>
      </c>
      <c r="J15" s="120">
        <v>9</v>
      </c>
      <c r="K15" s="120">
        <v>5.1539999999999999</v>
      </c>
      <c r="L15" s="120">
        <v>1.129</v>
      </c>
      <c r="M15" s="1444">
        <f t="shared" si="0"/>
        <v>0.78094683740783866</v>
      </c>
      <c r="N15" s="1925"/>
    </row>
    <row r="16" spans="1:14" x14ac:dyDescent="0.3">
      <c r="A16" s="1922"/>
      <c r="B16" s="1928"/>
      <c r="C16" s="1928"/>
      <c r="D16" s="1928"/>
      <c r="E16" s="1928"/>
      <c r="F16" s="120">
        <v>200</v>
      </c>
      <c r="G16" s="120"/>
      <c r="H16" s="18"/>
      <c r="I16" s="120">
        <v>10</v>
      </c>
      <c r="J16" s="120">
        <v>10</v>
      </c>
      <c r="K16" s="120">
        <v>5.4950000000000001</v>
      </c>
      <c r="L16" s="120">
        <v>1.8240000000000001</v>
      </c>
      <c r="M16" s="1444">
        <f t="shared" si="0"/>
        <v>0.66806187443130127</v>
      </c>
      <c r="N16" s="1925"/>
    </row>
    <row r="17" spans="1:15" x14ac:dyDescent="0.3">
      <c r="A17" s="1922"/>
      <c r="B17" s="1928"/>
      <c r="C17" s="1928"/>
      <c r="D17" s="1928"/>
      <c r="E17" s="1928"/>
      <c r="F17" s="120">
        <v>200</v>
      </c>
      <c r="G17" s="120"/>
      <c r="H17" s="18"/>
      <c r="I17" s="120">
        <v>11</v>
      </c>
      <c r="J17" s="120">
        <v>11</v>
      </c>
      <c r="K17" s="120">
        <v>5.1740000000000004</v>
      </c>
      <c r="L17" s="120">
        <v>1.2549999999999999</v>
      </c>
      <c r="M17" s="1444">
        <f t="shared" si="0"/>
        <v>0.75744105141090068</v>
      </c>
      <c r="N17" s="1925"/>
    </row>
    <row r="18" spans="1:15" x14ac:dyDescent="0.3">
      <c r="A18" s="1922"/>
      <c r="B18" s="1928"/>
      <c r="C18" s="1928"/>
      <c r="D18" s="1928"/>
      <c r="E18" s="1928"/>
      <c r="F18" s="120">
        <v>200</v>
      </c>
      <c r="G18" s="120"/>
      <c r="H18" s="18"/>
      <c r="I18" s="120">
        <v>12</v>
      </c>
      <c r="J18" s="120">
        <v>12</v>
      </c>
      <c r="K18" s="120">
        <v>6.2759999999999998</v>
      </c>
      <c r="L18" s="120">
        <v>1.1910000000000001</v>
      </c>
      <c r="M18" s="1444">
        <f t="shared" si="0"/>
        <v>0.81022944550669218</v>
      </c>
      <c r="N18" s="1925"/>
    </row>
    <row r="19" spans="1:15" x14ac:dyDescent="0.3">
      <c r="A19" s="1922"/>
      <c r="B19" s="1928"/>
      <c r="C19" s="1928"/>
      <c r="D19" s="1928"/>
      <c r="E19" s="1928"/>
      <c r="F19" s="120">
        <v>200</v>
      </c>
      <c r="G19" s="120"/>
      <c r="H19" s="18"/>
      <c r="I19" s="120">
        <v>13</v>
      </c>
      <c r="J19" s="120">
        <v>13</v>
      </c>
      <c r="K19" s="120">
        <v>4.6459999999999999</v>
      </c>
      <c r="L19" s="120">
        <v>1.591</v>
      </c>
      <c r="M19" s="1444">
        <f t="shared" si="0"/>
        <v>0.65755488592337485</v>
      </c>
      <c r="N19" s="1925"/>
    </row>
    <row r="20" spans="1:15" x14ac:dyDescent="0.3">
      <c r="A20" s="1922"/>
      <c r="B20" s="1928"/>
      <c r="C20" s="1928"/>
      <c r="D20" s="1928"/>
      <c r="E20" s="1928"/>
      <c r="F20" s="120">
        <v>100</v>
      </c>
      <c r="G20" s="120"/>
      <c r="H20" s="18"/>
      <c r="I20" s="120">
        <v>14</v>
      </c>
      <c r="J20" s="120">
        <v>14</v>
      </c>
      <c r="K20" s="120">
        <v>3.5310000000000001</v>
      </c>
      <c r="L20" s="120">
        <v>1.07</v>
      </c>
      <c r="M20" s="1444">
        <f t="shared" si="0"/>
        <v>0.69696969696969702</v>
      </c>
      <c r="N20" s="1925"/>
    </row>
    <row r="21" spans="1:15" x14ac:dyDescent="0.3">
      <c r="A21" s="1922"/>
      <c r="B21" s="1928"/>
      <c r="C21" s="1928"/>
      <c r="D21" s="1928"/>
      <c r="E21" s="1928"/>
      <c r="F21" s="120">
        <v>100</v>
      </c>
      <c r="G21" s="120"/>
      <c r="H21" s="18"/>
      <c r="I21" s="120">
        <v>15</v>
      </c>
      <c r="J21" s="120">
        <v>15</v>
      </c>
      <c r="K21" s="120">
        <v>3.7429999999999999</v>
      </c>
      <c r="L21" s="120">
        <v>0.92800000000000005</v>
      </c>
      <c r="M21" s="1444">
        <f t="shared" si="0"/>
        <v>0.75207053165909699</v>
      </c>
      <c r="N21" s="1925"/>
    </row>
    <row r="22" spans="1:15" x14ac:dyDescent="0.3">
      <c r="A22" s="1922"/>
      <c r="B22" s="1928"/>
      <c r="C22" s="1928"/>
      <c r="D22" s="1928"/>
      <c r="E22" s="1928"/>
      <c r="F22" s="120">
        <v>100</v>
      </c>
      <c r="G22" s="120"/>
      <c r="H22" s="18"/>
      <c r="I22" s="1126">
        <v>16</v>
      </c>
      <c r="J22" s="1126">
        <v>16</v>
      </c>
      <c r="K22" s="1126">
        <v>2.968</v>
      </c>
      <c r="L22" s="1126">
        <v>2.1709999999999998</v>
      </c>
      <c r="M22" s="1445">
        <f t="shared" si="0"/>
        <v>0.26853099730458224</v>
      </c>
      <c r="N22" s="1925"/>
    </row>
    <row r="23" spans="1:15" ht="15" thickBot="1" x14ac:dyDescent="0.35">
      <c r="A23" s="1923"/>
      <c r="B23" s="1929"/>
      <c r="C23" s="1929"/>
      <c r="D23" s="1929"/>
      <c r="E23" s="1929"/>
      <c r="F23" s="1446">
        <v>100</v>
      </c>
      <c r="G23" s="1446"/>
      <c r="H23" s="194"/>
      <c r="I23" s="1446">
        <v>17</v>
      </c>
      <c r="J23" s="1446">
        <v>17</v>
      </c>
      <c r="K23" s="1446">
        <v>3.198</v>
      </c>
      <c r="L23" s="1446">
        <v>1.823</v>
      </c>
      <c r="M23" s="1447">
        <f t="shared" si="0"/>
        <v>0.42995622263914945</v>
      </c>
      <c r="N23" s="1926"/>
    </row>
    <row r="24" spans="1:15" s="1433" customFormat="1" x14ac:dyDescent="0.3">
      <c r="A24" s="1435"/>
      <c r="B24" s="1915">
        <v>46326</v>
      </c>
      <c r="C24" s="1917"/>
      <c r="D24" s="1919">
        <v>2.5</v>
      </c>
      <c r="E24" s="1919">
        <v>0.01</v>
      </c>
      <c r="F24" s="1434">
        <v>4400</v>
      </c>
      <c r="G24" s="1434"/>
      <c r="H24" s="1435"/>
      <c r="I24" s="1434">
        <v>0</v>
      </c>
      <c r="J24" s="1434">
        <v>0</v>
      </c>
      <c r="K24" s="1435">
        <v>2.3580000000000001</v>
      </c>
      <c r="L24" s="1435">
        <v>2.1419999999999999</v>
      </c>
      <c r="M24" s="1436">
        <f t="shared" si="0"/>
        <v>9.1603053435114587E-2</v>
      </c>
      <c r="N24" s="1437">
        <f>AVERAGE(M24:M33)</f>
        <v>0.67452798209024145</v>
      </c>
      <c r="O24"/>
    </row>
    <row r="25" spans="1:15" x14ac:dyDescent="0.3">
      <c r="A25" s="18"/>
      <c r="B25" s="1915"/>
      <c r="C25" s="1917"/>
      <c r="D25" s="1919"/>
      <c r="E25" s="1919"/>
      <c r="F25" s="120">
        <v>4400</v>
      </c>
      <c r="G25" s="120"/>
      <c r="H25" s="18"/>
      <c r="I25" s="1126">
        <v>1</v>
      </c>
      <c r="J25" s="1126">
        <v>1</v>
      </c>
      <c r="K25" s="1124">
        <v>3.169</v>
      </c>
      <c r="L25" s="1124">
        <v>3.339</v>
      </c>
      <c r="M25" s="1409">
        <f>(K25-L25)/K25</f>
        <v>-5.3644682865257157E-2</v>
      </c>
    </row>
    <row r="26" spans="1:15" x14ac:dyDescent="0.3">
      <c r="A26" s="18"/>
      <c r="B26" s="1915"/>
      <c r="C26" s="1917"/>
      <c r="D26" s="1919"/>
      <c r="E26" s="1919"/>
      <c r="F26" s="120">
        <v>4400</v>
      </c>
      <c r="G26" s="120"/>
      <c r="H26" s="18"/>
      <c r="I26" s="120">
        <v>2</v>
      </c>
      <c r="J26" s="120" t="s">
        <v>142</v>
      </c>
      <c r="K26" s="18">
        <v>5.3259999999999996</v>
      </c>
      <c r="L26" s="18">
        <f>K26-(K26*80%)</f>
        <v>1.0651999999999999</v>
      </c>
      <c r="M26" s="1408">
        <f>(K26-L26)/K26</f>
        <v>0.8</v>
      </c>
    </row>
    <row r="27" spans="1:15" x14ac:dyDescent="0.3">
      <c r="A27" s="18"/>
      <c r="B27" s="1916"/>
      <c r="C27" s="1918"/>
      <c r="D27" s="1919"/>
      <c r="E27" s="1919"/>
      <c r="F27" s="120">
        <v>4400</v>
      </c>
      <c r="G27" s="120"/>
      <c r="H27" s="18"/>
      <c r="I27" s="120">
        <v>3</v>
      </c>
      <c r="J27" s="120">
        <v>3</v>
      </c>
      <c r="K27" s="18">
        <v>10.064</v>
      </c>
      <c r="L27" s="1190">
        <v>1.429</v>
      </c>
      <c r="M27" s="1408">
        <f t="shared" ref="M27:M35" si="1">(K27-L27)/K27</f>
        <v>0.85800874403815575</v>
      </c>
    </row>
    <row r="28" spans="1:15" x14ac:dyDescent="0.3">
      <c r="A28" s="18"/>
      <c r="B28" s="18"/>
      <c r="C28" s="120"/>
      <c r="D28" s="1919"/>
      <c r="E28" s="1919"/>
      <c r="F28" s="120">
        <v>3600</v>
      </c>
      <c r="G28" s="120"/>
      <c r="H28" s="18"/>
      <c r="I28" s="120">
        <v>4</v>
      </c>
      <c r="J28" s="120">
        <v>4</v>
      </c>
      <c r="K28" s="18">
        <v>10.417</v>
      </c>
      <c r="L28" s="1190">
        <v>1.7</v>
      </c>
      <c r="M28" s="1408">
        <f t="shared" si="1"/>
        <v>0.83680522223288867</v>
      </c>
    </row>
    <row r="29" spans="1:15" x14ac:dyDescent="0.3">
      <c r="A29" s="18"/>
      <c r="B29" s="18"/>
      <c r="C29" s="120"/>
      <c r="D29" s="1919"/>
      <c r="E29" s="1919"/>
      <c r="F29" s="120">
        <v>3600</v>
      </c>
      <c r="G29" s="120"/>
      <c r="H29" s="18"/>
      <c r="I29" s="120">
        <v>5</v>
      </c>
      <c r="J29" s="120">
        <v>5</v>
      </c>
      <c r="K29" s="18">
        <v>10.083</v>
      </c>
      <c r="L29" s="18">
        <v>1.0780000000000001</v>
      </c>
      <c r="M29" s="1408">
        <f t="shared" si="1"/>
        <v>0.89308737478924927</v>
      </c>
    </row>
    <row r="30" spans="1:15" x14ac:dyDescent="0.3">
      <c r="A30" s="18"/>
      <c r="B30" s="18"/>
      <c r="C30" s="120"/>
      <c r="D30" s="1920"/>
      <c r="E30" s="1920"/>
      <c r="F30" s="120">
        <v>3600</v>
      </c>
      <c r="G30" s="120"/>
      <c r="H30" s="18"/>
      <c r="I30" s="120">
        <v>6</v>
      </c>
      <c r="J30" s="120">
        <v>6</v>
      </c>
      <c r="K30" s="18">
        <v>10.451000000000001</v>
      </c>
      <c r="L30" s="18">
        <v>0.99</v>
      </c>
      <c r="M30" s="1408">
        <f t="shared" si="1"/>
        <v>0.90527222275380348</v>
      </c>
    </row>
    <row r="31" spans="1:15" x14ac:dyDescent="0.3">
      <c r="A31" s="18"/>
      <c r="B31" s="18"/>
      <c r="C31" s="120"/>
      <c r="D31" s="120"/>
      <c r="E31" s="120"/>
      <c r="F31" s="120">
        <v>2700</v>
      </c>
      <c r="G31" s="120"/>
      <c r="H31" s="18"/>
      <c r="I31" s="120">
        <v>7</v>
      </c>
      <c r="J31" s="120">
        <v>7</v>
      </c>
      <c r="K31" s="18">
        <v>14.815</v>
      </c>
      <c r="L31" s="18">
        <v>0.73199999999999998</v>
      </c>
      <c r="M31" s="1408">
        <f t="shared" si="1"/>
        <v>0.95059061761727981</v>
      </c>
    </row>
    <row r="32" spans="1:15" x14ac:dyDescent="0.3">
      <c r="A32" s="18"/>
      <c r="B32" s="18"/>
      <c r="C32" s="120"/>
      <c r="D32" s="120"/>
      <c r="E32" s="120"/>
      <c r="F32" s="120">
        <v>2700</v>
      </c>
      <c r="G32" s="120"/>
      <c r="H32" s="18"/>
      <c r="I32" s="120">
        <v>8</v>
      </c>
      <c r="J32" s="120">
        <v>8</v>
      </c>
      <c r="K32" s="18">
        <v>10.996</v>
      </c>
      <c r="L32" s="18">
        <v>2.048</v>
      </c>
      <c r="M32" s="1408">
        <f t="shared" si="1"/>
        <v>0.81375045471080398</v>
      </c>
    </row>
    <row r="33" spans="1:13" x14ac:dyDescent="0.3">
      <c r="A33" s="18"/>
      <c r="B33" s="18"/>
      <c r="C33" s="120"/>
      <c r="D33" s="120"/>
      <c r="E33" s="120"/>
      <c r="F33" s="120">
        <v>2700</v>
      </c>
      <c r="G33" s="120"/>
      <c r="H33" s="18"/>
      <c r="I33" s="120">
        <v>9</v>
      </c>
      <c r="J33" s="120">
        <v>9</v>
      </c>
      <c r="K33" s="18">
        <v>11.388</v>
      </c>
      <c r="L33" s="18">
        <v>3.988</v>
      </c>
      <c r="M33" s="1408">
        <f t="shared" si="1"/>
        <v>0.64980681419037589</v>
      </c>
    </row>
    <row r="34" spans="1:13" x14ac:dyDescent="0.3">
      <c r="A34" s="18"/>
      <c r="B34" s="18"/>
      <c r="C34" s="120"/>
      <c r="D34" s="120"/>
      <c r="E34" s="120"/>
      <c r="F34" s="120"/>
      <c r="G34" s="120"/>
      <c r="H34" s="18"/>
      <c r="I34" s="18"/>
      <c r="J34" s="18"/>
      <c r="K34" s="18"/>
      <c r="L34" s="18"/>
      <c r="M34" s="1408" t="e">
        <f t="shared" si="1"/>
        <v>#DIV/0!</v>
      </c>
    </row>
    <row r="35" spans="1:13" x14ac:dyDescent="0.3">
      <c r="A35" s="18"/>
      <c r="B35" s="18"/>
      <c r="C35" s="120"/>
      <c r="D35" s="120"/>
      <c r="E35" s="120"/>
      <c r="F35" s="120"/>
      <c r="G35" s="120"/>
      <c r="H35" s="18"/>
      <c r="I35" s="18"/>
      <c r="J35" s="18"/>
      <c r="K35" s="18"/>
      <c r="L35" s="18"/>
      <c r="M35" s="1408" t="e">
        <f t="shared" si="1"/>
        <v>#DIV/0!</v>
      </c>
    </row>
    <row r="36" spans="1:13" x14ac:dyDescent="0.3">
      <c r="A36" s="18"/>
      <c r="B36" s="18"/>
      <c r="C36" s="120"/>
      <c r="D36" s="120"/>
      <c r="E36" s="120"/>
      <c r="F36" s="120"/>
      <c r="G36" s="120"/>
      <c r="H36" s="18"/>
      <c r="I36" s="18"/>
      <c r="J36" s="18"/>
      <c r="K36" s="18"/>
      <c r="L36" s="18"/>
      <c r="M36" s="18"/>
    </row>
    <row r="37" spans="1:13" x14ac:dyDescent="0.3">
      <c r="A37" s="18"/>
      <c r="B37" s="18"/>
      <c r="C37" s="120"/>
      <c r="D37" s="120"/>
      <c r="E37" s="120"/>
      <c r="F37" s="120"/>
      <c r="G37" s="120"/>
      <c r="H37" s="18"/>
      <c r="I37" s="18"/>
      <c r="J37" s="18"/>
      <c r="K37" s="18"/>
      <c r="L37" s="18"/>
      <c r="M37" s="18"/>
    </row>
    <row r="38" spans="1:13" x14ac:dyDescent="0.3">
      <c r="A38" s="18"/>
      <c r="B38" s="18"/>
      <c r="C38" s="120"/>
      <c r="D38" s="120"/>
      <c r="E38" s="120"/>
      <c r="F38" s="120"/>
      <c r="G38" s="120"/>
      <c r="H38" s="18"/>
      <c r="I38" s="18"/>
      <c r="J38" s="18"/>
      <c r="K38" s="18"/>
      <c r="L38" s="18"/>
      <c r="M38" s="18"/>
    </row>
    <row r="39" spans="1:13" x14ac:dyDescent="0.3">
      <c r="A39" s="18"/>
      <c r="B39" s="18"/>
      <c r="C39" s="120"/>
      <c r="D39" s="120"/>
      <c r="E39" s="120"/>
      <c r="F39" s="120"/>
      <c r="G39" s="120"/>
      <c r="H39" s="18"/>
      <c r="I39" s="18"/>
      <c r="J39" s="18"/>
      <c r="K39" s="18"/>
      <c r="L39" s="18"/>
      <c r="M39" s="18"/>
    </row>
    <row r="40" spans="1:13" x14ac:dyDescent="0.3">
      <c r="A40" s="18"/>
      <c r="B40" s="18"/>
      <c r="C40" s="120"/>
      <c r="D40" s="120"/>
      <c r="E40" s="120"/>
      <c r="F40" s="120"/>
      <c r="G40" s="120"/>
      <c r="H40" s="18"/>
      <c r="I40" s="18"/>
      <c r="J40" s="18"/>
      <c r="K40" s="18"/>
      <c r="L40" s="18"/>
      <c r="M40" s="18"/>
    </row>
    <row r="41" spans="1:13" x14ac:dyDescent="0.3">
      <c r="A41" s="18"/>
      <c r="B41" s="18"/>
      <c r="C41" s="120"/>
      <c r="D41" s="120"/>
      <c r="E41" s="120"/>
      <c r="F41" s="120"/>
      <c r="G41" s="120"/>
      <c r="H41" s="18"/>
      <c r="I41" s="18"/>
      <c r="J41" s="18"/>
      <c r="K41" s="18"/>
      <c r="L41" s="18"/>
      <c r="M41" s="18"/>
    </row>
    <row r="42" spans="1:13" x14ac:dyDescent="0.3">
      <c r="A42" s="18"/>
      <c r="B42" s="18"/>
      <c r="C42" s="120"/>
      <c r="D42" s="120"/>
      <c r="E42" s="120"/>
      <c r="F42" s="120"/>
      <c r="G42" s="120"/>
      <c r="H42" s="18"/>
      <c r="I42" s="18"/>
      <c r="J42" s="18"/>
      <c r="K42" s="18"/>
      <c r="L42" s="18"/>
      <c r="M42" s="18"/>
    </row>
    <row r="43" spans="1:13" x14ac:dyDescent="0.3">
      <c r="A43" s="18"/>
      <c r="B43" s="18"/>
      <c r="C43" s="120"/>
      <c r="D43" s="120"/>
      <c r="E43" s="120"/>
      <c r="F43" s="120"/>
      <c r="G43" s="120"/>
      <c r="H43" s="18"/>
      <c r="I43" s="18"/>
      <c r="J43" s="18"/>
      <c r="K43" s="18"/>
      <c r="L43" s="18"/>
      <c r="M43" s="18"/>
    </row>
  </sheetData>
  <mergeCells count="10">
    <mergeCell ref="N6:N23"/>
    <mergeCell ref="D6:D23"/>
    <mergeCell ref="C6:C23"/>
    <mergeCell ref="B6:B23"/>
    <mergeCell ref="E6:E23"/>
    <mergeCell ref="B24:B27"/>
    <mergeCell ref="C24:C27"/>
    <mergeCell ref="D24:D30"/>
    <mergeCell ref="E24:E30"/>
    <mergeCell ref="A6:A23"/>
  </mergeCells>
  <phoneticPr fontId="122" type="noConversion"/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FE034-4EE8-48F2-A363-54748E2B9891}">
  <dimension ref="A1:BQ155"/>
  <sheetViews>
    <sheetView workbookViewId="0">
      <pane xSplit="1" topLeftCell="S1" activePane="topRight" state="frozen"/>
      <selection pane="topRight" activeCell="J12" sqref="J12"/>
    </sheetView>
  </sheetViews>
  <sheetFormatPr defaultRowHeight="14.4" x14ac:dyDescent="0.3"/>
  <cols>
    <col min="1" max="1" width="10.5546875" style="1425" bestFit="1" customWidth="1"/>
    <col min="2" max="2" width="11.77734375" bestFit="1" customWidth="1"/>
    <col min="3" max="3" width="13.21875" bestFit="1" customWidth="1"/>
    <col min="4" max="7" width="6.109375" style="1418" bestFit="1" customWidth="1"/>
    <col min="8" max="8" width="7.6640625" style="1418" bestFit="1" customWidth="1"/>
    <col min="9" max="9" width="6.109375" style="1418" bestFit="1" customWidth="1"/>
    <col min="10" max="10" width="10.88671875" style="1418" bestFit="1" customWidth="1"/>
    <col min="11" max="12" width="6.109375" style="1418" bestFit="1" customWidth="1"/>
    <col min="13" max="13" width="7.6640625" style="1418" bestFit="1" customWidth="1"/>
    <col min="14" max="18" width="6.109375" style="1418" bestFit="1" customWidth="1"/>
    <col min="19" max="19" width="12.5546875" bestFit="1" customWidth="1"/>
    <col min="20" max="20" width="6.5546875" bestFit="1" customWidth="1"/>
    <col min="21" max="21" width="14.88671875" bestFit="1" customWidth="1"/>
    <col min="22" max="22" width="17.33203125" bestFit="1" customWidth="1"/>
    <col min="23" max="23" width="7" bestFit="1" customWidth="1"/>
    <col min="24" max="24" width="13.21875" bestFit="1" customWidth="1"/>
    <col min="25" max="30" width="6.109375" bestFit="1" customWidth="1"/>
    <col min="31" max="31" width="11.33203125" bestFit="1" customWidth="1"/>
    <col min="32" max="39" width="6.109375" bestFit="1" customWidth="1"/>
    <col min="40" max="40" width="12.5546875" bestFit="1" customWidth="1"/>
    <col min="41" max="41" width="6.5546875" bestFit="1" customWidth="1"/>
    <col min="42" max="42" width="14.88671875" bestFit="1" customWidth="1"/>
    <col min="43" max="43" width="17.33203125" bestFit="1" customWidth="1"/>
    <col min="44" max="44" width="12.21875" bestFit="1" customWidth="1"/>
    <col min="45" max="45" width="13.21875" bestFit="1" customWidth="1"/>
    <col min="46" max="51" width="6.109375" bestFit="1" customWidth="1"/>
    <col min="52" max="52" width="11.33203125" bestFit="1" customWidth="1"/>
    <col min="53" max="60" width="6.109375" bestFit="1" customWidth="1"/>
    <col min="61" max="61" width="12.5546875" bestFit="1" customWidth="1"/>
    <col min="62" max="62" width="6.5546875" bestFit="1" customWidth="1"/>
    <col min="63" max="63" width="14.88671875" bestFit="1" customWidth="1"/>
    <col min="64" max="64" width="17.33203125" bestFit="1" customWidth="1"/>
  </cols>
  <sheetData>
    <row r="1" spans="1:69" ht="14.4" customHeight="1" x14ac:dyDescent="0.3">
      <c r="A1" s="1934" t="s">
        <v>1028</v>
      </c>
      <c r="B1" s="1934"/>
      <c r="C1" s="1934"/>
      <c r="D1" s="1934"/>
      <c r="E1" s="1934"/>
      <c r="F1" s="1934"/>
      <c r="G1" s="1934"/>
      <c r="H1" s="1934"/>
      <c r="I1" s="1934"/>
      <c r="J1" s="1934"/>
      <c r="K1" s="1934"/>
      <c r="L1" s="1934"/>
      <c r="M1" s="1934"/>
      <c r="N1" s="1934"/>
      <c r="O1" s="1934"/>
      <c r="P1" s="1934"/>
      <c r="Q1" s="1934"/>
      <c r="R1" s="1934"/>
      <c r="S1" s="1934"/>
      <c r="T1" s="1934"/>
      <c r="U1" s="1934"/>
      <c r="V1" s="1934"/>
      <c r="W1" s="1934"/>
      <c r="X1" s="1934"/>
      <c r="Y1" s="1934"/>
      <c r="Z1" s="1934"/>
      <c r="AA1" s="1934"/>
      <c r="AB1" s="1934"/>
      <c r="AC1" s="1934"/>
      <c r="AD1" s="1934"/>
      <c r="AE1" s="1934"/>
      <c r="AF1" s="1934"/>
      <c r="AG1" s="1934"/>
      <c r="AH1" s="1934"/>
      <c r="AI1" s="1934"/>
      <c r="AJ1" s="1934"/>
      <c r="AK1" s="1934"/>
      <c r="AL1" s="1934"/>
      <c r="AM1" s="1934"/>
      <c r="AN1" s="1934"/>
      <c r="AO1" s="1934"/>
      <c r="AP1" s="1934"/>
      <c r="AQ1" s="1934"/>
      <c r="AR1" s="1934"/>
      <c r="AS1" s="1934"/>
      <c r="AT1" s="1934"/>
      <c r="AU1" s="1934"/>
      <c r="AV1" s="1934"/>
      <c r="AW1" s="1934"/>
      <c r="AX1" s="1934"/>
      <c r="AY1" s="1934"/>
      <c r="AZ1" s="1934"/>
      <c r="BA1" s="1934"/>
      <c r="BB1" s="1934"/>
      <c r="BC1" s="1934"/>
      <c r="BD1" s="1934"/>
      <c r="BE1" s="1934"/>
      <c r="BF1" s="1934"/>
      <c r="BG1" s="1934"/>
      <c r="BH1" s="1934"/>
      <c r="BI1" s="1934"/>
      <c r="BJ1" s="1934"/>
      <c r="BK1" s="1934"/>
      <c r="BL1" s="1934"/>
      <c r="BM1" s="1419"/>
    </row>
    <row r="2" spans="1:69" ht="14.4" customHeight="1" x14ac:dyDescent="0.3">
      <c r="A2" s="1934"/>
      <c r="B2" s="1934"/>
      <c r="C2" s="1934"/>
      <c r="D2" s="1934"/>
      <c r="E2" s="1934"/>
      <c r="F2" s="1934"/>
      <c r="G2" s="1934"/>
      <c r="H2" s="1934"/>
      <c r="I2" s="1934"/>
      <c r="J2" s="1934"/>
      <c r="K2" s="1934"/>
      <c r="L2" s="1934"/>
      <c r="M2" s="1934"/>
      <c r="N2" s="1934"/>
      <c r="O2" s="1934"/>
      <c r="P2" s="1934"/>
      <c r="Q2" s="1934"/>
      <c r="R2" s="1934"/>
      <c r="S2" s="1934"/>
      <c r="T2" s="1934"/>
      <c r="U2" s="1934"/>
      <c r="V2" s="1934"/>
      <c r="W2" s="1934"/>
      <c r="X2" s="1934"/>
      <c r="Y2" s="1934"/>
      <c r="Z2" s="1934"/>
      <c r="AA2" s="1934"/>
      <c r="AB2" s="1934"/>
      <c r="AC2" s="1934"/>
      <c r="AD2" s="1934"/>
      <c r="AE2" s="1934"/>
      <c r="AF2" s="1934"/>
      <c r="AG2" s="1934"/>
      <c r="AH2" s="1934"/>
      <c r="AI2" s="1934"/>
      <c r="AJ2" s="1934"/>
      <c r="AK2" s="1934"/>
      <c r="AL2" s="1934"/>
      <c r="AM2" s="1934"/>
      <c r="AN2" s="1934"/>
      <c r="AO2" s="1934"/>
      <c r="AP2" s="1934"/>
      <c r="AQ2" s="1934"/>
      <c r="AR2" s="1934"/>
      <c r="AS2" s="1934"/>
      <c r="AT2" s="1934"/>
      <c r="AU2" s="1934"/>
      <c r="AV2" s="1934"/>
      <c r="AW2" s="1934"/>
      <c r="AX2" s="1934"/>
      <c r="AY2" s="1934"/>
      <c r="AZ2" s="1934"/>
      <c r="BA2" s="1934"/>
      <c r="BB2" s="1934"/>
      <c r="BC2" s="1934"/>
      <c r="BD2" s="1934"/>
      <c r="BE2" s="1934"/>
      <c r="BF2" s="1934"/>
      <c r="BG2" s="1934"/>
      <c r="BH2" s="1934"/>
      <c r="BI2" s="1934"/>
      <c r="BJ2" s="1934"/>
      <c r="BK2" s="1934"/>
      <c r="BL2" s="1934"/>
      <c r="BM2" s="1419"/>
    </row>
    <row r="3" spans="1:69" x14ac:dyDescent="0.3">
      <c r="A3" s="1939" t="s">
        <v>1014</v>
      </c>
      <c r="B3" s="1933" t="s">
        <v>1025</v>
      </c>
      <c r="C3" s="1933"/>
      <c r="D3" s="1933"/>
      <c r="E3" s="1933"/>
      <c r="F3" s="1933"/>
      <c r="G3" s="1933"/>
      <c r="H3" s="1933"/>
      <c r="I3" s="1933"/>
      <c r="J3" s="1933"/>
      <c r="K3" s="1933"/>
      <c r="L3" s="1933"/>
      <c r="M3" s="1933"/>
      <c r="N3" s="1933"/>
      <c r="O3" s="1933"/>
      <c r="P3" s="1933"/>
      <c r="Q3" s="1933"/>
      <c r="R3" s="1933"/>
      <c r="S3" s="1933"/>
      <c r="T3" s="1933"/>
      <c r="U3" s="1933"/>
      <c r="V3" s="1933"/>
      <c r="W3" s="1933" t="s">
        <v>1026</v>
      </c>
      <c r="X3" s="1933"/>
      <c r="Y3" s="1933"/>
      <c r="Z3" s="1933"/>
      <c r="AA3" s="1933"/>
      <c r="AB3" s="1933"/>
      <c r="AC3" s="1933"/>
      <c r="AD3" s="1933"/>
      <c r="AE3" s="1933"/>
      <c r="AF3" s="1933"/>
      <c r="AG3" s="1933"/>
      <c r="AH3" s="1933"/>
      <c r="AI3" s="1933"/>
      <c r="AJ3" s="1933"/>
      <c r="AK3" s="1933"/>
      <c r="AL3" s="1933"/>
      <c r="AM3" s="1933"/>
      <c r="AN3" s="1933"/>
      <c r="AO3" s="1933"/>
      <c r="AP3" s="1933"/>
      <c r="AQ3" s="1933"/>
      <c r="AR3" s="1933" t="s">
        <v>1027</v>
      </c>
      <c r="AS3" s="1933"/>
      <c r="AT3" s="1933"/>
      <c r="AU3" s="1933"/>
      <c r="AV3" s="1933"/>
      <c r="AW3" s="1933"/>
      <c r="AX3" s="1933"/>
      <c r="AY3" s="1933"/>
      <c r="AZ3" s="1933"/>
      <c r="BA3" s="1933"/>
      <c r="BB3" s="1933"/>
      <c r="BC3" s="1933"/>
      <c r="BD3" s="1933"/>
      <c r="BE3" s="1933"/>
      <c r="BF3" s="1933"/>
      <c r="BG3" s="1933"/>
      <c r="BH3" s="1933"/>
      <c r="BI3" s="1933"/>
      <c r="BJ3" s="1933"/>
      <c r="BK3" s="1933"/>
      <c r="BL3" s="1933"/>
      <c r="BM3" s="1419"/>
    </row>
    <row r="4" spans="1:69" x14ac:dyDescent="0.3">
      <c r="A4" s="1939"/>
      <c r="B4" s="1933"/>
      <c r="C4" s="1933"/>
      <c r="D4" s="1933"/>
      <c r="E4" s="1933"/>
      <c r="F4" s="1933"/>
      <c r="G4" s="1933"/>
      <c r="H4" s="1933"/>
      <c r="I4" s="1933"/>
      <c r="J4" s="1933"/>
      <c r="K4" s="1933"/>
      <c r="L4" s="1933"/>
      <c r="M4" s="1933"/>
      <c r="N4" s="1933"/>
      <c r="O4" s="1933"/>
      <c r="P4" s="1933"/>
      <c r="Q4" s="1933"/>
      <c r="R4" s="1933"/>
      <c r="S4" s="1933"/>
      <c r="T4" s="1933"/>
      <c r="U4" s="1933"/>
      <c r="V4" s="1933"/>
      <c r="W4" s="1933"/>
      <c r="X4" s="1933"/>
      <c r="Y4" s="1933"/>
      <c r="Z4" s="1933"/>
      <c r="AA4" s="1933"/>
      <c r="AB4" s="1933"/>
      <c r="AC4" s="1933"/>
      <c r="AD4" s="1933"/>
      <c r="AE4" s="1933"/>
      <c r="AF4" s="1933"/>
      <c r="AG4" s="1933"/>
      <c r="AH4" s="1933"/>
      <c r="AI4" s="1933"/>
      <c r="AJ4" s="1933"/>
      <c r="AK4" s="1933"/>
      <c r="AL4" s="1933"/>
      <c r="AM4" s="1933"/>
      <c r="AN4" s="1933"/>
      <c r="AO4" s="1933"/>
      <c r="AP4" s="1933"/>
      <c r="AQ4" s="1933"/>
      <c r="AR4" s="1933"/>
      <c r="AS4" s="1933"/>
      <c r="AT4" s="1933"/>
      <c r="AU4" s="1933"/>
      <c r="AV4" s="1933"/>
      <c r="AW4" s="1933"/>
      <c r="AX4" s="1933"/>
      <c r="AY4" s="1933"/>
      <c r="AZ4" s="1933"/>
      <c r="BA4" s="1933"/>
      <c r="BB4" s="1933"/>
      <c r="BC4" s="1933"/>
      <c r="BD4" s="1933"/>
      <c r="BE4" s="1933"/>
      <c r="BF4" s="1933"/>
      <c r="BG4" s="1933"/>
      <c r="BH4" s="1933"/>
      <c r="BI4" s="1933"/>
      <c r="BJ4" s="1933"/>
      <c r="BK4" s="1933"/>
      <c r="BL4" s="1933"/>
      <c r="BM4" s="1419"/>
    </row>
    <row r="5" spans="1:69" x14ac:dyDescent="0.3">
      <c r="A5" s="1939"/>
      <c r="B5" s="1938" t="s">
        <v>1019</v>
      </c>
      <c r="C5" s="1938"/>
      <c r="D5" s="1941" t="s">
        <v>1010</v>
      </c>
      <c r="E5" s="1942"/>
      <c r="F5" s="1942"/>
      <c r="G5" s="1942"/>
      <c r="H5" s="1942"/>
      <c r="I5" s="1943"/>
      <c r="J5" s="1935" t="s">
        <v>1015</v>
      </c>
      <c r="K5" s="1938" t="s">
        <v>1016</v>
      </c>
      <c r="L5" s="1938"/>
      <c r="M5" s="1938"/>
      <c r="N5" s="1938"/>
      <c r="O5" s="1938"/>
      <c r="P5" s="1938"/>
      <c r="Q5" s="1938"/>
      <c r="R5" s="1938"/>
      <c r="S5" s="1938" t="s">
        <v>1017</v>
      </c>
      <c r="T5" s="1938"/>
      <c r="U5" s="1935" t="s">
        <v>1022</v>
      </c>
      <c r="V5" s="1935" t="s">
        <v>1023</v>
      </c>
      <c r="W5" s="1938" t="s">
        <v>1019</v>
      </c>
      <c r="X5" s="1938"/>
      <c r="Y5" s="1941" t="s">
        <v>1010</v>
      </c>
      <c r="Z5" s="1942"/>
      <c r="AA5" s="1942"/>
      <c r="AB5" s="1942"/>
      <c r="AC5" s="1942"/>
      <c r="AD5" s="1943"/>
      <c r="AE5" s="1935" t="s">
        <v>1015</v>
      </c>
      <c r="AF5" s="1938" t="s">
        <v>1016</v>
      </c>
      <c r="AG5" s="1938"/>
      <c r="AH5" s="1938"/>
      <c r="AI5" s="1938"/>
      <c r="AJ5" s="1938"/>
      <c r="AK5" s="1938"/>
      <c r="AL5" s="1938"/>
      <c r="AM5" s="1938"/>
      <c r="AN5" s="1938" t="s">
        <v>1017</v>
      </c>
      <c r="AO5" s="1938"/>
      <c r="AP5" s="1935" t="s">
        <v>1022</v>
      </c>
      <c r="AQ5" s="1935" t="s">
        <v>1023</v>
      </c>
      <c r="AR5" s="1938" t="s">
        <v>1019</v>
      </c>
      <c r="AS5" s="1938"/>
      <c r="AT5" s="1941" t="s">
        <v>1010</v>
      </c>
      <c r="AU5" s="1942"/>
      <c r="AV5" s="1942"/>
      <c r="AW5" s="1942"/>
      <c r="AX5" s="1942"/>
      <c r="AY5" s="1943"/>
      <c r="AZ5" s="1935" t="s">
        <v>1015</v>
      </c>
      <c r="BA5" s="1938" t="s">
        <v>1016</v>
      </c>
      <c r="BB5" s="1938"/>
      <c r="BC5" s="1938"/>
      <c r="BD5" s="1938"/>
      <c r="BE5" s="1938"/>
      <c r="BF5" s="1938"/>
      <c r="BG5" s="1938"/>
      <c r="BH5" s="1938"/>
      <c r="BI5" s="1938" t="s">
        <v>1017</v>
      </c>
      <c r="BJ5" s="1938"/>
      <c r="BK5" s="1935" t="s">
        <v>1022</v>
      </c>
      <c r="BL5" s="1935" t="s">
        <v>1023</v>
      </c>
      <c r="BM5" s="1930" t="s">
        <v>1011</v>
      </c>
      <c r="BN5" s="1932" t="s">
        <v>1013</v>
      </c>
      <c r="BO5" s="1932"/>
      <c r="BP5" s="1932"/>
      <c r="BQ5" s="1932"/>
    </row>
    <row r="6" spans="1:69" x14ac:dyDescent="0.3">
      <c r="A6" s="1939"/>
      <c r="B6" s="1938" t="s">
        <v>1021</v>
      </c>
      <c r="C6" s="1938" t="s">
        <v>1020</v>
      </c>
      <c r="D6" s="1944"/>
      <c r="E6" s="1945"/>
      <c r="F6" s="1945"/>
      <c r="G6" s="1945"/>
      <c r="H6" s="1945"/>
      <c r="I6" s="1946"/>
      <c r="J6" s="1936"/>
      <c r="K6" s="1938">
        <v>2</v>
      </c>
      <c r="L6" s="1938"/>
      <c r="M6" s="1938"/>
      <c r="N6" s="1938"/>
      <c r="O6" s="1938">
        <v>3</v>
      </c>
      <c r="P6" s="1938"/>
      <c r="Q6" s="1938"/>
      <c r="R6" s="1938"/>
      <c r="S6" s="1935" t="s">
        <v>1018</v>
      </c>
      <c r="T6" s="1935" t="s">
        <v>542</v>
      </c>
      <c r="U6" s="1936"/>
      <c r="V6" s="1936"/>
      <c r="W6" s="1938" t="s">
        <v>1024</v>
      </c>
      <c r="X6" s="1938" t="s">
        <v>1020</v>
      </c>
      <c r="Y6" s="1944"/>
      <c r="Z6" s="1945"/>
      <c r="AA6" s="1945"/>
      <c r="AB6" s="1945"/>
      <c r="AC6" s="1945"/>
      <c r="AD6" s="1946"/>
      <c r="AE6" s="1936"/>
      <c r="AF6" s="1938">
        <v>2</v>
      </c>
      <c r="AG6" s="1938"/>
      <c r="AH6" s="1938"/>
      <c r="AI6" s="1938"/>
      <c r="AJ6" s="1938">
        <v>3</v>
      </c>
      <c r="AK6" s="1938"/>
      <c r="AL6" s="1938"/>
      <c r="AM6" s="1938"/>
      <c r="AN6" s="1935" t="s">
        <v>1018</v>
      </c>
      <c r="AO6" s="1935" t="s">
        <v>542</v>
      </c>
      <c r="AP6" s="1936"/>
      <c r="AQ6" s="1936"/>
      <c r="AR6" s="1938" t="s">
        <v>1021</v>
      </c>
      <c r="AS6" s="1938" t="s">
        <v>1020</v>
      </c>
      <c r="AT6" s="1944"/>
      <c r="AU6" s="1945"/>
      <c r="AV6" s="1945"/>
      <c r="AW6" s="1945"/>
      <c r="AX6" s="1945"/>
      <c r="AY6" s="1946"/>
      <c r="AZ6" s="1936"/>
      <c r="BA6" s="1938">
        <v>2</v>
      </c>
      <c r="BB6" s="1938"/>
      <c r="BC6" s="1938"/>
      <c r="BD6" s="1938"/>
      <c r="BE6" s="1938">
        <v>3</v>
      </c>
      <c r="BF6" s="1938"/>
      <c r="BG6" s="1938"/>
      <c r="BH6" s="1938"/>
      <c r="BI6" s="1935" t="s">
        <v>1018</v>
      </c>
      <c r="BJ6" s="1935" t="s">
        <v>542</v>
      </c>
      <c r="BK6" s="1936"/>
      <c r="BL6" s="1936"/>
      <c r="BM6" s="1930"/>
      <c r="BN6" s="1932"/>
      <c r="BO6" s="1932"/>
      <c r="BP6" s="1932"/>
      <c r="BQ6" s="1932"/>
    </row>
    <row r="7" spans="1:69" x14ac:dyDescent="0.3">
      <c r="A7" s="1940"/>
      <c r="B7" s="1938"/>
      <c r="C7" s="1938"/>
      <c r="D7" s="1421">
        <v>0.33333333333333331</v>
      </c>
      <c r="E7" s="1421">
        <v>0.41666666666666669</v>
      </c>
      <c r="F7" s="1421">
        <v>0.5</v>
      </c>
      <c r="G7" s="1421">
        <v>0.58333333333333337</v>
      </c>
      <c r="H7" s="1421">
        <v>0.66666666666666663</v>
      </c>
      <c r="I7" s="1421">
        <v>0.75</v>
      </c>
      <c r="J7" s="1937"/>
      <c r="K7" s="1421">
        <v>0.33333333333333331</v>
      </c>
      <c r="L7" s="1421">
        <v>0.45833333333333331</v>
      </c>
      <c r="M7" s="1421">
        <v>0.58333333333333337</v>
      </c>
      <c r="N7" s="1421">
        <v>0.75</v>
      </c>
      <c r="O7" s="1421">
        <v>0.33333333333333331</v>
      </c>
      <c r="P7" s="1421">
        <v>0.45833333333333331</v>
      </c>
      <c r="Q7" s="1421">
        <v>0.58333333333333337</v>
      </c>
      <c r="R7" s="1421">
        <v>0.75</v>
      </c>
      <c r="S7" s="1937"/>
      <c r="T7" s="1937"/>
      <c r="U7" s="1937"/>
      <c r="V7" s="1937"/>
      <c r="W7" s="1938"/>
      <c r="X7" s="1938"/>
      <c r="Y7" s="1422">
        <v>0.33333333333333331</v>
      </c>
      <c r="Z7" s="1422">
        <v>0.41666666666666669</v>
      </c>
      <c r="AA7" s="1422">
        <v>0.5</v>
      </c>
      <c r="AB7" s="1422">
        <v>0.58333333333333337</v>
      </c>
      <c r="AC7" s="1422">
        <v>0.66666666666666663</v>
      </c>
      <c r="AD7" s="1422">
        <v>0.75</v>
      </c>
      <c r="AE7" s="1937"/>
      <c r="AF7" s="1421">
        <v>0.33333333333333331</v>
      </c>
      <c r="AG7" s="1421">
        <v>0.45833333333333331</v>
      </c>
      <c r="AH7" s="1421">
        <v>0.58333333333333337</v>
      </c>
      <c r="AI7" s="1421">
        <v>0.75</v>
      </c>
      <c r="AJ7" s="1421">
        <v>0.33333333333333331</v>
      </c>
      <c r="AK7" s="1421">
        <v>0.45833333333333331</v>
      </c>
      <c r="AL7" s="1421">
        <v>0.58333333333333337</v>
      </c>
      <c r="AM7" s="1421">
        <v>0.75</v>
      </c>
      <c r="AN7" s="1937"/>
      <c r="AO7" s="1937"/>
      <c r="AP7" s="1937"/>
      <c r="AQ7" s="1937"/>
      <c r="AR7" s="1938"/>
      <c r="AS7" s="1938"/>
      <c r="AT7" s="1421">
        <v>0.33333333333333331</v>
      </c>
      <c r="AU7" s="1421">
        <v>0.41666666666666669</v>
      </c>
      <c r="AV7" s="1421">
        <v>0.5</v>
      </c>
      <c r="AW7" s="1421">
        <v>0.58333333333333337</v>
      </c>
      <c r="AX7" s="1421">
        <v>0.66666666666666663</v>
      </c>
      <c r="AY7" s="1421">
        <v>0.75</v>
      </c>
      <c r="AZ7" s="1937"/>
      <c r="BA7" s="1421">
        <v>0.33333333333333331</v>
      </c>
      <c r="BB7" s="1421">
        <v>0.45833333333333331</v>
      </c>
      <c r="BC7" s="1421">
        <v>0.58333333333333337</v>
      </c>
      <c r="BD7" s="1421">
        <v>0.75</v>
      </c>
      <c r="BE7" s="1421">
        <v>0.33333333333333331</v>
      </c>
      <c r="BF7" s="1421">
        <v>0.45833333333333331</v>
      </c>
      <c r="BG7" s="1421">
        <v>0.58333333333333337</v>
      </c>
      <c r="BH7" s="1421">
        <v>0.75</v>
      </c>
      <c r="BI7" s="1937"/>
      <c r="BJ7" s="1937"/>
      <c r="BK7" s="1937"/>
      <c r="BL7" s="1937"/>
      <c r="BM7" s="1931"/>
      <c r="BN7" s="1932"/>
      <c r="BO7" s="1932"/>
      <c r="BP7" s="1932"/>
      <c r="BQ7" s="1932"/>
    </row>
    <row r="8" spans="1:69" x14ac:dyDescent="0.3">
      <c r="A8" s="1424">
        <v>46324</v>
      </c>
      <c r="B8" s="1420" t="s">
        <v>1012</v>
      </c>
      <c r="C8" s="1420"/>
      <c r="D8" s="1420"/>
      <c r="E8" s="1420"/>
      <c r="F8" s="1420"/>
      <c r="G8" s="1420"/>
      <c r="H8" s="1420"/>
      <c r="I8" s="1420"/>
      <c r="J8" s="1420"/>
      <c r="K8" s="1420"/>
      <c r="L8" s="1420"/>
      <c r="M8" s="1420"/>
      <c r="N8" s="1420"/>
      <c r="O8" s="1420"/>
      <c r="P8" s="1420"/>
      <c r="Q8" s="1420"/>
      <c r="R8" s="1420"/>
      <c r="S8" s="1420"/>
      <c r="T8" s="1420"/>
      <c r="U8" s="1420"/>
      <c r="V8" s="1420"/>
      <c r="W8" s="1420"/>
      <c r="X8" s="1420"/>
      <c r="Y8" s="1420"/>
      <c r="Z8" s="1420"/>
      <c r="AA8" s="1420"/>
      <c r="AB8" s="1420"/>
      <c r="AC8" s="1420"/>
      <c r="AD8" s="1420"/>
      <c r="AE8" s="1420"/>
      <c r="AF8" s="1420"/>
      <c r="AG8" s="1420"/>
      <c r="AH8" s="1420"/>
      <c r="AI8" s="1420"/>
      <c r="AJ8" s="1420"/>
      <c r="AK8" s="1420"/>
      <c r="AL8" s="1420"/>
      <c r="AM8" s="1420"/>
      <c r="AN8" s="1420"/>
      <c r="AO8" s="1420"/>
      <c r="AP8" s="1420"/>
      <c r="AQ8" s="1420"/>
      <c r="AR8" s="1420"/>
      <c r="AS8" s="1420"/>
      <c r="AT8" s="1420"/>
      <c r="AU8" s="1420"/>
      <c r="AV8" s="1420"/>
      <c r="AW8" s="1420"/>
      <c r="AX8" s="1420"/>
      <c r="AY8" s="1420"/>
      <c r="AZ8" s="1420"/>
      <c r="BA8" s="1420"/>
      <c r="BB8" s="1420"/>
      <c r="BC8" s="1420"/>
      <c r="BD8" s="1420"/>
      <c r="BE8" s="1420"/>
      <c r="BF8" s="1420"/>
      <c r="BG8" s="1420"/>
      <c r="BH8" s="1420"/>
      <c r="BI8" s="1420"/>
      <c r="BJ8" s="1420"/>
      <c r="BK8" s="1420"/>
      <c r="BL8" s="1420"/>
      <c r="BM8" s="1420"/>
      <c r="BN8" s="1932"/>
      <c r="BO8" s="1932"/>
      <c r="BP8" s="1932"/>
      <c r="BQ8" s="1932"/>
    </row>
    <row r="9" spans="1:69" x14ac:dyDescent="0.3">
      <c r="A9" s="56"/>
      <c r="B9" s="1420"/>
      <c r="C9" s="1420"/>
      <c r="D9" s="1420"/>
      <c r="E9" s="1420"/>
      <c r="F9" s="1420"/>
      <c r="G9" s="1420"/>
      <c r="H9" s="1420"/>
      <c r="I9" s="1420"/>
      <c r="J9" s="1420"/>
      <c r="K9" s="1420"/>
      <c r="L9" s="1420"/>
      <c r="M9" s="1420"/>
      <c r="N9" s="1420"/>
      <c r="O9" s="1420"/>
      <c r="P9" s="1420"/>
      <c r="Q9" s="1420"/>
      <c r="R9" s="1420"/>
      <c r="S9" s="1420"/>
      <c r="T9" s="1420"/>
      <c r="U9" s="1420"/>
      <c r="V9" s="1420"/>
      <c r="W9" s="1420"/>
      <c r="X9" s="1420"/>
      <c r="Y9" s="1420"/>
      <c r="Z9" s="1420"/>
      <c r="AA9" s="1420"/>
      <c r="AB9" s="1420"/>
      <c r="AC9" s="1420"/>
      <c r="AD9" s="1420"/>
      <c r="AE9" s="1420"/>
      <c r="AF9" s="1420"/>
      <c r="AG9" s="1420"/>
      <c r="AH9" s="1420"/>
      <c r="AI9" s="1420"/>
      <c r="AJ9" s="1420"/>
      <c r="AK9" s="1420"/>
      <c r="AL9" s="1420"/>
      <c r="AM9" s="1420"/>
      <c r="AN9" s="1420"/>
      <c r="AO9" s="1420"/>
      <c r="AP9" s="1420"/>
      <c r="AQ9" s="1420"/>
      <c r="AR9" s="1420"/>
      <c r="AS9" s="1420"/>
      <c r="AT9" s="1420"/>
      <c r="AU9" s="1420"/>
      <c r="AV9" s="1420"/>
      <c r="AW9" s="1420"/>
      <c r="AX9" s="1420"/>
      <c r="AY9" s="1420"/>
      <c r="AZ9" s="1420"/>
      <c r="BA9" s="1420"/>
      <c r="BB9" s="1420"/>
      <c r="BC9" s="1420"/>
      <c r="BD9" s="1420"/>
      <c r="BE9" s="1420"/>
      <c r="BF9" s="1420"/>
      <c r="BG9" s="1420"/>
      <c r="BH9" s="1420"/>
      <c r="BI9" s="1420"/>
      <c r="BJ9" s="1420"/>
      <c r="BK9" s="1420"/>
      <c r="BL9" s="1420"/>
      <c r="BM9" s="1420"/>
      <c r="BN9" s="1932"/>
      <c r="BO9" s="1932"/>
      <c r="BP9" s="1932"/>
      <c r="BQ9" s="1932"/>
    </row>
    <row r="10" spans="1:69" x14ac:dyDescent="0.3">
      <c r="A10" s="56"/>
      <c r="B10" s="1420"/>
      <c r="C10" s="1420"/>
      <c r="D10" s="1420"/>
      <c r="E10" s="1420"/>
      <c r="F10" s="1420"/>
      <c r="G10" s="1420"/>
      <c r="H10" s="1420"/>
      <c r="I10" s="1420"/>
      <c r="J10" s="1420"/>
      <c r="K10" s="1420"/>
      <c r="L10" s="1420"/>
      <c r="M10" s="1420"/>
      <c r="N10" s="1420"/>
      <c r="O10" s="1420"/>
      <c r="P10" s="1420"/>
      <c r="Q10" s="1420"/>
      <c r="R10" s="1420"/>
      <c r="S10" s="1420"/>
      <c r="T10" s="1420"/>
      <c r="U10" s="1420"/>
      <c r="V10" s="1420"/>
      <c r="W10" s="1420"/>
      <c r="X10" s="1420"/>
      <c r="Y10" s="1420"/>
      <c r="Z10" s="1420"/>
      <c r="AA10" s="1420"/>
      <c r="AB10" s="1420"/>
      <c r="AC10" s="1420"/>
      <c r="AD10" s="1420"/>
      <c r="AE10" s="1420"/>
      <c r="AF10" s="1420"/>
      <c r="AG10" s="1420"/>
      <c r="AH10" s="1420"/>
      <c r="AI10" s="1420"/>
      <c r="AJ10" s="1420"/>
      <c r="AK10" s="1420"/>
      <c r="AL10" s="1420"/>
      <c r="AM10" s="1420"/>
      <c r="AN10" s="1420"/>
      <c r="AO10" s="1420"/>
      <c r="AP10" s="1420"/>
      <c r="AQ10" s="1420"/>
      <c r="AR10" s="1420"/>
      <c r="AS10" s="1420"/>
      <c r="AT10" s="1420"/>
      <c r="AU10" s="1420"/>
      <c r="AV10" s="1420"/>
      <c r="AW10" s="1420"/>
      <c r="AX10" s="1420"/>
      <c r="AY10" s="1420"/>
      <c r="AZ10" s="1420"/>
      <c r="BA10" s="1420"/>
      <c r="BB10" s="1420"/>
      <c r="BC10" s="1420"/>
      <c r="BD10" s="1420"/>
      <c r="BE10" s="1420"/>
      <c r="BF10" s="1420"/>
      <c r="BG10" s="1420"/>
      <c r="BH10" s="1420"/>
      <c r="BI10" s="1420"/>
      <c r="BJ10" s="1420"/>
      <c r="BK10" s="1420"/>
      <c r="BL10" s="1420"/>
      <c r="BM10" s="1420"/>
    </row>
    <row r="11" spans="1:69" x14ac:dyDescent="0.3">
      <c r="A11" s="56"/>
      <c r="B11" s="1420"/>
      <c r="C11" s="1420"/>
      <c r="D11" s="1420"/>
      <c r="E11" s="1420"/>
      <c r="F11" s="1420"/>
      <c r="G11" s="1420"/>
      <c r="H11" s="1420"/>
      <c r="I11" s="1420"/>
      <c r="J11" s="1420"/>
      <c r="K11" s="1420"/>
      <c r="L11" s="1420"/>
      <c r="M11" s="1420"/>
      <c r="N11" s="1420"/>
      <c r="O11" s="1420"/>
      <c r="P11" s="1420"/>
      <c r="Q11" s="1420"/>
      <c r="R11" s="1420"/>
      <c r="S11" s="1420"/>
      <c r="T11" s="1420"/>
      <c r="U11" s="1420"/>
      <c r="V11" s="1420"/>
      <c r="W11" s="1420"/>
      <c r="X11" s="1420"/>
      <c r="Y11" s="1420"/>
      <c r="Z11" s="1420"/>
      <c r="AA11" s="1420"/>
      <c r="AB11" s="1420"/>
      <c r="AC11" s="1420"/>
      <c r="AD11" s="1420"/>
      <c r="AE11" s="1420"/>
      <c r="AF11" s="1420"/>
      <c r="AG11" s="1420"/>
      <c r="AH11" s="1420"/>
      <c r="AI11" s="1420"/>
      <c r="AJ11" s="1420"/>
      <c r="AK11" s="1420"/>
      <c r="AL11" s="1420"/>
      <c r="AM11" s="1420"/>
      <c r="AN11" s="1420"/>
      <c r="AO11" s="1420"/>
      <c r="AP11" s="1420"/>
      <c r="AQ11" s="1420"/>
      <c r="AR11" s="1420"/>
      <c r="AS11" s="1420"/>
      <c r="AT11" s="1420"/>
      <c r="AU11" s="1420"/>
      <c r="AV11" s="1420"/>
      <c r="AW11" s="1420"/>
      <c r="AX11" s="1420"/>
      <c r="AY11" s="1420"/>
      <c r="AZ11" s="1420"/>
      <c r="BA11" s="1420"/>
      <c r="BB11" s="1420"/>
      <c r="BC11" s="1420"/>
      <c r="BD11" s="1420"/>
      <c r="BE11" s="1420"/>
      <c r="BF11" s="1420"/>
      <c r="BG11" s="1420"/>
      <c r="BH11" s="1420"/>
      <c r="BI11" s="1420"/>
      <c r="BJ11" s="1420"/>
      <c r="BK11" s="1420"/>
      <c r="BL11" s="1420"/>
      <c r="BM11" s="1420"/>
    </row>
    <row r="12" spans="1:69" x14ac:dyDescent="0.3">
      <c r="A12" s="56"/>
      <c r="B12" s="1420"/>
      <c r="C12" s="1420"/>
      <c r="D12" s="1420"/>
      <c r="E12" s="1420"/>
      <c r="F12" s="1420"/>
      <c r="G12" s="1420"/>
      <c r="H12" s="1420"/>
      <c r="I12" s="1420"/>
      <c r="J12" s="1420"/>
      <c r="K12" s="1420"/>
      <c r="L12" s="1420"/>
      <c r="M12" s="1420"/>
      <c r="N12" s="1420"/>
      <c r="O12" s="1420"/>
      <c r="P12" s="1420"/>
      <c r="Q12" s="1420"/>
      <c r="R12" s="1420"/>
      <c r="S12" s="1420"/>
      <c r="T12" s="1420"/>
      <c r="U12" s="1420"/>
      <c r="V12" s="1420"/>
      <c r="W12" s="1420"/>
      <c r="X12" s="1420"/>
      <c r="Y12" s="1420"/>
      <c r="Z12" s="1420"/>
      <c r="AA12" s="1420"/>
      <c r="AB12" s="1420"/>
      <c r="AC12" s="1420"/>
      <c r="AD12" s="1420"/>
      <c r="AE12" s="1420"/>
      <c r="AF12" s="1420"/>
      <c r="AG12" s="1420"/>
      <c r="AH12" s="1420"/>
      <c r="AI12" s="1420"/>
      <c r="AJ12" s="1420"/>
      <c r="AK12" s="1420"/>
      <c r="AL12" s="1420"/>
      <c r="AM12" s="1420"/>
      <c r="AN12" s="1420"/>
      <c r="AO12" s="1420"/>
      <c r="AP12" s="1420"/>
      <c r="AQ12" s="1420"/>
      <c r="AR12" s="1420"/>
      <c r="AS12" s="1420"/>
      <c r="AT12" s="1420"/>
      <c r="AU12" s="1420"/>
      <c r="AV12" s="1420"/>
      <c r="AW12" s="1420"/>
      <c r="AX12" s="1420"/>
      <c r="AY12" s="1420"/>
      <c r="AZ12" s="1420"/>
      <c r="BA12" s="1420"/>
      <c r="BB12" s="1420"/>
      <c r="BC12" s="1420"/>
      <c r="BD12" s="1420"/>
      <c r="BE12" s="1420"/>
      <c r="BF12" s="1420"/>
      <c r="BG12" s="1420"/>
      <c r="BH12" s="1420"/>
      <c r="BI12" s="1420"/>
      <c r="BJ12" s="1420"/>
      <c r="BK12" s="1420"/>
      <c r="BL12" s="1420"/>
      <c r="BM12" s="1420"/>
    </row>
    <row r="13" spans="1:69" x14ac:dyDescent="0.3">
      <c r="A13" s="56"/>
      <c r="B13" s="1420"/>
      <c r="C13" s="1420"/>
      <c r="D13" s="1420"/>
      <c r="E13" s="1420"/>
      <c r="F13" s="1420"/>
      <c r="G13" s="1420"/>
      <c r="H13" s="1420"/>
      <c r="I13" s="1420"/>
      <c r="J13" s="1420"/>
      <c r="K13" s="1420"/>
      <c r="L13" s="1420"/>
      <c r="M13" s="1420"/>
      <c r="N13" s="1420"/>
      <c r="O13" s="1420"/>
      <c r="P13" s="1420"/>
      <c r="Q13" s="1420"/>
      <c r="R13" s="1420"/>
      <c r="S13" s="1420"/>
      <c r="T13" s="1420"/>
      <c r="U13" s="1420"/>
      <c r="V13" s="1420"/>
      <c r="W13" s="1420"/>
      <c r="X13" s="1420"/>
      <c r="Y13" s="1420"/>
      <c r="Z13" s="1420"/>
      <c r="AA13" s="1420"/>
      <c r="AB13" s="1420"/>
      <c r="AC13" s="1420"/>
      <c r="AD13" s="1420"/>
      <c r="AE13" s="1420"/>
      <c r="AF13" s="1420"/>
      <c r="AG13" s="1420"/>
      <c r="AH13" s="1420"/>
      <c r="AI13" s="1420"/>
      <c r="AJ13" s="1420"/>
      <c r="AK13" s="1420"/>
      <c r="AL13" s="1420"/>
      <c r="AM13" s="1420"/>
      <c r="AN13" s="1420"/>
      <c r="AO13" s="1420"/>
      <c r="AP13" s="1420"/>
      <c r="AQ13" s="1420"/>
      <c r="AR13" s="1420"/>
      <c r="AS13" s="1420"/>
      <c r="AT13" s="1420"/>
      <c r="AU13" s="1420"/>
      <c r="AV13" s="1420"/>
      <c r="AW13" s="1420"/>
      <c r="AX13" s="1420"/>
      <c r="AY13" s="1420"/>
      <c r="AZ13" s="1420"/>
      <c r="BA13" s="1420"/>
      <c r="BB13" s="1420"/>
      <c r="BC13" s="1420"/>
      <c r="BD13" s="1420"/>
      <c r="BE13" s="1420"/>
      <c r="BF13" s="1420"/>
      <c r="BG13" s="1420"/>
      <c r="BH13" s="1420"/>
      <c r="BI13" s="1420"/>
      <c r="BJ13" s="1420"/>
      <c r="BK13" s="1420"/>
      <c r="BL13" s="1420"/>
      <c r="BM13" s="1420"/>
    </row>
    <row r="14" spans="1:69" x14ac:dyDescent="0.3">
      <c r="A14" s="56"/>
      <c r="B14" s="1420"/>
      <c r="C14" s="1420"/>
      <c r="D14" s="1420"/>
      <c r="E14" s="1420"/>
      <c r="F14" s="1420"/>
      <c r="G14" s="1420"/>
      <c r="H14" s="1420"/>
      <c r="I14" s="1420"/>
      <c r="J14" s="1420"/>
      <c r="K14" s="1420"/>
      <c r="L14" s="1420"/>
      <c r="M14" s="1420"/>
      <c r="N14" s="1420"/>
      <c r="O14" s="1420"/>
      <c r="P14" s="1420"/>
      <c r="Q14" s="1420"/>
      <c r="R14" s="1420"/>
      <c r="S14" s="1420"/>
      <c r="T14" s="1420"/>
      <c r="U14" s="1420"/>
      <c r="V14" s="1420"/>
      <c r="W14" s="1420"/>
      <c r="X14" s="1420"/>
      <c r="Y14" s="1420"/>
      <c r="Z14" s="1420"/>
      <c r="AA14" s="1420"/>
      <c r="AB14" s="1420"/>
      <c r="AC14" s="1420"/>
      <c r="AD14" s="1420"/>
      <c r="AE14" s="1420"/>
      <c r="AF14" s="1420"/>
      <c r="AG14" s="1420"/>
      <c r="AH14" s="1420"/>
      <c r="AI14" s="1420"/>
      <c r="AJ14" s="1420"/>
      <c r="AK14" s="1420"/>
      <c r="AL14" s="1420"/>
      <c r="AM14" s="1420"/>
      <c r="AN14" s="1420"/>
      <c r="AO14" s="1420"/>
      <c r="AP14" s="1420"/>
      <c r="AQ14" s="1420"/>
      <c r="AR14" s="1420"/>
      <c r="AS14" s="1420"/>
      <c r="AT14" s="1420"/>
      <c r="AU14" s="1420"/>
      <c r="AV14" s="1420"/>
      <c r="AW14" s="1420"/>
      <c r="AX14" s="1420"/>
      <c r="AY14" s="1420"/>
      <c r="AZ14" s="1420"/>
      <c r="BA14" s="1420"/>
      <c r="BB14" s="1420"/>
      <c r="BC14" s="1420"/>
      <c r="BD14" s="1420"/>
      <c r="BE14" s="1420"/>
      <c r="BF14" s="1420"/>
      <c r="BG14" s="1420"/>
      <c r="BH14" s="1420"/>
      <c r="BI14" s="1420"/>
      <c r="BJ14" s="1420"/>
      <c r="BK14" s="1420"/>
      <c r="BL14" s="1420"/>
      <c r="BM14" s="1420"/>
    </row>
    <row r="15" spans="1:69" x14ac:dyDescent="0.3">
      <c r="A15" s="56"/>
      <c r="B15" s="1420"/>
      <c r="C15" s="1420"/>
      <c r="D15" s="1420"/>
      <c r="E15" s="1420"/>
      <c r="F15" s="1420"/>
      <c r="G15" s="1420"/>
      <c r="H15" s="1420"/>
      <c r="I15" s="1420"/>
      <c r="J15" s="1420"/>
      <c r="K15" s="1420"/>
      <c r="L15" s="1420"/>
      <c r="M15" s="1420"/>
      <c r="N15" s="1420"/>
      <c r="O15" s="1420"/>
      <c r="P15" s="1420"/>
      <c r="Q15" s="1420"/>
      <c r="R15" s="1420"/>
      <c r="S15" s="1420"/>
      <c r="T15" s="1420"/>
      <c r="U15" s="1420"/>
      <c r="V15" s="1420"/>
      <c r="W15" s="1420"/>
      <c r="X15" s="1420"/>
      <c r="Y15" s="1420"/>
      <c r="Z15" s="1420"/>
      <c r="AA15" s="1420"/>
      <c r="AB15" s="1420"/>
      <c r="AC15" s="1420"/>
      <c r="AD15" s="1420"/>
      <c r="AE15" s="1420"/>
      <c r="AF15" s="1420"/>
      <c r="AG15" s="1420"/>
      <c r="AH15" s="1420"/>
      <c r="AI15" s="1420"/>
      <c r="AJ15" s="1420"/>
      <c r="AK15" s="1420"/>
      <c r="AL15" s="1420"/>
      <c r="AM15" s="1420"/>
      <c r="AN15" s="1420"/>
      <c r="AO15" s="1420"/>
      <c r="AP15" s="1420"/>
      <c r="AQ15" s="1420"/>
      <c r="AR15" s="1420"/>
      <c r="AS15" s="1420"/>
      <c r="AT15" s="1420"/>
      <c r="AU15" s="1420"/>
      <c r="AV15" s="1420"/>
      <c r="AW15" s="1420"/>
      <c r="AX15" s="1420"/>
      <c r="AY15" s="1420"/>
      <c r="AZ15" s="1420"/>
      <c r="BA15" s="1420"/>
      <c r="BB15" s="1420"/>
      <c r="BC15" s="1420"/>
      <c r="BD15" s="1420"/>
      <c r="BE15" s="1420"/>
      <c r="BF15" s="1420"/>
      <c r="BG15" s="1420"/>
      <c r="BH15" s="1420"/>
      <c r="BI15" s="1420"/>
      <c r="BJ15" s="1420"/>
      <c r="BK15" s="1420"/>
      <c r="BL15" s="1420"/>
      <c r="BM15" s="1420"/>
    </row>
    <row r="16" spans="1:69" x14ac:dyDescent="0.3">
      <c r="A16" s="56"/>
      <c r="B16" s="1420"/>
      <c r="C16" s="1420"/>
      <c r="D16" s="1420"/>
      <c r="E16" s="1420"/>
      <c r="F16" s="1420"/>
      <c r="G16" s="1420"/>
      <c r="H16" s="1420"/>
      <c r="I16" s="1420"/>
      <c r="J16" s="1420"/>
      <c r="K16" s="1420"/>
      <c r="L16" s="1420"/>
      <c r="M16" s="1420"/>
      <c r="N16" s="1420"/>
      <c r="O16" s="1420"/>
      <c r="P16" s="1420"/>
      <c r="Q16" s="1420"/>
      <c r="R16" s="1420"/>
      <c r="S16" s="1420"/>
      <c r="T16" s="1420"/>
      <c r="U16" s="1420"/>
      <c r="V16" s="1420"/>
      <c r="W16" s="1420"/>
      <c r="X16" s="1420"/>
      <c r="Y16" s="1420"/>
      <c r="Z16" s="1420"/>
      <c r="AA16" s="1420"/>
      <c r="AB16" s="1420"/>
      <c r="AC16" s="1420"/>
      <c r="AD16" s="1420"/>
      <c r="AE16" s="1420"/>
      <c r="AF16" s="1420"/>
      <c r="AG16" s="1420"/>
      <c r="AH16" s="1420"/>
      <c r="AI16" s="1420"/>
      <c r="AJ16" s="1420"/>
      <c r="AK16" s="1420"/>
      <c r="AL16" s="1420"/>
      <c r="AM16" s="1420"/>
      <c r="AN16" s="1420"/>
      <c r="AO16" s="1420"/>
      <c r="AP16" s="1420"/>
      <c r="AQ16" s="1420"/>
      <c r="AR16" s="1420"/>
      <c r="AS16" s="1420"/>
      <c r="AT16" s="1420"/>
      <c r="AU16" s="1420"/>
      <c r="AV16" s="1420"/>
      <c r="AW16" s="1420"/>
      <c r="AX16" s="1420"/>
      <c r="AY16" s="1420"/>
      <c r="AZ16" s="1420"/>
      <c r="BA16" s="1420"/>
      <c r="BB16" s="1420"/>
      <c r="BC16" s="1420"/>
      <c r="BD16" s="1420"/>
      <c r="BE16" s="1420"/>
      <c r="BF16" s="1420"/>
      <c r="BG16" s="1420"/>
      <c r="BH16" s="1420"/>
      <c r="BI16" s="1420"/>
      <c r="BJ16" s="1420"/>
      <c r="BK16" s="1420"/>
      <c r="BL16" s="1420"/>
      <c r="BM16" s="1420"/>
    </row>
    <row r="17" spans="1:65" x14ac:dyDescent="0.3">
      <c r="A17" s="56"/>
      <c r="B17" s="1420"/>
      <c r="C17" s="1420"/>
      <c r="D17" s="1420"/>
      <c r="E17" s="1420"/>
      <c r="F17" s="1420"/>
      <c r="G17" s="1420"/>
      <c r="H17" s="1420"/>
      <c r="I17" s="1420"/>
      <c r="J17" s="1420"/>
      <c r="K17" s="1420"/>
      <c r="L17" s="1420"/>
      <c r="M17" s="1420"/>
      <c r="N17" s="1420"/>
      <c r="O17" s="1420"/>
      <c r="P17" s="1420"/>
      <c r="Q17" s="1420"/>
      <c r="R17" s="1420"/>
      <c r="S17" s="1420"/>
      <c r="T17" s="1420"/>
      <c r="U17" s="1420"/>
      <c r="V17" s="1420"/>
      <c r="W17" s="1420"/>
      <c r="X17" s="1420"/>
      <c r="Y17" s="1420"/>
      <c r="Z17" s="1420"/>
      <c r="AA17" s="1420"/>
      <c r="AB17" s="1420"/>
      <c r="AC17" s="1420"/>
      <c r="AD17" s="1420"/>
      <c r="AE17" s="1420"/>
      <c r="AF17" s="1420"/>
      <c r="AG17" s="1420"/>
      <c r="AH17" s="1420"/>
      <c r="AI17" s="1420"/>
      <c r="AJ17" s="1420"/>
      <c r="AK17" s="1420"/>
      <c r="AL17" s="1420"/>
      <c r="AM17" s="1420"/>
      <c r="AN17" s="1420"/>
      <c r="AO17" s="1420"/>
      <c r="AP17" s="1420"/>
      <c r="AQ17" s="1420"/>
      <c r="AR17" s="1420"/>
      <c r="AS17" s="1420"/>
      <c r="AT17" s="1420"/>
      <c r="AU17" s="1420"/>
      <c r="AV17" s="1420"/>
      <c r="AW17" s="1420"/>
      <c r="AX17" s="1420"/>
      <c r="AY17" s="1420"/>
      <c r="AZ17" s="1420"/>
      <c r="BA17" s="1420"/>
      <c r="BB17" s="1420"/>
      <c r="BC17" s="1420"/>
      <c r="BD17" s="1420"/>
      <c r="BE17" s="1420"/>
      <c r="BF17" s="1420"/>
      <c r="BG17" s="1420"/>
      <c r="BH17" s="1420"/>
      <c r="BI17" s="1420"/>
      <c r="BJ17" s="1420"/>
      <c r="BK17" s="1420"/>
      <c r="BL17" s="1420"/>
      <c r="BM17" s="1420"/>
    </row>
    <row r="18" spans="1:65" ht="15.6" x14ac:dyDescent="0.3">
      <c r="A18" s="56"/>
      <c r="B18" s="1420"/>
      <c r="C18" s="1420"/>
      <c r="D18" s="1420"/>
      <c r="E18" s="1420"/>
      <c r="F18" s="1420"/>
      <c r="G18" s="1420"/>
      <c r="H18" s="1420"/>
      <c r="I18" s="1420"/>
      <c r="J18" s="1420"/>
      <c r="K18" s="1420"/>
      <c r="L18" s="1420"/>
      <c r="M18" s="1423"/>
      <c r="N18" s="1420"/>
      <c r="O18" s="1420"/>
      <c r="P18" s="1420"/>
      <c r="Q18" s="1420"/>
      <c r="R18" s="1420"/>
      <c r="S18" s="1420"/>
      <c r="T18" s="1420"/>
      <c r="U18" s="1420"/>
      <c r="V18" s="1420"/>
      <c r="W18" s="1420"/>
      <c r="X18" s="1420"/>
      <c r="Y18" s="1420"/>
      <c r="Z18" s="1420"/>
      <c r="AA18" s="1420"/>
      <c r="AB18" s="1420"/>
      <c r="AC18" s="1420"/>
      <c r="AD18" s="1420"/>
      <c r="AE18" s="1420"/>
      <c r="AF18" s="1420"/>
      <c r="AG18" s="1420"/>
      <c r="AH18" s="1420"/>
      <c r="AI18" s="1420"/>
      <c r="AJ18" s="1420"/>
      <c r="AK18" s="1420"/>
      <c r="AL18" s="1420"/>
      <c r="AM18" s="1420"/>
      <c r="AN18" s="1420"/>
      <c r="AO18" s="1420"/>
      <c r="AP18" s="1420"/>
      <c r="AQ18" s="1420"/>
      <c r="AR18" s="1420"/>
      <c r="AS18" s="1420"/>
      <c r="AT18" s="1420"/>
      <c r="AU18" s="1420"/>
      <c r="AV18" s="1420"/>
      <c r="AW18" s="1420"/>
      <c r="AX18" s="1420"/>
      <c r="AY18" s="1420"/>
      <c r="AZ18" s="1420"/>
      <c r="BA18" s="1420"/>
      <c r="BB18" s="1420"/>
      <c r="BC18" s="1420"/>
      <c r="BD18" s="1420"/>
      <c r="BE18" s="1420"/>
      <c r="BF18" s="1420"/>
      <c r="BG18" s="1420"/>
      <c r="BH18" s="1420"/>
      <c r="BI18" s="1420"/>
      <c r="BJ18" s="1420"/>
      <c r="BK18" s="1420"/>
      <c r="BL18" s="1420"/>
      <c r="BM18" s="1420"/>
    </row>
    <row r="19" spans="1:65" x14ac:dyDescent="0.3">
      <c r="A19" s="56"/>
      <c r="B19" s="1420"/>
      <c r="C19" s="1420"/>
      <c r="D19" s="1420"/>
      <c r="E19" s="1420"/>
      <c r="F19" s="1420"/>
      <c r="G19" s="1420"/>
      <c r="H19" s="1420"/>
      <c r="I19" s="1420"/>
      <c r="J19" s="1420"/>
      <c r="K19" s="1420"/>
      <c r="L19" s="1420"/>
      <c r="M19" s="1420"/>
      <c r="N19" s="1420"/>
      <c r="O19" s="1420"/>
      <c r="P19" s="1420"/>
      <c r="Q19" s="1420"/>
      <c r="R19" s="1420"/>
      <c r="S19" s="1420"/>
      <c r="T19" s="1420"/>
      <c r="U19" s="1420"/>
      <c r="V19" s="1420"/>
      <c r="W19" s="1420"/>
      <c r="X19" s="1420"/>
      <c r="Y19" s="1420"/>
      <c r="Z19" s="1420"/>
      <c r="AA19" s="1420"/>
      <c r="AB19" s="1420"/>
      <c r="AC19" s="1420"/>
      <c r="AD19" s="1420"/>
      <c r="AE19" s="1420"/>
      <c r="AF19" s="1420"/>
      <c r="AG19" s="1420"/>
      <c r="AH19" s="1420"/>
      <c r="AI19" s="1420"/>
      <c r="AJ19" s="1420"/>
      <c r="AK19" s="1420"/>
      <c r="AL19" s="1420"/>
      <c r="AM19" s="1420"/>
      <c r="AN19" s="1420"/>
      <c r="AO19" s="1420"/>
      <c r="AP19" s="1420"/>
      <c r="AQ19" s="1420"/>
      <c r="AR19" s="1420"/>
      <c r="AS19" s="1420"/>
      <c r="AT19" s="1420"/>
      <c r="AU19" s="1420"/>
      <c r="AV19" s="1420"/>
      <c r="AW19" s="1420"/>
      <c r="AX19" s="1420"/>
      <c r="AY19" s="1420"/>
      <c r="AZ19" s="1420"/>
      <c r="BA19" s="1420"/>
      <c r="BB19" s="1420"/>
      <c r="BC19" s="1420"/>
      <c r="BD19" s="1420"/>
      <c r="BE19" s="1420"/>
      <c r="BF19" s="1420"/>
      <c r="BG19" s="1420"/>
      <c r="BH19" s="1420"/>
      <c r="BI19" s="1420"/>
      <c r="BJ19" s="1420"/>
      <c r="BK19" s="1420"/>
      <c r="BL19" s="1420"/>
      <c r="BM19" s="1420"/>
    </row>
    <row r="20" spans="1:65" x14ac:dyDescent="0.3">
      <c r="A20" s="56"/>
      <c r="B20" s="1420"/>
      <c r="C20" s="1420"/>
      <c r="D20" s="1420"/>
      <c r="E20" s="1420"/>
      <c r="F20" s="1420"/>
      <c r="G20" s="1420"/>
      <c r="H20" s="1420"/>
      <c r="I20" s="1420"/>
      <c r="J20" s="1420"/>
      <c r="K20" s="1420"/>
      <c r="L20" s="1420"/>
      <c r="M20" s="1420"/>
      <c r="N20" s="1420"/>
      <c r="O20" s="1420"/>
      <c r="P20" s="1420"/>
      <c r="Q20" s="1420"/>
      <c r="R20" s="1420"/>
      <c r="S20" s="1420"/>
      <c r="T20" s="1420"/>
      <c r="U20" s="1420"/>
      <c r="V20" s="1420"/>
      <c r="W20" s="1420"/>
      <c r="X20" s="1420"/>
      <c r="Y20" s="1420"/>
      <c r="Z20" s="1420"/>
      <c r="AA20" s="1420"/>
      <c r="AB20" s="1420"/>
      <c r="AC20" s="1420"/>
      <c r="AD20" s="1420"/>
      <c r="AE20" s="1420"/>
      <c r="AF20" s="1420"/>
      <c r="AG20" s="1420"/>
      <c r="AH20" s="1420"/>
      <c r="AI20" s="1420"/>
      <c r="AJ20" s="1420"/>
      <c r="AK20" s="1420"/>
      <c r="AL20" s="1420"/>
      <c r="AM20" s="1420"/>
      <c r="AN20" s="1420"/>
      <c r="AO20" s="1420"/>
      <c r="AP20" s="1420"/>
      <c r="AQ20" s="1420"/>
      <c r="AR20" s="1420"/>
      <c r="AS20" s="1420"/>
      <c r="AT20" s="1420"/>
      <c r="AU20" s="1420"/>
      <c r="AV20" s="1420"/>
      <c r="AW20" s="1420"/>
      <c r="AX20" s="1420"/>
      <c r="AY20" s="1420"/>
      <c r="AZ20" s="1420"/>
      <c r="BA20" s="1420"/>
      <c r="BB20" s="1420"/>
      <c r="BC20" s="1420"/>
      <c r="BD20" s="1420"/>
      <c r="BE20" s="1420"/>
      <c r="BF20" s="1420"/>
      <c r="BG20" s="1420"/>
      <c r="BH20" s="1420"/>
      <c r="BI20" s="1420"/>
      <c r="BJ20" s="1420"/>
      <c r="BK20" s="1420"/>
      <c r="BL20" s="1420"/>
      <c r="BM20" s="1420"/>
    </row>
    <row r="21" spans="1:65" x14ac:dyDescent="0.3">
      <c r="A21" s="56"/>
      <c r="B21" s="1420"/>
      <c r="C21" s="1420"/>
      <c r="D21" s="1420"/>
      <c r="E21" s="1420"/>
      <c r="F21" s="1420"/>
      <c r="G21" s="1420"/>
      <c r="H21" s="1420"/>
      <c r="I21" s="1420"/>
      <c r="J21" s="1420"/>
      <c r="K21" s="1420"/>
      <c r="L21" s="1420"/>
      <c r="M21" s="1420"/>
      <c r="N21" s="1420"/>
      <c r="O21" s="1420"/>
      <c r="P21" s="1420"/>
      <c r="Q21" s="1420"/>
      <c r="R21" s="1420"/>
      <c r="S21" s="1420"/>
      <c r="T21" s="1420"/>
      <c r="U21" s="1420"/>
      <c r="V21" s="1420"/>
      <c r="W21" s="1420"/>
      <c r="X21" s="1420"/>
      <c r="Y21" s="1420"/>
      <c r="Z21" s="1420"/>
      <c r="AA21" s="1420"/>
      <c r="AB21" s="1420"/>
      <c r="AC21" s="1420"/>
      <c r="AD21" s="1420"/>
      <c r="AE21" s="1420"/>
      <c r="AF21" s="1420"/>
      <c r="AG21" s="1420"/>
      <c r="AH21" s="1420"/>
      <c r="AI21" s="1420"/>
      <c r="AJ21" s="1420"/>
      <c r="AK21" s="1420"/>
      <c r="AL21" s="1420"/>
      <c r="AM21" s="1420"/>
      <c r="AN21" s="1420"/>
      <c r="AO21" s="1420"/>
      <c r="AP21" s="1420"/>
      <c r="AQ21" s="1420"/>
      <c r="AR21" s="1420"/>
      <c r="AS21" s="1420"/>
      <c r="AT21" s="1420"/>
      <c r="AU21" s="1420"/>
      <c r="AV21" s="1420"/>
      <c r="AW21" s="1420"/>
      <c r="AX21" s="1420"/>
      <c r="AY21" s="1420"/>
      <c r="AZ21" s="1420"/>
      <c r="BA21" s="1420"/>
      <c r="BB21" s="1420"/>
      <c r="BC21" s="1420"/>
      <c r="BD21" s="1420"/>
      <c r="BE21" s="1420"/>
      <c r="BF21" s="1420"/>
      <c r="BG21" s="1420"/>
      <c r="BH21" s="1420"/>
      <c r="BI21" s="1420"/>
      <c r="BJ21" s="1420"/>
      <c r="BK21" s="1420"/>
      <c r="BL21" s="1420"/>
      <c r="BM21" s="1420"/>
    </row>
    <row r="22" spans="1:65" x14ac:dyDescent="0.3">
      <c r="A22" s="56"/>
      <c r="B22" s="1420"/>
      <c r="C22" s="1420"/>
      <c r="D22" s="1420"/>
      <c r="E22" s="1420"/>
      <c r="F22" s="1420"/>
      <c r="G22" s="1420"/>
      <c r="H22" s="1420"/>
      <c r="I22" s="1420"/>
      <c r="J22" s="1420"/>
      <c r="K22" s="1420"/>
      <c r="L22" s="1420"/>
      <c r="M22" s="1420"/>
      <c r="N22" s="1420"/>
      <c r="O22" s="1420"/>
      <c r="P22" s="1420"/>
      <c r="Q22" s="1420"/>
      <c r="R22" s="1420"/>
      <c r="S22" s="1420"/>
      <c r="T22" s="1420"/>
      <c r="U22" s="1420"/>
      <c r="V22" s="1420"/>
      <c r="W22" s="1420"/>
      <c r="X22" s="1420"/>
      <c r="Y22" s="1420"/>
      <c r="Z22" s="1420"/>
      <c r="AA22" s="1420"/>
      <c r="AB22" s="1420"/>
      <c r="AC22" s="1420"/>
      <c r="AD22" s="1420"/>
      <c r="AE22" s="1420"/>
      <c r="AF22" s="1420"/>
      <c r="AG22" s="1420"/>
      <c r="AH22" s="1420"/>
      <c r="AI22" s="1420"/>
      <c r="AJ22" s="1420"/>
      <c r="AK22" s="1420"/>
      <c r="AL22" s="1420"/>
      <c r="AM22" s="1420"/>
      <c r="AN22" s="1420"/>
      <c r="AO22" s="1420"/>
      <c r="AP22" s="1420"/>
      <c r="AQ22" s="1420"/>
      <c r="AR22" s="1420"/>
      <c r="AS22" s="1420"/>
      <c r="AT22" s="1420"/>
      <c r="AU22" s="1420"/>
      <c r="AV22" s="1420"/>
      <c r="AW22" s="1420"/>
      <c r="AX22" s="1420"/>
      <c r="AY22" s="1420"/>
      <c r="AZ22" s="1420"/>
      <c r="BA22" s="1420"/>
      <c r="BB22" s="1420"/>
      <c r="BC22" s="1420"/>
      <c r="BD22" s="1420"/>
      <c r="BE22" s="1420"/>
      <c r="BF22" s="1420"/>
      <c r="BG22" s="1420"/>
      <c r="BH22" s="1420"/>
      <c r="BI22" s="1420"/>
      <c r="BJ22" s="1420"/>
      <c r="BK22" s="1420"/>
      <c r="BL22" s="1420"/>
      <c r="BM22" s="1420"/>
    </row>
    <row r="23" spans="1:65" x14ac:dyDescent="0.3">
      <c r="A23" s="56"/>
      <c r="B23" s="1420"/>
      <c r="C23" s="1420"/>
      <c r="D23" s="1420"/>
      <c r="E23" s="1420"/>
      <c r="F23" s="1420"/>
      <c r="G23" s="1420"/>
      <c r="H23" s="1420"/>
      <c r="I23" s="1420"/>
      <c r="J23" s="1420"/>
      <c r="K23" s="1420"/>
      <c r="L23" s="1420"/>
      <c r="M23" s="1420"/>
      <c r="N23" s="1420"/>
      <c r="O23" s="1420"/>
      <c r="P23" s="1420"/>
      <c r="Q23" s="1420"/>
      <c r="R23" s="1420"/>
      <c r="S23" s="1420"/>
      <c r="T23" s="1420"/>
      <c r="U23" s="1420"/>
      <c r="V23" s="1420"/>
      <c r="W23" s="1420"/>
      <c r="X23" s="1420"/>
      <c r="Y23" s="1420"/>
      <c r="Z23" s="1420"/>
      <c r="AA23" s="1420"/>
      <c r="AB23" s="1420"/>
      <c r="AC23" s="1420"/>
      <c r="AD23" s="1420"/>
      <c r="AE23" s="1420"/>
      <c r="AF23" s="1420"/>
      <c r="AG23" s="1420"/>
      <c r="AH23" s="1420"/>
      <c r="AI23" s="1420"/>
      <c r="AJ23" s="1420"/>
      <c r="AK23" s="1420"/>
      <c r="AL23" s="1420"/>
      <c r="AM23" s="1420"/>
      <c r="AN23" s="1420"/>
      <c r="AO23" s="1420"/>
      <c r="AP23" s="1420"/>
      <c r="AQ23" s="1420"/>
      <c r="AR23" s="1420"/>
      <c r="AS23" s="1420"/>
      <c r="AT23" s="1420"/>
      <c r="AU23" s="1420"/>
      <c r="AV23" s="1420"/>
      <c r="AW23" s="1420"/>
      <c r="AX23" s="1420"/>
      <c r="AY23" s="1420"/>
      <c r="AZ23" s="1420"/>
      <c r="BA23" s="1420"/>
      <c r="BB23" s="1420"/>
      <c r="BC23" s="1420"/>
      <c r="BD23" s="1420"/>
      <c r="BE23" s="1420"/>
      <c r="BF23" s="1420"/>
      <c r="BG23" s="1420"/>
      <c r="BH23" s="1420"/>
      <c r="BI23" s="1420"/>
      <c r="BJ23" s="1420"/>
      <c r="BK23" s="1420"/>
      <c r="BL23" s="1420"/>
      <c r="BM23" s="1420"/>
    </row>
    <row r="24" spans="1:65" x14ac:dyDescent="0.3">
      <c r="A24" s="56"/>
      <c r="B24" s="1420"/>
      <c r="C24" s="1420"/>
      <c r="D24" s="1420"/>
      <c r="E24" s="1420"/>
      <c r="F24" s="1420"/>
      <c r="G24" s="1420"/>
      <c r="H24" s="1420"/>
      <c r="I24" s="1420"/>
      <c r="J24" s="1420"/>
      <c r="K24" s="1420"/>
      <c r="L24" s="1420"/>
      <c r="M24" s="1420"/>
      <c r="N24" s="1420"/>
      <c r="O24" s="1420"/>
      <c r="P24" s="1420"/>
      <c r="Q24" s="1420"/>
      <c r="R24" s="1420"/>
      <c r="S24" s="1420"/>
      <c r="T24" s="1420"/>
      <c r="U24" s="1420"/>
      <c r="V24" s="1420"/>
      <c r="W24" s="1420"/>
      <c r="X24" s="1420"/>
      <c r="Y24" s="1420"/>
      <c r="Z24" s="1420"/>
      <c r="AA24" s="1420"/>
      <c r="AB24" s="1420"/>
      <c r="AC24" s="1420"/>
      <c r="AD24" s="1420"/>
      <c r="AE24" s="1420"/>
      <c r="AF24" s="1420"/>
      <c r="AG24" s="1420"/>
      <c r="AH24" s="1420"/>
      <c r="AI24" s="1420"/>
      <c r="AJ24" s="1420"/>
      <c r="AK24" s="1420"/>
      <c r="AL24" s="1420"/>
      <c r="AM24" s="1420"/>
      <c r="AN24" s="1420"/>
      <c r="AO24" s="1420"/>
      <c r="AP24" s="1420"/>
      <c r="AQ24" s="1420"/>
      <c r="AR24" s="1420"/>
      <c r="AS24" s="1420"/>
      <c r="AT24" s="1420"/>
      <c r="AU24" s="1420"/>
      <c r="AV24" s="1420"/>
      <c r="AW24" s="1420"/>
      <c r="AX24" s="1420"/>
      <c r="AY24" s="1420"/>
      <c r="AZ24" s="1420"/>
      <c r="BA24" s="1420"/>
      <c r="BB24" s="1420"/>
      <c r="BC24" s="1420"/>
      <c r="BD24" s="1420"/>
      <c r="BE24" s="1420"/>
      <c r="BF24" s="1420"/>
      <c r="BG24" s="1420"/>
      <c r="BH24" s="1420"/>
      <c r="BI24" s="1420"/>
      <c r="BJ24" s="1420"/>
      <c r="BK24" s="1420"/>
      <c r="BL24" s="1420"/>
      <c r="BM24" s="1420"/>
    </row>
    <row r="25" spans="1:65" x14ac:dyDescent="0.3">
      <c r="A25" s="56"/>
      <c r="B25" s="1420"/>
      <c r="C25" s="1420"/>
      <c r="D25" s="1420"/>
      <c r="E25" s="1420"/>
      <c r="F25" s="1420"/>
      <c r="G25" s="1420"/>
      <c r="H25" s="1420"/>
      <c r="I25" s="1420"/>
      <c r="J25" s="1420"/>
      <c r="K25" s="1420"/>
      <c r="L25" s="1420"/>
      <c r="M25" s="1420"/>
      <c r="N25" s="1420"/>
      <c r="O25" s="1420"/>
      <c r="P25" s="1420"/>
      <c r="Q25" s="1420"/>
      <c r="R25" s="1420"/>
      <c r="S25" s="1420"/>
      <c r="T25" s="1420"/>
      <c r="U25" s="1420"/>
      <c r="V25" s="1420"/>
      <c r="W25" s="1420"/>
      <c r="X25" s="1420"/>
      <c r="Y25" s="1420"/>
      <c r="Z25" s="1420"/>
      <c r="AA25" s="1420"/>
      <c r="AB25" s="1420"/>
      <c r="AC25" s="1420"/>
      <c r="AD25" s="1420"/>
      <c r="AE25" s="1420"/>
      <c r="AF25" s="1420"/>
      <c r="AG25" s="1420"/>
      <c r="AH25" s="1420"/>
      <c r="AI25" s="1420"/>
      <c r="AJ25" s="1420"/>
      <c r="AK25" s="1420"/>
      <c r="AL25" s="1420"/>
      <c r="AM25" s="1420"/>
      <c r="AN25" s="1420"/>
      <c r="AO25" s="1420"/>
      <c r="AP25" s="1420"/>
      <c r="AQ25" s="1420"/>
      <c r="AR25" s="1420"/>
      <c r="AS25" s="1420"/>
      <c r="AT25" s="1420"/>
      <c r="AU25" s="1420"/>
      <c r="AV25" s="1420"/>
      <c r="AW25" s="1420"/>
      <c r="AX25" s="1420"/>
      <c r="AY25" s="1420"/>
      <c r="AZ25" s="1420"/>
      <c r="BA25" s="1420"/>
      <c r="BB25" s="1420"/>
      <c r="BC25" s="1420"/>
      <c r="BD25" s="1420"/>
      <c r="BE25" s="1420"/>
      <c r="BF25" s="1420"/>
      <c r="BG25" s="1420"/>
      <c r="BH25" s="1420"/>
      <c r="BI25" s="1420"/>
      <c r="BJ25" s="1420"/>
      <c r="BK25" s="1420"/>
      <c r="BL25" s="1420"/>
      <c r="BM25" s="1420"/>
    </row>
    <row r="26" spans="1:65" x14ac:dyDescent="0.3">
      <c r="A26" s="56"/>
      <c r="B26" s="1420"/>
      <c r="C26" s="1420"/>
      <c r="D26" s="1420"/>
      <c r="E26" s="1420"/>
      <c r="F26" s="1420"/>
      <c r="G26" s="1420"/>
      <c r="H26" s="1420"/>
      <c r="I26" s="1420"/>
      <c r="J26" s="1420"/>
      <c r="K26" s="1420"/>
      <c r="L26" s="1420"/>
      <c r="M26" s="1420"/>
      <c r="N26" s="1420"/>
      <c r="O26" s="1420"/>
      <c r="P26" s="1420"/>
      <c r="Q26" s="1420"/>
      <c r="R26" s="1420"/>
      <c r="S26" s="1420"/>
      <c r="T26" s="1420"/>
      <c r="U26" s="1420"/>
      <c r="V26" s="1420"/>
      <c r="W26" s="1420"/>
      <c r="X26" s="1420"/>
      <c r="Y26" s="1420"/>
      <c r="Z26" s="1420"/>
      <c r="AA26" s="1420"/>
      <c r="AB26" s="1420"/>
      <c r="AC26" s="1420"/>
      <c r="AD26" s="1420"/>
      <c r="AE26" s="1420"/>
      <c r="AF26" s="1420"/>
      <c r="AG26" s="1420"/>
      <c r="AH26" s="1420"/>
      <c r="AI26" s="1420"/>
      <c r="AJ26" s="1420"/>
      <c r="AK26" s="1420"/>
      <c r="AL26" s="1420"/>
      <c r="AM26" s="1420"/>
      <c r="AN26" s="1420"/>
      <c r="AO26" s="1420"/>
      <c r="AP26" s="1420"/>
      <c r="AQ26" s="1420"/>
      <c r="AR26" s="1420"/>
      <c r="AS26" s="1420"/>
      <c r="AT26" s="1420"/>
      <c r="AU26" s="1420"/>
      <c r="AV26" s="1420"/>
      <c r="AW26" s="1420"/>
      <c r="AX26" s="1420"/>
      <c r="AY26" s="1420"/>
      <c r="AZ26" s="1420"/>
      <c r="BA26" s="1420"/>
      <c r="BB26" s="1420"/>
      <c r="BC26" s="1420"/>
      <c r="BD26" s="1420"/>
      <c r="BE26" s="1420"/>
      <c r="BF26" s="1420"/>
      <c r="BG26" s="1420"/>
      <c r="BH26" s="1420"/>
      <c r="BI26" s="1420"/>
      <c r="BJ26" s="1420"/>
      <c r="BK26" s="1420"/>
      <c r="BL26" s="1420"/>
      <c r="BM26" s="1420"/>
    </row>
    <row r="27" spans="1:65" x14ac:dyDescent="0.3">
      <c r="A27" s="56"/>
      <c r="B27" s="1420"/>
      <c r="C27" s="1420"/>
      <c r="D27" s="1420"/>
      <c r="E27" s="1420"/>
      <c r="F27" s="1420"/>
      <c r="G27" s="1420"/>
      <c r="H27" s="1420"/>
      <c r="I27" s="1420"/>
      <c r="J27" s="1420"/>
      <c r="K27" s="1420"/>
      <c r="L27" s="1420"/>
      <c r="M27" s="1420"/>
      <c r="N27" s="1420"/>
      <c r="O27" s="1420"/>
      <c r="P27" s="1420"/>
      <c r="Q27" s="1420"/>
      <c r="R27" s="1420"/>
      <c r="S27" s="1420"/>
      <c r="T27" s="1420"/>
      <c r="U27" s="1420"/>
      <c r="V27" s="1420"/>
      <c r="W27" s="1420"/>
      <c r="X27" s="1420"/>
      <c r="Y27" s="1420"/>
      <c r="Z27" s="1420"/>
      <c r="AA27" s="1420"/>
      <c r="AB27" s="1420"/>
      <c r="AC27" s="1420"/>
      <c r="AD27" s="1420"/>
      <c r="AE27" s="1420"/>
      <c r="AF27" s="1420"/>
      <c r="AG27" s="1420"/>
      <c r="AH27" s="1420"/>
      <c r="AI27" s="1420"/>
      <c r="AJ27" s="1420"/>
      <c r="AK27" s="1420"/>
      <c r="AL27" s="1420"/>
      <c r="AM27" s="1420"/>
      <c r="AN27" s="1420"/>
      <c r="AO27" s="1420"/>
      <c r="AP27" s="1420"/>
      <c r="AQ27" s="1420"/>
      <c r="AR27" s="1420"/>
      <c r="AS27" s="1420"/>
      <c r="AT27" s="1420"/>
      <c r="AU27" s="1420"/>
      <c r="AV27" s="1420"/>
      <c r="AW27" s="1420"/>
      <c r="AX27" s="1420"/>
      <c r="AY27" s="1420"/>
      <c r="AZ27" s="1420"/>
      <c r="BA27" s="1420"/>
      <c r="BB27" s="1420"/>
      <c r="BC27" s="1420"/>
      <c r="BD27" s="1420"/>
      <c r="BE27" s="1420"/>
      <c r="BF27" s="1420"/>
      <c r="BG27" s="1420"/>
      <c r="BH27" s="1420"/>
      <c r="BI27" s="1420"/>
      <c r="BJ27" s="1420"/>
      <c r="BK27" s="1420"/>
      <c r="BL27" s="1420"/>
      <c r="BM27" s="1420"/>
    </row>
    <row r="28" spans="1:65" x14ac:dyDescent="0.3">
      <c r="A28" s="56"/>
      <c r="B28" s="1420"/>
      <c r="C28" s="1420"/>
      <c r="D28" s="1420"/>
      <c r="E28" s="1420"/>
      <c r="F28" s="1420"/>
      <c r="G28" s="1420"/>
      <c r="H28" s="1420"/>
      <c r="I28" s="1420"/>
      <c r="J28" s="1420"/>
      <c r="K28" s="1420"/>
      <c r="L28" s="1420"/>
      <c r="M28" s="1420"/>
      <c r="N28" s="1420"/>
      <c r="O28" s="1420"/>
      <c r="P28" s="1420"/>
      <c r="Q28" s="1420"/>
      <c r="R28" s="1420"/>
      <c r="S28" s="1420"/>
      <c r="T28" s="1420"/>
      <c r="U28" s="1420"/>
      <c r="V28" s="1420"/>
      <c r="W28" s="1420"/>
      <c r="X28" s="1420"/>
      <c r="Y28" s="1420"/>
      <c r="Z28" s="1420"/>
      <c r="AA28" s="1420"/>
      <c r="AB28" s="1420"/>
      <c r="AC28" s="1420"/>
      <c r="AD28" s="1420"/>
      <c r="AE28" s="1420"/>
      <c r="AF28" s="1420"/>
      <c r="AG28" s="1420"/>
      <c r="AH28" s="1420"/>
      <c r="AI28" s="1420"/>
      <c r="AJ28" s="1420"/>
      <c r="AK28" s="1420"/>
      <c r="AL28" s="1420"/>
      <c r="AM28" s="1420"/>
      <c r="AN28" s="1420"/>
      <c r="AO28" s="1420"/>
      <c r="AP28" s="1420"/>
      <c r="AQ28" s="1420"/>
      <c r="AR28" s="1420"/>
      <c r="AS28" s="1420"/>
      <c r="AT28" s="1420"/>
      <c r="AU28" s="1420"/>
      <c r="AV28" s="1420"/>
      <c r="AW28" s="1420"/>
      <c r="AX28" s="1420"/>
      <c r="AY28" s="1420"/>
      <c r="AZ28" s="1420"/>
      <c r="BA28" s="1420"/>
      <c r="BB28" s="1420"/>
      <c r="BC28" s="1420"/>
      <c r="BD28" s="1420"/>
      <c r="BE28" s="1420"/>
      <c r="BF28" s="1420"/>
      <c r="BG28" s="1420"/>
      <c r="BH28" s="1420"/>
      <c r="BI28" s="1420"/>
      <c r="BJ28" s="1420"/>
      <c r="BK28" s="1420"/>
      <c r="BL28" s="1420"/>
      <c r="BM28" s="1420"/>
    </row>
    <row r="29" spans="1:65" x14ac:dyDescent="0.3">
      <c r="A29" s="56"/>
      <c r="B29" s="1420"/>
      <c r="C29" s="1420"/>
      <c r="D29" s="1420"/>
      <c r="E29" s="1420"/>
      <c r="F29" s="1420"/>
      <c r="G29" s="1420"/>
      <c r="H29" s="1420"/>
      <c r="I29" s="1420"/>
      <c r="J29" s="1420"/>
      <c r="K29" s="1420"/>
      <c r="L29" s="1420"/>
      <c r="M29" s="1420"/>
      <c r="N29" s="1420"/>
      <c r="O29" s="1420"/>
      <c r="P29" s="1420"/>
      <c r="Q29" s="1420"/>
      <c r="R29" s="1420"/>
      <c r="S29" s="1420"/>
      <c r="T29" s="1420"/>
      <c r="U29" s="1420"/>
      <c r="V29" s="1420"/>
      <c r="W29" s="1420"/>
      <c r="X29" s="1420"/>
      <c r="Y29" s="1420"/>
      <c r="Z29" s="1420"/>
      <c r="AA29" s="1420"/>
      <c r="AB29" s="1420"/>
      <c r="AC29" s="1420"/>
      <c r="AD29" s="1420"/>
      <c r="AE29" s="1420"/>
      <c r="AF29" s="1420"/>
      <c r="AG29" s="1420"/>
      <c r="AH29" s="1420"/>
      <c r="AI29" s="1420"/>
      <c r="AJ29" s="1420"/>
      <c r="AK29" s="1420"/>
      <c r="AL29" s="1420"/>
      <c r="AM29" s="1420"/>
      <c r="AN29" s="1420"/>
      <c r="AO29" s="1420"/>
      <c r="AP29" s="1420"/>
      <c r="AQ29" s="1420"/>
      <c r="AR29" s="1420"/>
      <c r="AS29" s="1420"/>
      <c r="AT29" s="1420"/>
      <c r="AU29" s="1420"/>
      <c r="AV29" s="1420"/>
      <c r="AW29" s="1420"/>
      <c r="AX29" s="1420"/>
      <c r="AY29" s="1420"/>
      <c r="AZ29" s="1420"/>
      <c r="BA29" s="1420"/>
      <c r="BB29" s="1420"/>
      <c r="BC29" s="1420"/>
      <c r="BD29" s="1420"/>
      <c r="BE29" s="1420"/>
      <c r="BF29" s="1420"/>
      <c r="BG29" s="1420"/>
      <c r="BH29" s="1420"/>
      <c r="BI29" s="1420"/>
      <c r="BJ29" s="1420"/>
      <c r="BK29" s="1420"/>
      <c r="BL29" s="1420"/>
      <c r="BM29" s="1420"/>
    </row>
    <row r="30" spans="1:65" x14ac:dyDescent="0.3">
      <c r="A30" s="56"/>
      <c r="B30" s="1420"/>
      <c r="C30" s="1420"/>
      <c r="D30" s="1420"/>
      <c r="E30" s="1420"/>
      <c r="F30" s="1420"/>
      <c r="G30" s="1420"/>
      <c r="H30" s="1420"/>
      <c r="I30" s="1420"/>
      <c r="J30" s="1420"/>
      <c r="K30" s="1420"/>
      <c r="L30" s="1420"/>
      <c r="M30" s="1420"/>
      <c r="N30" s="1420"/>
      <c r="O30" s="1420"/>
      <c r="P30" s="1420"/>
      <c r="Q30" s="1420"/>
      <c r="R30" s="1420"/>
      <c r="S30" s="1420"/>
      <c r="T30" s="1420"/>
      <c r="U30" s="1420"/>
      <c r="V30" s="1420"/>
      <c r="W30" s="1420"/>
      <c r="X30" s="1420"/>
      <c r="Y30" s="1420"/>
      <c r="Z30" s="1420"/>
      <c r="AA30" s="1420"/>
      <c r="AB30" s="1420"/>
      <c r="AC30" s="1420"/>
      <c r="AD30" s="1420"/>
      <c r="AE30" s="1420"/>
      <c r="AF30" s="1420"/>
      <c r="AG30" s="1420"/>
      <c r="AH30" s="1420"/>
      <c r="AI30" s="1420"/>
      <c r="AJ30" s="1420"/>
      <c r="AK30" s="1420"/>
      <c r="AL30" s="1420"/>
      <c r="AM30" s="1420"/>
      <c r="AN30" s="1420"/>
      <c r="AO30" s="1420"/>
      <c r="AP30" s="1420"/>
      <c r="AQ30" s="1420"/>
      <c r="AR30" s="1420"/>
      <c r="AS30" s="1420"/>
      <c r="AT30" s="1420"/>
      <c r="AU30" s="1420"/>
      <c r="AV30" s="1420"/>
      <c r="AW30" s="1420"/>
      <c r="AX30" s="1420"/>
      <c r="AY30" s="1420"/>
      <c r="AZ30" s="1420"/>
      <c r="BA30" s="1420"/>
      <c r="BB30" s="1420"/>
      <c r="BC30" s="1420"/>
      <c r="BD30" s="1420"/>
      <c r="BE30" s="1420"/>
      <c r="BF30" s="1420"/>
      <c r="BG30" s="1420"/>
      <c r="BH30" s="1420"/>
      <c r="BI30" s="1420"/>
      <c r="BJ30" s="1420"/>
      <c r="BK30" s="1420"/>
      <c r="BL30" s="1420"/>
      <c r="BM30" s="1420"/>
    </row>
    <row r="31" spans="1:65" x14ac:dyDescent="0.3">
      <c r="A31" s="56"/>
      <c r="B31" s="1420"/>
      <c r="C31" s="1420"/>
      <c r="D31" s="1420"/>
      <c r="E31" s="1420"/>
      <c r="F31" s="1420"/>
      <c r="G31" s="1420"/>
      <c r="H31" s="1420"/>
      <c r="I31" s="1420"/>
      <c r="J31" s="1420"/>
      <c r="K31" s="1420"/>
      <c r="L31" s="1420"/>
      <c r="M31" s="1420"/>
      <c r="N31" s="1420"/>
      <c r="O31" s="1420"/>
      <c r="P31" s="1420"/>
      <c r="Q31" s="1420"/>
      <c r="R31" s="1420"/>
      <c r="S31" s="1420"/>
      <c r="T31" s="1420"/>
      <c r="U31" s="1420"/>
      <c r="V31" s="1420"/>
      <c r="W31" s="1420"/>
      <c r="X31" s="1420"/>
      <c r="Y31" s="1420"/>
      <c r="Z31" s="1420"/>
      <c r="AA31" s="1420"/>
      <c r="AB31" s="1420"/>
      <c r="AC31" s="1420"/>
      <c r="AD31" s="1420"/>
      <c r="AE31" s="1420"/>
      <c r="AF31" s="1420"/>
      <c r="AG31" s="1420"/>
      <c r="AH31" s="1420"/>
      <c r="AI31" s="1420"/>
      <c r="AJ31" s="1420"/>
      <c r="AK31" s="1420"/>
      <c r="AL31" s="1420"/>
      <c r="AM31" s="1420"/>
      <c r="AN31" s="1420"/>
      <c r="AO31" s="1420"/>
      <c r="AP31" s="1420"/>
      <c r="AQ31" s="1420"/>
      <c r="AR31" s="1420"/>
      <c r="AS31" s="1420"/>
      <c r="AT31" s="1420"/>
      <c r="AU31" s="1420"/>
      <c r="AV31" s="1420"/>
      <c r="AW31" s="1420"/>
      <c r="AX31" s="1420"/>
      <c r="AY31" s="1420"/>
      <c r="AZ31" s="1420"/>
      <c r="BA31" s="1420"/>
      <c r="BB31" s="1420"/>
      <c r="BC31" s="1420"/>
      <c r="BD31" s="1420"/>
      <c r="BE31" s="1420"/>
      <c r="BF31" s="1420"/>
      <c r="BG31" s="1420"/>
      <c r="BH31" s="1420"/>
      <c r="BI31" s="1420"/>
      <c r="BJ31" s="1420"/>
      <c r="BK31" s="1420"/>
      <c r="BL31" s="1420"/>
      <c r="BM31" s="1420"/>
    </row>
    <row r="32" spans="1:65" x14ac:dyDescent="0.3">
      <c r="A32" s="56"/>
      <c r="B32" s="1420"/>
      <c r="C32" s="1420"/>
      <c r="D32" s="1420"/>
      <c r="E32" s="1420"/>
      <c r="F32" s="1420"/>
      <c r="G32" s="1420"/>
      <c r="H32" s="1420"/>
      <c r="I32" s="1420"/>
      <c r="J32" s="1420"/>
      <c r="K32" s="1420"/>
      <c r="L32" s="1420"/>
      <c r="M32" s="1420"/>
      <c r="N32" s="1420"/>
      <c r="O32" s="1420"/>
      <c r="P32" s="1420"/>
      <c r="Q32" s="1420"/>
      <c r="R32" s="1420"/>
      <c r="S32" s="1420"/>
      <c r="T32" s="1420"/>
      <c r="U32" s="1420"/>
      <c r="V32" s="1420"/>
      <c r="W32" s="1420"/>
      <c r="X32" s="1420"/>
      <c r="Y32" s="1420"/>
      <c r="Z32" s="1420"/>
      <c r="AA32" s="1420"/>
      <c r="AB32" s="1420"/>
      <c r="AC32" s="1420"/>
      <c r="AD32" s="1420"/>
      <c r="AE32" s="1420"/>
      <c r="AF32" s="1420"/>
      <c r="AG32" s="1420"/>
      <c r="AH32" s="1420"/>
      <c r="AI32" s="1420"/>
      <c r="AJ32" s="1420"/>
      <c r="AK32" s="1420"/>
      <c r="AL32" s="1420"/>
      <c r="AM32" s="1420"/>
      <c r="AN32" s="1420"/>
      <c r="AO32" s="1420"/>
      <c r="AP32" s="1420"/>
      <c r="AQ32" s="1420"/>
      <c r="AR32" s="1420"/>
      <c r="AS32" s="1420"/>
      <c r="AT32" s="1420"/>
      <c r="AU32" s="1420"/>
      <c r="AV32" s="1420"/>
      <c r="AW32" s="1420"/>
      <c r="AX32" s="1420"/>
      <c r="AY32" s="1420"/>
      <c r="AZ32" s="1420"/>
      <c r="BA32" s="1420"/>
      <c r="BB32" s="1420"/>
      <c r="BC32" s="1420"/>
      <c r="BD32" s="1420"/>
      <c r="BE32" s="1420"/>
      <c r="BF32" s="1420"/>
      <c r="BG32" s="1420"/>
      <c r="BH32" s="1420"/>
      <c r="BI32" s="1420"/>
      <c r="BJ32" s="1420"/>
      <c r="BK32" s="1420"/>
      <c r="BL32" s="1420"/>
      <c r="BM32" s="1420"/>
    </row>
    <row r="33" spans="1:65" x14ac:dyDescent="0.3">
      <c r="A33" s="56"/>
      <c r="B33" s="1420"/>
      <c r="C33" s="1420"/>
      <c r="D33" s="1420"/>
      <c r="E33" s="1420"/>
      <c r="F33" s="1420"/>
      <c r="G33" s="1420"/>
      <c r="H33" s="1420"/>
      <c r="I33" s="1420"/>
      <c r="J33" s="1420"/>
      <c r="K33" s="1420"/>
      <c r="L33" s="1420"/>
      <c r="M33" s="1420"/>
      <c r="N33" s="1420"/>
      <c r="O33" s="1420"/>
      <c r="P33" s="1420"/>
      <c r="Q33" s="1420"/>
      <c r="R33" s="1420"/>
      <c r="S33" s="1420"/>
      <c r="T33" s="1420"/>
      <c r="U33" s="1420"/>
      <c r="V33" s="1420"/>
      <c r="W33" s="1420"/>
      <c r="X33" s="1420"/>
      <c r="Y33" s="1420"/>
      <c r="Z33" s="1420"/>
      <c r="AA33" s="1420"/>
      <c r="AB33" s="1420"/>
      <c r="AC33" s="1420"/>
      <c r="AD33" s="1420"/>
      <c r="AE33" s="1420"/>
      <c r="AF33" s="1420"/>
      <c r="AG33" s="1420"/>
      <c r="AH33" s="1420"/>
      <c r="AI33" s="1420"/>
      <c r="AJ33" s="1420"/>
      <c r="AK33" s="1420"/>
      <c r="AL33" s="1420"/>
      <c r="AM33" s="1420"/>
      <c r="AN33" s="1420"/>
      <c r="AO33" s="1420"/>
      <c r="AP33" s="1420"/>
      <c r="AQ33" s="1420"/>
      <c r="AR33" s="1420"/>
      <c r="AS33" s="1420"/>
      <c r="AT33" s="1420"/>
      <c r="AU33" s="1420"/>
      <c r="AV33" s="1420"/>
      <c r="AW33" s="1420"/>
      <c r="AX33" s="1420"/>
      <c r="AY33" s="1420"/>
      <c r="AZ33" s="1420"/>
      <c r="BA33" s="1420"/>
      <c r="BB33" s="1420"/>
      <c r="BC33" s="1420"/>
      <c r="BD33" s="1420"/>
      <c r="BE33" s="1420"/>
      <c r="BF33" s="1420"/>
      <c r="BG33" s="1420"/>
      <c r="BH33" s="1420"/>
      <c r="BI33" s="1420"/>
      <c r="BJ33" s="1420"/>
      <c r="BK33" s="1420"/>
      <c r="BL33" s="1420"/>
      <c r="BM33" s="1420"/>
    </row>
    <row r="34" spans="1:65" x14ac:dyDescent="0.3">
      <c r="A34" s="56"/>
      <c r="B34" s="1420"/>
      <c r="C34" s="1420"/>
      <c r="D34" s="1420"/>
      <c r="E34" s="1420"/>
      <c r="F34" s="1420"/>
      <c r="G34" s="1420"/>
      <c r="H34" s="1420"/>
      <c r="I34" s="1420"/>
      <c r="J34" s="1420"/>
      <c r="K34" s="1420"/>
      <c r="L34" s="1420"/>
      <c r="M34" s="1420"/>
      <c r="N34" s="1420"/>
      <c r="O34" s="1420"/>
      <c r="P34" s="1420"/>
      <c r="Q34" s="1420"/>
      <c r="R34" s="1420"/>
      <c r="S34" s="1420"/>
      <c r="T34" s="1420"/>
      <c r="U34" s="1420"/>
      <c r="V34" s="1420"/>
      <c r="W34" s="1420"/>
      <c r="X34" s="1420"/>
      <c r="Y34" s="1420"/>
      <c r="Z34" s="1420"/>
      <c r="AA34" s="1420"/>
      <c r="AB34" s="1420"/>
      <c r="AC34" s="1420"/>
      <c r="AD34" s="1420"/>
      <c r="AE34" s="1420"/>
      <c r="AF34" s="1420"/>
      <c r="AG34" s="1420"/>
      <c r="AH34" s="1420"/>
      <c r="AI34" s="1420"/>
      <c r="AJ34" s="1420"/>
      <c r="AK34" s="1420"/>
      <c r="AL34" s="1420"/>
      <c r="AM34" s="1420"/>
      <c r="AN34" s="1420"/>
      <c r="AO34" s="1420"/>
      <c r="AP34" s="1420"/>
      <c r="AQ34" s="1420"/>
      <c r="AR34" s="1420"/>
      <c r="AS34" s="1420"/>
      <c r="AT34" s="1420"/>
      <c r="AU34" s="1420"/>
      <c r="AV34" s="1420"/>
      <c r="AW34" s="1420"/>
      <c r="AX34" s="1420"/>
      <c r="AY34" s="1420"/>
      <c r="AZ34" s="1420"/>
      <c r="BA34" s="1420"/>
      <c r="BB34" s="1420"/>
      <c r="BC34" s="1420"/>
      <c r="BD34" s="1420"/>
      <c r="BE34" s="1420"/>
      <c r="BF34" s="1420"/>
      <c r="BG34" s="1420"/>
      <c r="BH34" s="1420"/>
      <c r="BI34" s="1420"/>
      <c r="BJ34" s="1420"/>
      <c r="BK34" s="1420"/>
      <c r="BL34" s="1420"/>
      <c r="BM34" s="1420"/>
    </row>
    <row r="35" spans="1:65" x14ac:dyDescent="0.3">
      <c r="A35" s="56"/>
      <c r="B35" s="1420"/>
      <c r="C35" s="1420"/>
      <c r="D35" s="1420"/>
      <c r="E35" s="1420"/>
      <c r="F35" s="1420"/>
      <c r="G35" s="1420"/>
      <c r="H35" s="1420"/>
      <c r="I35" s="1420"/>
      <c r="J35" s="1420"/>
      <c r="K35" s="1420"/>
      <c r="L35" s="1420"/>
      <c r="M35" s="1420"/>
      <c r="N35" s="1420"/>
      <c r="O35" s="1420"/>
      <c r="P35" s="1420"/>
      <c r="Q35" s="1420"/>
      <c r="R35" s="1420"/>
      <c r="S35" s="1420"/>
      <c r="T35" s="1420"/>
      <c r="U35" s="1420"/>
      <c r="V35" s="1420"/>
      <c r="W35" s="1420"/>
      <c r="X35" s="1420"/>
      <c r="Y35" s="1420"/>
      <c r="Z35" s="1420"/>
      <c r="AA35" s="1420"/>
      <c r="AB35" s="1420"/>
      <c r="AC35" s="1420"/>
      <c r="AD35" s="1420"/>
      <c r="AE35" s="1420"/>
      <c r="AF35" s="1420"/>
      <c r="AG35" s="1420"/>
      <c r="AH35" s="1420"/>
      <c r="AI35" s="1420"/>
      <c r="AJ35" s="1420"/>
      <c r="AK35" s="1420"/>
      <c r="AL35" s="1420"/>
      <c r="AM35" s="1420"/>
      <c r="AN35" s="1420"/>
      <c r="AO35" s="1420"/>
      <c r="AP35" s="1420"/>
      <c r="AQ35" s="1420"/>
      <c r="AR35" s="1420"/>
      <c r="AS35" s="1420"/>
      <c r="AT35" s="1420"/>
      <c r="AU35" s="1420"/>
      <c r="AV35" s="1420"/>
      <c r="AW35" s="1420"/>
      <c r="AX35" s="1420"/>
      <c r="AY35" s="1420"/>
      <c r="AZ35" s="1420"/>
      <c r="BA35" s="1420"/>
      <c r="BB35" s="1420"/>
      <c r="BC35" s="1420"/>
      <c r="BD35" s="1420"/>
      <c r="BE35" s="1420"/>
      <c r="BF35" s="1420"/>
      <c r="BG35" s="1420"/>
      <c r="BH35" s="1420"/>
      <c r="BI35" s="1420"/>
      <c r="BJ35" s="1420"/>
      <c r="BK35" s="1420"/>
      <c r="BL35" s="1420"/>
      <c r="BM35" s="1420"/>
    </row>
    <row r="36" spans="1:65" x14ac:dyDescent="0.3">
      <c r="A36" s="56"/>
      <c r="B36" s="1420"/>
      <c r="C36" s="1420"/>
      <c r="D36" s="1420"/>
      <c r="E36" s="1420"/>
      <c r="F36" s="1420"/>
      <c r="G36" s="1420"/>
      <c r="H36" s="1420"/>
      <c r="I36" s="1420"/>
      <c r="J36" s="1420"/>
      <c r="K36" s="1420"/>
      <c r="L36" s="1420"/>
      <c r="M36" s="1420"/>
      <c r="N36" s="1420"/>
      <c r="O36" s="1420"/>
      <c r="P36" s="1420"/>
      <c r="Q36" s="1420"/>
      <c r="R36" s="1420"/>
      <c r="S36" s="1420"/>
      <c r="T36" s="1420"/>
      <c r="U36" s="1420"/>
      <c r="V36" s="1420"/>
      <c r="W36" s="1420"/>
      <c r="X36" s="1420"/>
      <c r="Y36" s="1420"/>
      <c r="Z36" s="1420"/>
      <c r="AA36" s="1420"/>
      <c r="AB36" s="1420"/>
      <c r="AC36" s="1420"/>
      <c r="AD36" s="1420"/>
      <c r="AE36" s="1420"/>
      <c r="AF36" s="1420"/>
      <c r="AG36" s="1420"/>
      <c r="AH36" s="1420"/>
      <c r="AI36" s="1420"/>
      <c r="AJ36" s="1420"/>
      <c r="AK36" s="1420"/>
      <c r="AL36" s="1420"/>
      <c r="AM36" s="1420"/>
      <c r="AN36" s="1420"/>
      <c r="AO36" s="1420"/>
      <c r="AP36" s="1420"/>
      <c r="AQ36" s="1420"/>
      <c r="AR36" s="1420"/>
      <c r="AS36" s="1420"/>
      <c r="AT36" s="1420"/>
      <c r="AU36" s="1420"/>
      <c r="AV36" s="1420"/>
      <c r="AW36" s="1420"/>
      <c r="AX36" s="1420"/>
      <c r="AY36" s="1420"/>
      <c r="AZ36" s="1420"/>
      <c r="BA36" s="1420"/>
      <c r="BB36" s="1420"/>
      <c r="BC36" s="1420"/>
      <c r="BD36" s="1420"/>
      <c r="BE36" s="1420"/>
      <c r="BF36" s="1420"/>
      <c r="BG36" s="1420"/>
      <c r="BH36" s="1420"/>
      <c r="BI36" s="1420"/>
      <c r="BJ36" s="1420"/>
      <c r="BK36" s="1420"/>
      <c r="BL36" s="1420"/>
      <c r="BM36" s="1420"/>
    </row>
    <row r="37" spans="1:65" x14ac:dyDescent="0.3">
      <c r="A37" s="56"/>
      <c r="B37" s="1420"/>
      <c r="C37" s="1420"/>
      <c r="D37" s="1420"/>
      <c r="E37" s="1420"/>
      <c r="F37" s="1420"/>
      <c r="G37" s="1420"/>
      <c r="H37" s="1420"/>
      <c r="I37" s="1420"/>
      <c r="J37" s="1420"/>
      <c r="K37" s="1420"/>
      <c r="L37" s="1420"/>
      <c r="M37" s="1420"/>
      <c r="N37" s="1420"/>
      <c r="O37" s="1420"/>
      <c r="P37" s="1420"/>
      <c r="Q37" s="1420"/>
      <c r="R37" s="1420"/>
      <c r="S37" s="1420"/>
      <c r="T37" s="1420"/>
      <c r="U37" s="1420"/>
      <c r="V37" s="1420"/>
      <c r="W37" s="1420"/>
      <c r="X37" s="1420"/>
      <c r="Y37" s="1420"/>
      <c r="Z37" s="1420"/>
      <c r="AA37" s="1420"/>
      <c r="AB37" s="1420"/>
      <c r="AC37" s="1420"/>
      <c r="AD37" s="1420"/>
      <c r="AE37" s="1420"/>
      <c r="AF37" s="1420"/>
      <c r="AG37" s="1420"/>
      <c r="AH37" s="1420"/>
      <c r="AI37" s="1420"/>
      <c r="AJ37" s="1420"/>
      <c r="AK37" s="1420"/>
      <c r="AL37" s="1420"/>
      <c r="AM37" s="1420"/>
      <c r="AN37" s="1420"/>
      <c r="AO37" s="1420"/>
      <c r="AP37" s="1420"/>
      <c r="AQ37" s="1420"/>
      <c r="AR37" s="1420"/>
      <c r="AS37" s="1420"/>
      <c r="AT37" s="1420"/>
      <c r="AU37" s="1420"/>
      <c r="AV37" s="1420"/>
      <c r="AW37" s="1420"/>
      <c r="AX37" s="1420"/>
      <c r="AY37" s="1420"/>
      <c r="AZ37" s="1420"/>
      <c r="BA37" s="1420"/>
      <c r="BB37" s="1420"/>
      <c r="BC37" s="1420"/>
      <c r="BD37" s="1420"/>
      <c r="BE37" s="1420"/>
      <c r="BF37" s="1420"/>
      <c r="BG37" s="1420"/>
      <c r="BH37" s="1420"/>
      <c r="BI37" s="1420"/>
      <c r="BJ37" s="1420"/>
      <c r="BK37" s="1420"/>
      <c r="BL37" s="1420"/>
      <c r="BM37" s="1420"/>
    </row>
    <row r="38" spans="1:65" x14ac:dyDescent="0.3">
      <c r="A38" s="56"/>
      <c r="B38" s="1420"/>
      <c r="C38" s="1420"/>
      <c r="D38" s="1420"/>
      <c r="E38" s="1420"/>
      <c r="F38" s="1420"/>
      <c r="G38" s="1420"/>
      <c r="H38" s="1420"/>
      <c r="I38" s="1420"/>
      <c r="J38" s="1420"/>
      <c r="K38" s="1420"/>
      <c r="L38" s="1420"/>
      <c r="M38" s="1420"/>
      <c r="N38" s="1420"/>
      <c r="O38" s="1420"/>
      <c r="P38" s="1420"/>
      <c r="Q38" s="1420"/>
      <c r="R38" s="1420"/>
      <c r="S38" s="1420"/>
      <c r="T38" s="1420"/>
      <c r="U38" s="1420"/>
      <c r="V38" s="1420"/>
      <c r="W38" s="1420"/>
      <c r="X38" s="1420"/>
      <c r="Y38" s="1420"/>
      <c r="Z38" s="1420"/>
      <c r="AA38" s="1420"/>
      <c r="AB38" s="1420"/>
      <c r="AC38" s="1420"/>
      <c r="AD38" s="1420"/>
      <c r="AE38" s="1420"/>
      <c r="AF38" s="1420"/>
      <c r="AG38" s="1420"/>
      <c r="AH38" s="1420"/>
      <c r="AI38" s="1420"/>
      <c r="AJ38" s="1420"/>
      <c r="AK38" s="1420"/>
      <c r="AL38" s="1420"/>
      <c r="AM38" s="1420"/>
      <c r="AN38" s="1420"/>
      <c r="AO38" s="1420"/>
      <c r="AP38" s="1420"/>
      <c r="AQ38" s="1420"/>
      <c r="AR38" s="1420"/>
      <c r="AS38" s="1420"/>
      <c r="AT38" s="1420"/>
      <c r="AU38" s="1420"/>
      <c r="AV38" s="1420"/>
      <c r="AW38" s="1420"/>
      <c r="AX38" s="1420"/>
      <c r="AY38" s="1420"/>
      <c r="AZ38" s="1420"/>
      <c r="BA38" s="1420"/>
      <c r="BB38" s="1420"/>
      <c r="BC38" s="1420"/>
      <c r="BD38" s="1420"/>
      <c r="BE38" s="1420"/>
      <c r="BF38" s="1420"/>
      <c r="BG38" s="1420"/>
      <c r="BH38" s="1420"/>
      <c r="BI38" s="1420"/>
      <c r="BJ38" s="1420"/>
      <c r="BK38" s="1420"/>
      <c r="BL38" s="1420"/>
      <c r="BM38" s="1420"/>
    </row>
    <row r="39" spans="1:65" x14ac:dyDescent="0.3">
      <c r="A39" s="56"/>
      <c r="B39" s="1420"/>
      <c r="C39" s="1420"/>
      <c r="D39" s="1420"/>
      <c r="E39" s="1420"/>
      <c r="F39" s="1420"/>
      <c r="G39" s="1420"/>
      <c r="H39" s="1420"/>
      <c r="I39" s="1420"/>
      <c r="J39" s="1420"/>
      <c r="K39" s="1420"/>
      <c r="L39" s="1420"/>
      <c r="M39" s="1420"/>
      <c r="N39" s="1420"/>
      <c r="O39" s="1420"/>
      <c r="P39" s="1420"/>
      <c r="Q39" s="1420"/>
      <c r="R39" s="1420"/>
      <c r="S39" s="1420"/>
      <c r="T39" s="1420"/>
      <c r="U39" s="1420"/>
      <c r="V39" s="1420"/>
      <c r="W39" s="1420"/>
      <c r="X39" s="1420"/>
      <c r="Y39" s="1420"/>
      <c r="Z39" s="1420"/>
      <c r="AA39" s="1420"/>
      <c r="AB39" s="1420"/>
      <c r="AC39" s="1420"/>
      <c r="AD39" s="1420"/>
      <c r="AE39" s="1420"/>
      <c r="AF39" s="1420"/>
      <c r="AG39" s="1420"/>
      <c r="AH39" s="1420"/>
      <c r="AI39" s="1420"/>
      <c r="AJ39" s="1420"/>
      <c r="AK39" s="1420"/>
      <c r="AL39" s="1420"/>
      <c r="AM39" s="1420"/>
      <c r="AN39" s="1420"/>
      <c r="AO39" s="1420"/>
      <c r="AP39" s="1420"/>
      <c r="AQ39" s="1420"/>
      <c r="AR39" s="1420"/>
      <c r="AS39" s="1420"/>
      <c r="AT39" s="1420"/>
      <c r="AU39" s="1420"/>
      <c r="AV39" s="1420"/>
      <c r="AW39" s="1420"/>
      <c r="AX39" s="1420"/>
      <c r="AY39" s="1420"/>
      <c r="AZ39" s="1420"/>
      <c r="BA39" s="1420"/>
      <c r="BB39" s="1420"/>
      <c r="BC39" s="1420"/>
      <c r="BD39" s="1420"/>
      <c r="BE39" s="1420"/>
      <c r="BF39" s="1420"/>
      <c r="BG39" s="1420"/>
      <c r="BH39" s="1420"/>
      <c r="BI39" s="1420"/>
      <c r="BJ39" s="1420"/>
      <c r="BK39" s="1420"/>
      <c r="BL39" s="1420"/>
      <c r="BM39" s="1420"/>
    </row>
    <row r="40" spans="1:65" x14ac:dyDescent="0.3">
      <c r="A40" s="56"/>
      <c r="B40" s="1420"/>
      <c r="C40" s="1420"/>
      <c r="D40" s="1420"/>
      <c r="E40" s="1420"/>
      <c r="F40" s="1420"/>
      <c r="G40" s="1420"/>
      <c r="H40" s="1420"/>
      <c r="I40" s="1420"/>
      <c r="J40" s="1420"/>
      <c r="K40" s="1420"/>
      <c r="L40" s="1420"/>
      <c r="M40" s="1420"/>
      <c r="N40" s="1420"/>
      <c r="O40" s="1420"/>
      <c r="P40" s="1420"/>
      <c r="Q40" s="1420"/>
      <c r="R40" s="1420"/>
      <c r="S40" s="1420"/>
      <c r="T40" s="1420"/>
      <c r="U40" s="1420"/>
      <c r="V40" s="1420"/>
      <c r="W40" s="1420"/>
      <c r="X40" s="1420"/>
      <c r="Y40" s="1420"/>
      <c r="Z40" s="1420"/>
      <c r="AA40" s="1420"/>
      <c r="AB40" s="1420"/>
      <c r="AC40" s="1420"/>
      <c r="AD40" s="1420"/>
      <c r="AE40" s="1420"/>
      <c r="AF40" s="1420"/>
      <c r="AG40" s="1420"/>
      <c r="AH40" s="1420"/>
      <c r="AI40" s="1420"/>
      <c r="AJ40" s="1420"/>
      <c r="AK40" s="1420"/>
      <c r="AL40" s="1420"/>
      <c r="AM40" s="1420"/>
      <c r="AN40" s="1420"/>
      <c r="AO40" s="1420"/>
      <c r="AP40" s="1420"/>
      <c r="AQ40" s="1420"/>
      <c r="AR40" s="1420"/>
      <c r="AS40" s="1420"/>
      <c r="AT40" s="1420"/>
      <c r="AU40" s="1420"/>
      <c r="AV40" s="1420"/>
      <c r="AW40" s="1420"/>
      <c r="AX40" s="1420"/>
      <c r="AY40" s="1420"/>
      <c r="AZ40" s="1420"/>
      <c r="BA40" s="1420"/>
      <c r="BB40" s="1420"/>
      <c r="BC40" s="1420"/>
      <c r="BD40" s="1420"/>
      <c r="BE40" s="1420"/>
      <c r="BF40" s="1420"/>
      <c r="BG40" s="1420"/>
      <c r="BH40" s="1420"/>
      <c r="BI40" s="1420"/>
      <c r="BJ40" s="1420"/>
      <c r="BK40" s="1420"/>
      <c r="BL40" s="1420"/>
      <c r="BM40" s="1420"/>
    </row>
    <row r="41" spans="1:65" x14ac:dyDescent="0.3">
      <c r="A41" s="56"/>
      <c r="B41" s="1420"/>
      <c r="C41" s="1420"/>
      <c r="D41" s="1420"/>
      <c r="E41" s="1420"/>
      <c r="F41" s="1420"/>
      <c r="G41" s="1420"/>
      <c r="H41" s="1420"/>
      <c r="I41" s="1420"/>
      <c r="J41" s="1420"/>
      <c r="K41" s="1420"/>
      <c r="L41" s="1420"/>
      <c r="M41" s="1420"/>
      <c r="N41" s="1420"/>
      <c r="O41" s="1420"/>
      <c r="P41" s="1420"/>
      <c r="Q41" s="1420"/>
      <c r="R41" s="1420"/>
      <c r="S41" s="1420"/>
      <c r="T41" s="1420"/>
      <c r="U41" s="1420"/>
      <c r="V41" s="1420"/>
      <c r="W41" s="1420"/>
      <c r="X41" s="1420"/>
      <c r="Y41" s="1420"/>
      <c r="Z41" s="1420"/>
      <c r="AA41" s="1420"/>
      <c r="AB41" s="1420"/>
      <c r="AC41" s="1420"/>
      <c r="AD41" s="1420"/>
      <c r="AE41" s="1420"/>
      <c r="AF41" s="1420"/>
      <c r="AG41" s="1420"/>
      <c r="AH41" s="1420"/>
      <c r="AI41" s="1420"/>
      <c r="AJ41" s="1420"/>
      <c r="AK41" s="1420"/>
      <c r="AL41" s="1420"/>
      <c r="AM41" s="1420"/>
      <c r="AN41" s="1420"/>
      <c r="AO41" s="1420"/>
      <c r="AP41" s="1420"/>
      <c r="AQ41" s="1420"/>
      <c r="AR41" s="1420"/>
      <c r="AS41" s="1420"/>
      <c r="AT41" s="1420"/>
      <c r="AU41" s="1420"/>
      <c r="AV41" s="1420"/>
      <c r="AW41" s="1420"/>
      <c r="AX41" s="1420"/>
      <c r="AY41" s="1420"/>
      <c r="AZ41" s="1420"/>
      <c r="BA41" s="1420"/>
      <c r="BB41" s="1420"/>
      <c r="BC41" s="1420"/>
      <c r="BD41" s="1420"/>
      <c r="BE41" s="1420"/>
      <c r="BF41" s="1420"/>
      <c r="BG41" s="1420"/>
      <c r="BH41" s="1420"/>
      <c r="BI41" s="1420"/>
      <c r="BJ41" s="1420"/>
      <c r="BK41" s="1420"/>
      <c r="BL41" s="1420"/>
      <c r="BM41" s="1420"/>
    </row>
    <row r="42" spans="1:65" x14ac:dyDescent="0.3">
      <c r="A42" s="56"/>
      <c r="B42" s="1420"/>
      <c r="C42" s="1420"/>
      <c r="D42" s="1420"/>
      <c r="E42" s="1420"/>
      <c r="F42" s="1420"/>
      <c r="G42" s="1420"/>
      <c r="H42" s="1420"/>
      <c r="I42" s="1420"/>
      <c r="J42" s="1420"/>
      <c r="K42" s="1420"/>
      <c r="L42" s="1420"/>
      <c r="M42" s="1420"/>
      <c r="N42" s="1420"/>
      <c r="O42" s="1420"/>
      <c r="P42" s="1420"/>
      <c r="Q42" s="1420"/>
      <c r="R42" s="1420"/>
      <c r="S42" s="1420"/>
      <c r="T42" s="1420"/>
      <c r="U42" s="1420"/>
      <c r="V42" s="1420"/>
      <c r="W42" s="1420"/>
      <c r="X42" s="1420"/>
      <c r="Y42" s="1420"/>
      <c r="Z42" s="1420"/>
      <c r="AA42" s="1420"/>
      <c r="AB42" s="1420"/>
      <c r="AC42" s="1420"/>
      <c r="AD42" s="1420"/>
      <c r="AE42" s="1420"/>
      <c r="AF42" s="1420"/>
      <c r="AG42" s="1420"/>
      <c r="AH42" s="1420"/>
      <c r="AI42" s="1420"/>
      <c r="AJ42" s="1420"/>
      <c r="AK42" s="1420"/>
      <c r="AL42" s="1420"/>
      <c r="AM42" s="1420"/>
      <c r="AN42" s="1420"/>
      <c r="AO42" s="1420"/>
      <c r="AP42" s="1420"/>
      <c r="AQ42" s="1420"/>
      <c r="AR42" s="1420"/>
      <c r="AS42" s="1420"/>
      <c r="AT42" s="1420"/>
      <c r="AU42" s="1420"/>
      <c r="AV42" s="1420"/>
      <c r="AW42" s="1420"/>
      <c r="AX42" s="1420"/>
      <c r="AY42" s="1420"/>
      <c r="AZ42" s="1420"/>
      <c r="BA42" s="1420"/>
      <c r="BB42" s="1420"/>
      <c r="BC42" s="1420"/>
      <c r="BD42" s="1420"/>
      <c r="BE42" s="1420"/>
      <c r="BF42" s="1420"/>
      <c r="BG42" s="1420"/>
      <c r="BH42" s="1420"/>
      <c r="BI42" s="1420"/>
      <c r="BJ42" s="1420"/>
      <c r="BK42" s="1420"/>
      <c r="BL42" s="1420"/>
      <c r="BM42" s="1420"/>
    </row>
    <row r="43" spans="1:65" x14ac:dyDescent="0.3">
      <c r="A43" s="56"/>
      <c r="B43" s="1420"/>
      <c r="C43" s="1420"/>
      <c r="D43" s="1420"/>
      <c r="E43" s="1420"/>
      <c r="F43" s="1420"/>
      <c r="G43" s="1420"/>
      <c r="H43" s="1420"/>
      <c r="I43" s="1420"/>
      <c r="J43" s="1420"/>
      <c r="K43" s="1420"/>
      <c r="L43" s="1420"/>
      <c r="M43" s="1420"/>
      <c r="N43" s="1420"/>
      <c r="O43" s="1420"/>
      <c r="P43" s="1420"/>
      <c r="Q43" s="1420"/>
      <c r="R43" s="1420"/>
      <c r="S43" s="1420"/>
      <c r="T43" s="1420"/>
      <c r="U43" s="1420"/>
      <c r="V43" s="1420"/>
      <c r="W43" s="1420"/>
      <c r="X43" s="1420"/>
      <c r="Y43" s="1420"/>
      <c r="Z43" s="1420"/>
      <c r="AA43" s="1420"/>
      <c r="AB43" s="1420"/>
      <c r="AC43" s="1420"/>
      <c r="AD43" s="1420"/>
      <c r="AE43" s="1420"/>
      <c r="AF43" s="1420"/>
      <c r="AG43" s="1420"/>
      <c r="AH43" s="1420"/>
      <c r="AI43" s="1420"/>
      <c r="AJ43" s="1420"/>
      <c r="AK43" s="1420"/>
      <c r="AL43" s="1420"/>
      <c r="AM43" s="1420"/>
      <c r="AN43" s="1420"/>
      <c r="AO43" s="1420"/>
      <c r="AP43" s="1420"/>
      <c r="AQ43" s="1420"/>
      <c r="AR43" s="1420"/>
      <c r="AS43" s="1420"/>
      <c r="AT43" s="1420"/>
      <c r="AU43" s="1420"/>
      <c r="AV43" s="1420"/>
      <c r="AW43" s="1420"/>
      <c r="AX43" s="1420"/>
      <c r="AY43" s="1420"/>
      <c r="AZ43" s="1420"/>
      <c r="BA43" s="1420"/>
      <c r="BB43" s="1420"/>
      <c r="BC43" s="1420"/>
      <c r="BD43" s="1420"/>
      <c r="BE43" s="1420"/>
      <c r="BF43" s="1420"/>
      <c r="BG43" s="1420"/>
      <c r="BH43" s="1420"/>
      <c r="BI43" s="1420"/>
      <c r="BJ43" s="1420"/>
      <c r="BK43" s="1420"/>
      <c r="BL43" s="1420"/>
      <c r="BM43" s="1420"/>
    </row>
    <row r="44" spans="1:65" x14ac:dyDescent="0.3">
      <c r="A44" s="56"/>
      <c r="B44" s="1420"/>
      <c r="C44" s="1420"/>
      <c r="D44" s="1420"/>
      <c r="E44" s="1420"/>
      <c r="F44" s="1420"/>
      <c r="G44" s="1420"/>
      <c r="H44" s="1420"/>
      <c r="I44" s="1420"/>
      <c r="J44" s="1420"/>
      <c r="K44" s="1420"/>
      <c r="L44" s="1420"/>
      <c r="M44" s="1420"/>
      <c r="N44" s="1420"/>
      <c r="O44" s="1420"/>
      <c r="P44" s="1420"/>
      <c r="Q44" s="1420"/>
      <c r="R44" s="1420"/>
      <c r="S44" s="1420"/>
      <c r="T44" s="1420"/>
      <c r="U44" s="1420"/>
      <c r="V44" s="1420"/>
      <c r="W44" s="1420"/>
      <c r="X44" s="1420"/>
      <c r="Y44" s="1420"/>
      <c r="Z44" s="1420"/>
      <c r="AA44" s="1420"/>
      <c r="AB44" s="1420"/>
      <c r="AC44" s="1420"/>
      <c r="AD44" s="1420"/>
      <c r="AE44" s="1420"/>
      <c r="AF44" s="1420"/>
      <c r="AG44" s="1420"/>
      <c r="AH44" s="1420"/>
      <c r="AI44" s="1420"/>
      <c r="AJ44" s="1420"/>
      <c r="AK44" s="1420"/>
      <c r="AL44" s="1420"/>
      <c r="AM44" s="1420"/>
      <c r="AN44" s="1420"/>
      <c r="AO44" s="1420"/>
      <c r="AP44" s="1420"/>
      <c r="AQ44" s="1420"/>
      <c r="AR44" s="1420"/>
      <c r="AS44" s="1420"/>
      <c r="AT44" s="1420"/>
      <c r="AU44" s="1420"/>
      <c r="AV44" s="1420"/>
      <c r="AW44" s="1420"/>
      <c r="AX44" s="1420"/>
      <c r="AY44" s="1420"/>
      <c r="AZ44" s="1420"/>
      <c r="BA44" s="1420"/>
      <c r="BB44" s="1420"/>
      <c r="BC44" s="1420"/>
      <c r="BD44" s="1420"/>
      <c r="BE44" s="1420"/>
      <c r="BF44" s="1420"/>
      <c r="BG44" s="1420"/>
      <c r="BH44" s="1420"/>
      <c r="BI44" s="1420"/>
      <c r="BJ44" s="1420"/>
      <c r="BK44" s="1420"/>
      <c r="BL44" s="1420"/>
      <c r="BM44" s="1420"/>
    </row>
    <row r="45" spans="1:65" x14ac:dyDescent="0.3">
      <c r="A45" s="56"/>
      <c r="B45" s="1420"/>
      <c r="C45" s="1420"/>
      <c r="D45" s="1420"/>
      <c r="E45" s="1420"/>
      <c r="F45" s="1420"/>
      <c r="G45" s="1420"/>
      <c r="H45" s="1420"/>
      <c r="I45" s="1420"/>
      <c r="J45" s="1420"/>
      <c r="K45" s="1420"/>
      <c r="L45" s="1420"/>
      <c r="M45" s="1420"/>
      <c r="N45" s="1420"/>
      <c r="O45" s="1420"/>
      <c r="P45" s="1420"/>
      <c r="Q45" s="1420"/>
      <c r="R45" s="1420"/>
      <c r="S45" s="1420"/>
      <c r="T45" s="1420"/>
      <c r="U45" s="1420"/>
      <c r="V45" s="1420"/>
      <c r="W45" s="1420"/>
      <c r="X45" s="1420"/>
      <c r="Y45" s="1420"/>
      <c r="Z45" s="1420"/>
      <c r="AA45" s="1420"/>
      <c r="AB45" s="1420"/>
      <c r="AC45" s="1420"/>
      <c r="AD45" s="1420"/>
      <c r="AE45" s="1420"/>
      <c r="AF45" s="1420"/>
      <c r="AG45" s="1420"/>
      <c r="AH45" s="1420"/>
      <c r="AI45" s="1420"/>
      <c r="AJ45" s="1420"/>
      <c r="AK45" s="1420"/>
      <c r="AL45" s="1420"/>
      <c r="AM45" s="1420"/>
      <c r="AN45" s="1420"/>
      <c r="AO45" s="1420"/>
      <c r="AP45" s="1420"/>
      <c r="AQ45" s="1420"/>
      <c r="AR45" s="1420"/>
      <c r="AS45" s="1420"/>
      <c r="AT45" s="1420"/>
      <c r="AU45" s="1420"/>
      <c r="AV45" s="1420"/>
      <c r="AW45" s="1420"/>
      <c r="AX45" s="1420"/>
      <c r="AY45" s="1420"/>
      <c r="AZ45" s="1420"/>
      <c r="BA45" s="1420"/>
      <c r="BB45" s="1420"/>
      <c r="BC45" s="1420"/>
      <c r="BD45" s="1420"/>
      <c r="BE45" s="1420"/>
      <c r="BF45" s="1420"/>
      <c r="BG45" s="1420"/>
      <c r="BH45" s="1420"/>
      <c r="BI45" s="1420"/>
      <c r="BJ45" s="1420"/>
      <c r="BK45" s="1420"/>
      <c r="BL45" s="1420"/>
      <c r="BM45" s="1420"/>
    </row>
    <row r="46" spans="1:65" x14ac:dyDescent="0.3">
      <c r="A46" s="56"/>
      <c r="B46" s="1420"/>
      <c r="C46" s="1420"/>
      <c r="D46" s="1420"/>
      <c r="E46" s="1420"/>
      <c r="F46" s="1420"/>
      <c r="G46" s="1420"/>
      <c r="H46" s="1420"/>
      <c r="I46" s="1420"/>
      <c r="J46" s="1420"/>
      <c r="K46" s="1420"/>
      <c r="L46" s="1420"/>
      <c r="M46" s="1420"/>
      <c r="N46" s="1420"/>
      <c r="O46" s="1420"/>
      <c r="P46" s="1420"/>
      <c r="Q46" s="1420"/>
      <c r="R46" s="1420"/>
      <c r="S46" s="1420"/>
      <c r="T46" s="1420"/>
      <c r="U46" s="1420"/>
      <c r="V46" s="1420"/>
      <c r="W46" s="1420"/>
      <c r="X46" s="1420"/>
      <c r="Y46" s="1420"/>
      <c r="Z46" s="1420"/>
      <c r="AA46" s="1420"/>
      <c r="AB46" s="1420"/>
      <c r="AC46" s="1420"/>
      <c r="AD46" s="1420"/>
      <c r="AE46" s="1420"/>
      <c r="AF46" s="1420"/>
      <c r="AG46" s="1420"/>
      <c r="AH46" s="1420"/>
      <c r="AI46" s="1420"/>
      <c r="AJ46" s="1420"/>
      <c r="AK46" s="1420"/>
      <c r="AL46" s="1420"/>
      <c r="AM46" s="1420"/>
      <c r="AN46" s="1420"/>
      <c r="AO46" s="1420"/>
      <c r="AP46" s="1420"/>
      <c r="AQ46" s="1420"/>
      <c r="AR46" s="1420"/>
      <c r="AS46" s="1420"/>
      <c r="AT46" s="1420"/>
      <c r="AU46" s="1420"/>
      <c r="AV46" s="1420"/>
      <c r="AW46" s="1420"/>
      <c r="AX46" s="1420"/>
      <c r="AY46" s="1420"/>
      <c r="AZ46" s="1420"/>
      <c r="BA46" s="1420"/>
      <c r="BB46" s="1420"/>
      <c r="BC46" s="1420"/>
      <c r="BD46" s="1420"/>
      <c r="BE46" s="1420"/>
      <c r="BF46" s="1420"/>
      <c r="BG46" s="1420"/>
      <c r="BH46" s="1420"/>
      <c r="BI46" s="1420"/>
      <c r="BJ46" s="1420"/>
      <c r="BK46" s="1420"/>
      <c r="BL46" s="1420"/>
      <c r="BM46" s="1420"/>
    </row>
    <row r="47" spans="1:65" x14ac:dyDescent="0.3">
      <c r="A47" s="56"/>
      <c r="B47" s="1420"/>
      <c r="C47" s="1420"/>
      <c r="D47" s="1420"/>
      <c r="E47" s="1420"/>
      <c r="F47" s="1420"/>
      <c r="G47" s="1420"/>
      <c r="H47" s="1420"/>
      <c r="I47" s="1420"/>
      <c r="J47" s="1420"/>
      <c r="K47" s="1420"/>
      <c r="L47" s="1420"/>
      <c r="M47" s="1420"/>
      <c r="N47" s="1420"/>
      <c r="O47" s="1420"/>
      <c r="P47" s="1420"/>
      <c r="Q47" s="1420"/>
      <c r="R47" s="1420"/>
      <c r="S47" s="1420"/>
      <c r="T47" s="1420"/>
      <c r="U47" s="1420"/>
      <c r="V47" s="1420"/>
      <c r="W47" s="1420"/>
      <c r="X47" s="1420"/>
      <c r="Y47" s="1420"/>
      <c r="Z47" s="1420"/>
      <c r="AA47" s="1420"/>
      <c r="AB47" s="1420"/>
      <c r="AC47" s="1420"/>
      <c r="AD47" s="1420"/>
      <c r="AE47" s="1420"/>
      <c r="AF47" s="1420"/>
      <c r="AG47" s="1420"/>
      <c r="AH47" s="1420"/>
      <c r="AI47" s="1420"/>
      <c r="AJ47" s="1420"/>
      <c r="AK47" s="1420"/>
      <c r="AL47" s="1420"/>
      <c r="AM47" s="1420"/>
      <c r="AN47" s="1420"/>
      <c r="AO47" s="1420"/>
      <c r="AP47" s="1420"/>
      <c r="AQ47" s="1420"/>
      <c r="AR47" s="1420"/>
      <c r="AS47" s="1420"/>
      <c r="AT47" s="1420"/>
      <c r="AU47" s="1420"/>
      <c r="AV47" s="1420"/>
      <c r="AW47" s="1420"/>
      <c r="AX47" s="1420"/>
      <c r="AY47" s="1420"/>
      <c r="AZ47" s="1420"/>
      <c r="BA47" s="1420"/>
      <c r="BB47" s="1420"/>
      <c r="BC47" s="1420"/>
      <c r="BD47" s="1420"/>
      <c r="BE47" s="1420"/>
      <c r="BF47" s="1420"/>
      <c r="BG47" s="1420"/>
      <c r="BH47" s="1420"/>
      <c r="BI47" s="1420"/>
      <c r="BJ47" s="1420"/>
      <c r="BK47" s="1420"/>
      <c r="BL47" s="1420"/>
      <c r="BM47" s="1420"/>
    </row>
    <row r="48" spans="1:65" x14ac:dyDescent="0.3">
      <c r="A48" s="56"/>
      <c r="B48" s="1420"/>
      <c r="C48" s="1420"/>
      <c r="D48" s="1420"/>
      <c r="E48" s="1420"/>
      <c r="F48" s="1420"/>
      <c r="G48" s="1420"/>
      <c r="H48" s="1420"/>
      <c r="I48" s="1420"/>
      <c r="J48" s="1420"/>
      <c r="K48" s="1420"/>
      <c r="L48" s="1420"/>
      <c r="M48" s="1420"/>
      <c r="N48" s="1420"/>
      <c r="O48" s="1420"/>
      <c r="P48" s="1420"/>
      <c r="Q48" s="1420"/>
      <c r="R48" s="1420"/>
      <c r="S48" s="1420"/>
      <c r="T48" s="1420"/>
      <c r="U48" s="1420"/>
      <c r="V48" s="1420"/>
      <c r="W48" s="1420"/>
      <c r="X48" s="1420"/>
      <c r="Y48" s="1420"/>
      <c r="Z48" s="1420"/>
      <c r="AA48" s="1420"/>
      <c r="AB48" s="1420"/>
      <c r="AC48" s="1420"/>
      <c r="AD48" s="1420"/>
      <c r="AE48" s="1420"/>
      <c r="AF48" s="1420"/>
      <c r="AG48" s="1420"/>
      <c r="AH48" s="1420"/>
      <c r="AI48" s="1420"/>
      <c r="AJ48" s="1420"/>
      <c r="AK48" s="1420"/>
      <c r="AL48" s="1420"/>
      <c r="AM48" s="1420"/>
      <c r="AN48" s="1420"/>
      <c r="AO48" s="1420"/>
      <c r="AP48" s="1420"/>
      <c r="AQ48" s="1420"/>
      <c r="AR48" s="1420"/>
      <c r="AS48" s="1420"/>
      <c r="AT48" s="1420"/>
      <c r="AU48" s="1420"/>
      <c r="AV48" s="1420"/>
      <c r="AW48" s="1420"/>
      <c r="AX48" s="1420"/>
      <c r="AY48" s="1420"/>
      <c r="AZ48" s="1420"/>
      <c r="BA48" s="1420"/>
      <c r="BB48" s="1420"/>
      <c r="BC48" s="1420"/>
      <c r="BD48" s="1420"/>
      <c r="BE48" s="1420"/>
      <c r="BF48" s="1420"/>
      <c r="BG48" s="1420"/>
      <c r="BH48" s="1420"/>
      <c r="BI48" s="1420"/>
      <c r="BJ48" s="1420"/>
      <c r="BK48" s="1420"/>
      <c r="BL48" s="1420"/>
      <c r="BM48" s="1420"/>
    </row>
    <row r="49" spans="1:65" x14ac:dyDescent="0.3">
      <c r="A49" s="56"/>
      <c r="B49" s="1420"/>
      <c r="C49" s="1420"/>
      <c r="D49" s="1420"/>
      <c r="E49" s="1420"/>
      <c r="F49" s="1420"/>
      <c r="G49" s="1420"/>
      <c r="H49" s="1420"/>
      <c r="I49" s="1420"/>
      <c r="J49" s="1420"/>
      <c r="K49" s="1420"/>
      <c r="L49" s="1420"/>
      <c r="M49" s="1420"/>
      <c r="N49" s="1420"/>
      <c r="O49" s="1420"/>
      <c r="P49" s="1420"/>
      <c r="Q49" s="1420"/>
      <c r="R49" s="1420"/>
      <c r="S49" s="1420"/>
      <c r="T49" s="1420"/>
      <c r="U49" s="1420"/>
      <c r="V49" s="1420"/>
      <c r="W49" s="1420"/>
      <c r="X49" s="1420"/>
      <c r="Y49" s="1420"/>
      <c r="Z49" s="1420"/>
      <c r="AA49" s="1420"/>
      <c r="AB49" s="1420"/>
      <c r="AC49" s="1420"/>
      <c r="AD49" s="1420"/>
      <c r="AE49" s="1420"/>
      <c r="AF49" s="1420"/>
      <c r="AG49" s="1420"/>
      <c r="AH49" s="1420"/>
      <c r="AI49" s="1420"/>
      <c r="AJ49" s="1420"/>
      <c r="AK49" s="1420"/>
      <c r="AL49" s="1420"/>
      <c r="AM49" s="1420"/>
      <c r="AN49" s="1420"/>
      <c r="AO49" s="1420"/>
      <c r="AP49" s="1420"/>
      <c r="AQ49" s="1420"/>
      <c r="AR49" s="1420"/>
      <c r="AS49" s="1420"/>
      <c r="AT49" s="1420"/>
      <c r="AU49" s="1420"/>
      <c r="AV49" s="1420"/>
      <c r="AW49" s="1420"/>
      <c r="AX49" s="1420"/>
      <c r="AY49" s="1420"/>
      <c r="AZ49" s="1420"/>
      <c r="BA49" s="1420"/>
      <c r="BB49" s="1420"/>
      <c r="BC49" s="1420"/>
      <c r="BD49" s="1420"/>
      <c r="BE49" s="1420"/>
      <c r="BF49" s="1420"/>
      <c r="BG49" s="1420"/>
      <c r="BH49" s="1420"/>
      <c r="BI49" s="1420"/>
      <c r="BJ49" s="1420"/>
      <c r="BK49" s="1420"/>
      <c r="BL49" s="1420"/>
      <c r="BM49" s="1420"/>
    </row>
    <row r="50" spans="1:65" x14ac:dyDescent="0.3">
      <c r="A50" s="56"/>
      <c r="B50" s="1420"/>
      <c r="C50" s="1420"/>
      <c r="D50" s="1420"/>
      <c r="E50" s="1420"/>
      <c r="F50" s="1420"/>
      <c r="G50" s="1420"/>
      <c r="H50" s="1420"/>
      <c r="I50" s="1420"/>
      <c r="J50" s="1420"/>
      <c r="K50" s="1420"/>
      <c r="L50" s="1420"/>
      <c r="M50" s="1420"/>
      <c r="N50" s="1420"/>
      <c r="O50" s="1420"/>
      <c r="P50" s="1420"/>
      <c r="Q50" s="1420"/>
      <c r="R50" s="1420"/>
      <c r="S50" s="1420"/>
      <c r="T50" s="1420"/>
      <c r="U50" s="1420"/>
      <c r="V50" s="1420"/>
      <c r="W50" s="1420"/>
      <c r="X50" s="1420"/>
      <c r="Y50" s="1420"/>
      <c r="Z50" s="1420"/>
      <c r="AA50" s="1420"/>
      <c r="AB50" s="1420"/>
      <c r="AC50" s="1420"/>
      <c r="AD50" s="1420"/>
      <c r="AE50" s="1420"/>
      <c r="AF50" s="1420"/>
      <c r="AG50" s="1420"/>
      <c r="AH50" s="1420"/>
      <c r="AI50" s="1420"/>
      <c r="AJ50" s="1420"/>
      <c r="AK50" s="1420"/>
      <c r="AL50" s="1420"/>
      <c r="AM50" s="1420"/>
      <c r="AN50" s="1420"/>
      <c r="AO50" s="1420"/>
      <c r="AP50" s="1420"/>
      <c r="AQ50" s="1420"/>
      <c r="AR50" s="1420"/>
      <c r="AS50" s="1420"/>
      <c r="AT50" s="1420"/>
      <c r="AU50" s="1420"/>
      <c r="AV50" s="1420"/>
      <c r="AW50" s="1420"/>
      <c r="AX50" s="1420"/>
      <c r="AY50" s="1420"/>
      <c r="AZ50" s="1420"/>
      <c r="BA50" s="1420"/>
      <c r="BB50" s="1420"/>
      <c r="BC50" s="1420"/>
      <c r="BD50" s="1420"/>
      <c r="BE50" s="1420"/>
      <c r="BF50" s="1420"/>
      <c r="BG50" s="1420"/>
      <c r="BH50" s="1420"/>
      <c r="BI50" s="1420"/>
      <c r="BJ50" s="1420"/>
      <c r="BK50" s="1420"/>
      <c r="BL50" s="1420"/>
      <c r="BM50" s="1420"/>
    </row>
    <row r="51" spans="1:65" x14ac:dyDescent="0.3">
      <c r="A51" s="56"/>
      <c r="B51" s="1420"/>
      <c r="C51" s="1420"/>
      <c r="D51" s="1420"/>
      <c r="E51" s="1420"/>
      <c r="F51" s="1420"/>
      <c r="G51" s="1420"/>
      <c r="H51" s="1420"/>
      <c r="I51" s="1420"/>
      <c r="J51" s="1420"/>
      <c r="K51" s="1420"/>
      <c r="L51" s="1420"/>
      <c r="M51" s="1420"/>
      <c r="N51" s="1420"/>
      <c r="O51" s="1420"/>
      <c r="P51" s="1420"/>
      <c r="Q51" s="1420"/>
      <c r="R51" s="1420"/>
      <c r="S51" s="1420"/>
      <c r="T51" s="1420"/>
      <c r="U51" s="1420"/>
      <c r="V51" s="1420"/>
      <c r="W51" s="1420"/>
      <c r="X51" s="1420"/>
      <c r="Y51" s="1420"/>
      <c r="Z51" s="1420"/>
      <c r="AA51" s="1420"/>
      <c r="AB51" s="1420"/>
      <c r="AC51" s="1420"/>
      <c r="AD51" s="1420"/>
      <c r="AE51" s="1420"/>
      <c r="AF51" s="1420"/>
      <c r="AG51" s="1420"/>
      <c r="AH51" s="1420"/>
      <c r="AI51" s="1420"/>
      <c r="AJ51" s="1420"/>
      <c r="AK51" s="1420"/>
      <c r="AL51" s="1420"/>
      <c r="AM51" s="1420"/>
      <c r="AN51" s="1420"/>
      <c r="AO51" s="1420"/>
      <c r="AP51" s="1420"/>
      <c r="AQ51" s="1420"/>
      <c r="AR51" s="1420"/>
      <c r="AS51" s="1420"/>
      <c r="AT51" s="1420"/>
      <c r="AU51" s="1420"/>
      <c r="AV51" s="1420"/>
      <c r="AW51" s="1420"/>
      <c r="AX51" s="1420"/>
      <c r="AY51" s="1420"/>
      <c r="AZ51" s="1420"/>
      <c r="BA51" s="1420"/>
      <c r="BB51" s="1420"/>
      <c r="BC51" s="1420"/>
      <c r="BD51" s="1420"/>
      <c r="BE51" s="1420"/>
      <c r="BF51" s="1420"/>
      <c r="BG51" s="1420"/>
      <c r="BH51" s="1420"/>
      <c r="BI51" s="1420"/>
      <c r="BJ51" s="1420"/>
      <c r="BK51" s="1420"/>
      <c r="BL51" s="1420"/>
      <c r="BM51" s="1420"/>
    </row>
    <row r="52" spans="1:65" x14ac:dyDescent="0.3">
      <c r="A52" s="56"/>
      <c r="B52" s="1420"/>
      <c r="C52" s="1420"/>
      <c r="D52" s="1420"/>
      <c r="E52" s="1420"/>
      <c r="F52" s="1420"/>
      <c r="G52" s="1420"/>
      <c r="H52" s="1420"/>
      <c r="I52" s="1420"/>
      <c r="J52" s="1420"/>
      <c r="K52" s="1420"/>
      <c r="L52" s="1420"/>
      <c r="M52" s="1420"/>
      <c r="N52" s="1420"/>
      <c r="O52" s="1420"/>
      <c r="P52" s="1420"/>
      <c r="Q52" s="1420"/>
      <c r="R52" s="1420"/>
      <c r="S52" s="1420"/>
      <c r="T52" s="1420"/>
      <c r="U52" s="1420"/>
      <c r="V52" s="1420"/>
      <c r="W52" s="1420"/>
      <c r="X52" s="1420"/>
      <c r="Y52" s="1420"/>
      <c r="Z52" s="1420"/>
      <c r="AA52" s="1420"/>
      <c r="AB52" s="1420"/>
      <c r="AC52" s="1420"/>
      <c r="AD52" s="1420"/>
      <c r="AE52" s="1420"/>
      <c r="AF52" s="1420"/>
      <c r="AG52" s="1420"/>
      <c r="AH52" s="1420"/>
      <c r="AI52" s="1420"/>
      <c r="AJ52" s="1420"/>
      <c r="AK52" s="1420"/>
      <c r="AL52" s="1420"/>
      <c r="AM52" s="1420"/>
      <c r="AN52" s="1420"/>
      <c r="AO52" s="1420"/>
      <c r="AP52" s="1420"/>
      <c r="AQ52" s="1420"/>
      <c r="AR52" s="1420"/>
      <c r="AS52" s="1420"/>
      <c r="AT52" s="1420"/>
      <c r="AU52" s="1420"/>
      <c r="AV52" s="1420"/>
      <c r="AW52" s="1420"/>
      <c r="AX52" s="1420"/>
      <c r="AY52" s="1420"/>
      <c r="AZ52" s="1420"/>
      <c r="BA52" s="1420"/>
      <c r="BB52" s="1420"/>
      <c r="BC52" s="1420"/>
      <c r="BD52" s="1420"/>
      <c r="BE52" s="1420"/>
      <c r="BF52" s="1420"/>
      <c r="BG52" s="1420"/>
      <c r="BH52" s="1420"/>
      <c r="BI52" s="1420"/>
      <c r="BJ52" s="1420"/>
      <c r="BK52" s="1420"/>
      <c r="BL52" s="1420"/>
      <c r="BM52" s="1420"/>
    </row>
    <row r="53" spans="1:65" x14ac:dyDescent="0.3">
      <c r="A53" s="56"/>
      <c r="B53" s="1420"/>
      <c r="C53" s="1420"/>
      <c r="D53" s="1420"/>
      <c r="E53" s="1420"/>
      <c r="F53" s="1420"/>
      <c r="G53" s="1420"/>
      <c r="H53" s="1420"/>
      <c r="I53" s="1420"/>
      <c r="J53" s="1420"/>
      <c r="K53" s="1420"/>
      <c r="L53" s="1420"/>
      <c r="M53" s="1420"/>
      <c r="N53" s="1420"/>
      <c r="O53" s="1420"/>
      <c r="P53" s="1420"/>
      <c r="Q53" s="1420"/>
      <c r="R53" s="1420"/>
      <c r="S53" s="1420"/>
      <c r="T53" s="1420"/>
      <c r="U53" s="1420"/>
      <c r="V53" s="1420"/>
      <c r="W53" s="1420"/>
      <c r="X53" s="1420"/>
      <c r="Y53" s="1420"/>
      <c r="Z53" s="1420"/>
      <c r="AA53" s="1420"/>
      <c r="AB53" s="1420"/>
      <c r="AC53" s="1420"/>
      <c r="AD53" s="1420"/>
      <c r="AE53" s="1420"/>
      <c r="AF53" s="1420"/>
      <c r="AG53" s="1420"/>
      <c r="AH53" s="1420"/>
      <c r="AI53" s="1420"/>
      <c r="AJ53" s="1420"/>
      <c r="AK53" s="1420"/>
      <c r="AL53" s="1420"/>
      <c r="AM53" s="1420"/>
      <c r="AN53" s="1420"/>
      <c r="AO53" s="1420"/>
      <c r="AP53" s="1420"/>
      <c r="AQ53" s="1420"/>
      <c r="AR53" s="1420"/>
      <c r="AS53" s="1420"/>
      <c r="AT53" s="1420"/>
      <c r="AU53" s="1420"/>
      <c r="AV53" s="1420"/>
      <c r="AW53" s="1420"/>
      <c r="AX53" s="1420"/>
      <c r="AY53" s="1420"/>
      <c r="AZ53" s="1420"/>
      <c r="BA53" s="1420"/>
      <c r="BB53" s="1420"/>
      <c r="BC53" s="1420"/>
      <c r="BD53" s="1420"/>
      <c r="BE53" s="1420"/>
      <c r="BF53" s="1420"/>
      <c r="BG53" s="1420"/>
      <c r="BH53" s="1420"/>
      <c r="BI53" s="1420"/>
      <c r="BJ53" s="1420"/>
      <c r="BK53" s="1420"/>
      <c r="BL53" s="1420"/>
      <c r="BM53" s="1420"/>
    </row>
    <row r="54" spans="1:65" x14ac:dyDescent="0.3">
      <c r="A54" s="56"/>
      <c r="B54" s="1420"/>
      <c r="C54" s="1420"/>
      <c r="D54" s="1420"/>
      <c r="E54" s="1420"/>
      <c r="F54" s="1420"/>
      <c r="G54" s="1420"/>
      <c r="H54" s="1420"/>
      <c r="I54" s="1420"/>
      <c r="J54" s="1420"/>
      <c r="K54" s="1420"/>
      <c r="L54" s="1420"/>
      <c r="M54" s="1420"/>
      <c r="N54" s="1420"/>
      <c r="O54" s="1420"/>
      <c r="P54" s="1420"/>
      <c r="Q54" s="1420"/>
      <c r="R54" s="1420"/>
      <c r="S54" s="1420"/>
      <c r="T54" s="1420"/>
      <c r="U54" s="1420"/>
      <c r="V54" s="1420"/>
      <c r="W54" s="1420"/>
      <c r="X54" s="1420"/>
      <c r="Y54" s="1420"/>
      <c r="Z54" s="1420"/>
      <c r="AA54" s="1420"/>
      <c r="AB54" s="1420"/>
      <c r="AC54" s="1420"/>
      <c r="AD54" s="1420"/>
      <c r="AE54" s="1420"/>
      <c r="AF54" s="1420"/>
      <c r="AG54" s="1420"/>
      <c r="AH54" s="1420"/>
      <c r="AI54" s="1420"/>
      <c r="AJ54" s="1420"/>
      <c r="AK54" s="1420"/>
      <c r="AL54" s="1420"/>
      <c r="AM54" s="1420"/>
      <c r="AN54" s="1420"/>
      <c r="AO54" s="1420"/>
      <c r="AP54" s="1420"/>
      <c r="AQ54" s="1420"/>
      <c r="AR54" s="1420"/>
      <c r="AS54" s="1420"/>
      <c r="AT54" s="1420"/>
      <c r="AU54" s="1420"/>
      <c r="AV54" s="1420"/>
      <c r="AW54" s="1420"/>
      <c r="AX54" s="1420"/>
      <c r="AY54" s="1420"/>
      <c r="AZ54" s="1420"/>
      <c r="BA54" s="1420"/>
      <c r="BB54" s="1420"/>
      <c r="BC54" s="1420"/>
      <c r="BD54" s="1420"/>
      <c r="BE54" s="1420"/>
      <c r="BF54" s="1420"/>
      <c r="BG54" s="1420"/>
      <c r="BH54" s="1420"/>
      <c r="BI54" s="1420"/>
      <c r="BJ54" s="1420"/>
      <c r="BK54" s="1420"/>
      <c r="BL54" s="1420"/>
      <c r="BM54" s="1420"/>
    </row>
    <row r="55" spans="1:65" x14ac:dyDescent="0.3">
      <c r="A55" s="56"/>
      <c r="B55" s="1420"/>
      <c r="C55" s="1420"/>
      <c r="D55" s="1420"/>
      <c r="E55" s="1420"/>
      <c r="F55" s="1420"/>
      <c r="G55" s="1420"/>
      <c r="H55" s="1420"/>
      <c r="I55" s="1420"/>
      <c r="J55" s="1420"/>
      <c r="K55" s="1420"/>
      <c r="L55" s="1420"/>
      <c r="M55" s="1420"/>
      <c r="N55" s="1420"/>
      <c r="O55" s="1420"/>
      <c r="P55" s="1420"/>
      <c r="Q55" s="1420"/>
      <c r="R55" s="1420"/>
      <c r="S55" s="1420"/>
      <c r="T55" s="1420"/>
      <c r="U55" s="1420"/>
      <c r="V55" s="1420"/>
      <c r="W55" s="1420"/>
      <c r="X55" s="1420"/>
      <c r="Y55" s="1420"/>
      <c r="Z55" s="1420"/>
      <c r="AA55" s="1420"/>
      <c r="AB55" s="1420"/>
      <c r="AC55" s="1420"/>
      <c r="AD55" s="1420"/>
      <c r="AE55" s="1420"/>
      <c r="AF55" s="1420"/>
      <c r="AG55" s="1420"/>
      <c r="AH55" s="1420"/>
      <c r="AI55" s="1420"/>
      <c r="AJ55" s="1420"/>
      <c r="AK55" s="1420"/>
      <c r="AL55" s="1420"/>
      <c r="AM55" s="1420"/>
      <c r="AN55" s="1420"/>
      <c r="AO55" s="1420"/>
      <c r="AP55" s="1420"/>
      <c r="AQ55" s="1420"/>
      <c r="AR55" s="1420"/>
      <c r="AS55" s="1420"/>
      <c r="AT55" s="1420"/>
      <c r="AU55" s="1420"/>
      <c r="AV55" s="1420"/>
      <c r="AW55" s="1420"/>
      <c r="AX55" s="1420"/>
      <c r="AY55" s="1420"/>
      <c r="AZ55" s="1420"/>
      <c r="BA55" s="1420"/>
      <c r="BB55" s="1420"/>
      <c r="BC55" s="1420"/>
      <c r="BD55" s="1420"/>
      <c r="BE55" s="1420"/>
      <c r="BF55" s="1420"/>
      <c r="BG55" s="1420"/>
      <c r="BH55" s="1420"/>
      <c r="BI55" s="1420"/>
      <c r="BJ55" s="1420"/>
      <c r="BK55" s="1420"/>
      <c r="BL55" s="1420"/>
      <c r="BM55" s="1420"/>
    </row>
    <row r="56" spans="1:65" x14ac:dyDescent="0.3">
      <c r="A56" s="56"/>
      <c r="B56" s="1420"/>
      <c r="C56" s="1420"/>
      <c r="D56" s="1420"/>
      <c r="E56" s="1420"/>
      <c r="F56" s="1420"/>
      <c r="G56" s="1420"/>
      <c r="H56" s="1420"/>
      <c r="I56" s="1420"/>
      <c r="J56" s="1420"/>
      <c r="K56" s="1420"/>
      <c r="L56" s="1420"/>
      <c r="M56" s="1420"/>
      <c r="N56" s="1420"/>
      <c r="O56" s="1420"/>
      <c r="P56" s="1420"/>
      <c r="Q56" s="1420"/>
      <c r="R56" s="1420"/>
      <c r="S56" s="1420"/>
      <c r="T56" s="1420"/>
      <c r="U56" s="1420"/>
      <c r="V56" s="1420"/>
      <c r="W56" s="1420"/>
      <c r="X56" s="1420"/>
      <c r="Y56" s="1420"/>
      <c r="Z56" s="1420"/>
      <c r="AA56" s="1420"/>
      <c r="AB56" s="1420"/>
      <c r="AC56" s="1420"/>
      <c r="AD56" s="1420"/>
      <c r="AE56" s="1420"/>
      <c r="AF56" s="1420"/>
      <c r="AG56" s="1420"/>
      <c r="AH56" s="1420"/>
      <c r="AI56" s="1420"/>
      <c r="AJ56" s="1420"/>
      <c r="AK56" s="1420"/>
      <c r="AL56" s="1420"/>
      <c r="AM56" s="1420"/>
      <c r="AN56" s="1420"/>
      <c r="AO56" s="1420"/>
      <c r="AP56" s="1420"/>
      <c r="AQ56" s="1420"/>
      <c r="AR56" s="1420"/>
      <c r="AS56" s="1420"/>
      <c r="AT56" s="1420"/>
      <c r="AU56" s="1420"/>
      <c r="AV56" s="1420"/>
      <c r="AW56" s="1420"/>
      <c r="AX56" s="1420"/>
      <c r="AY56" s="1420"/>
      <c r="AZ56" s="1420"/>
      <c r="BA56" s="1420"/>
      <c r="BB56" s="1420"/>
      <c r="BC56" s="1420"/>
      <c r="BD56" s="1420"/>
      <c r="BE56" s="1420"/>
      <c r="BF56" s="1420"/>
      <c r="BG56" s="1420"/>
      <c r="BH56" s="1420"/>
      <c r="BI56" s="1420"/>
      <c r="BJ56" s="1420"/>
      <c r="BK56" s="1420"/>
      <c r="BL56" s="1420"/>
      <c r="BM56" s="1420"/>
    </row>
    <row r="57" spans="1:65" x14ac:dyDescent="0.3">
      <c r="A57" s="56"/>
      <c r="B57" s="1420"/>
      <c r="C57" s="1420"/>
      <c r="D57" s="1420"/>
      <c r="E57" s="1420"/>
      <c r="F57" s="1420"/>
      <c r="G57" s="1420"/>
      <c r="H57" s="1420"/>
      <c r="I57" s="1420"/>
      <c r="J57" s="1420"/>
      <c r="K57" s="1420"/>
      <c r="L57" s="1420"/>
      <c r="M57" s="1420"/>
      <c r="N57" s="1420"/>
      <c r="O57" s="1420"/>
      <c r="P57" s="1420"/>
      <c r="Q57" s="1420"/>
      <c r="R57" s="1420"/>
      <c r="S57" s="1420"/>
      <c r="T57" s="1420"/>
      <c r="U57" s="1420"/>
      <c r="V57" s="1420"/>
      <c r="W57" s="1420"/>
      <c r="X57" s="1420"/>
      <c r="Y57" s="1420"/>
      <c r="Z57" s="1420"/>
      <c r="AA57" s="1420"/>
      <c r="AB57" s="1420"/>
      <c r="AC57" s="1420"/>
      <c r="AD57" s="1420"/>
      <c r="AE57" s="1420"/>
      <c r="AF57" s="1420"/>
      <c r="AG57" s="1420"/>
      <c r="AH57" s="1420"/>
      <c r="AI57" s="1420"/>
      <c r="AJ57" s="1420"/>
      <c r="AK57" s="1420"/>
      <c r="AL57" s="1420"/>
      <c r="AM57" s="1420"/>
      <c r="AN57" s="1420"/>
      <c r="AO57" s="1420"/>
      <c r="AP57" s="1420"/>
      <c r="AQ57" s="1420"/>
      <c r="AR57" s="1420"/>
      <c r="AS57" s="1420"/>
      <c r="AT57" s="1420"/>
      <c r="AU57" s="1420"/>
      <c r="AV57" s="1420"/>
      <c r="AW57" s="1420"/>
      <c r="AX57" s="1420"/>
      <c r="AY57" s="1420"/>
      <c r="AZ57" s="1420"/>
      <c r="BA57" s="1420"/>
      <c r="BB57" s="1420"/>
      <c r="BC57" s="1420"/>
      <c r="BD57" s="1420"/>
      <c r="BE57" s="1420"/>
      <c r="BF57" s="1420"/>
      <c r="BG57" s="1420"/>
      <c r="BH57" s="1420"/>
      <c r="BI57" s="1420"/>
      <c r="BJ57" s="1420"/>
      <c r="BK57" s="1420"/>
      <c r="BL57" s="1420"/>
      <c r="BM57" s="1420"/>
    </row>
    <row r="58" spans="1:65" x14ac:dyDescent="0.3">
      <c r="A58" s="56"/>
      <c r="B58" s="1420"/>
      <c r="C58" s="1420"/>
      <c r="D58" s="1420"/>
      <c r="E58" s="1420"/>
      <c r="F58" s="1420"/>
      <c r="G58" s="1420"/>
      <c r="H58" s="1420"/>
      <c r="I58" s="1420"/>
      <c r="J58" s="1420"/>
      <c r="K58" s="1420"/>
      <c r="L58" s="1420"/>
      <c r="M58" s="1420"/>
      <c r="N58" s="1420"/>
      <c r="O58" s="1420"/>
      <c r="P58" s="1420"/>
      <c r="Q58" s="1420"/>
      <c r="R58" s="1420"/>
      <c r="S58" s="1420"/>
      <c r="T58" s="1420"/>
      <c r="U58" s="1420"/>
      <c r="V58" s="1420"/>
      <c r="W58" s="1420"/>
      <c r="X58" s="1420"/>
      <c r="Y58" s="1420"/>
      <c r="Z58" s="1420"/>
      <c r="AA58" s="1420"/>
      <c r="AB58" s="1420"/>
      <c r="AC58" s="1420"/>
      <c r="AD58" s="1420"/>
      <c r="AE58" s="1420"/>
      <c r="AF58" s="1420"/>
      <c r="AG58" s="1420"/>
      <c r="AH58" s="1420"/>
      <c r="AI58" s="1420"/>
      <c r="AJ58" s="1420"/>
      <c r="AK58" s="1420"/>
      <c r="AL58" s="1420"/>
      <c r="AM58" s="1420"/>
      <c r="AN58" s="1420"/>
      <c r="AO58" s="1420"/>
      <c r="AP58" s="1420"/>
      <c r="AQ58" s="1420"/>
      <c r="AR58" s="1420"/>
      <c r="AS58" s="1420"/>
      <c r="AT58" s="1420"/>
      <c r="AU58" s="1420"/>
      <c r="AV58" s="1420"/>
      <c r="AW58" s="1420"/>
      <c r="AX58" s="1420"/>
      <c r="AY58" s="1420"/>
      <c r="AZ58" s="1420"/>
      <c r="BA58" s="1420"/>
      <c r="BB58" s="1420"/>
      <c r="BC58" s="1420"/>
      <c r="BD58" s="1420"/>
      <c r="BE58" s="1420"/>
      <c r="BF58" s="1420"/>
      <c r="BG58" s="1420"/>
      <c r="BH58" s="1420"/>
      <c r="BI58" s="1420"/>
      <c r="BJ58" s="1420"/>
      <c r="BK58" s="1420"/>
      <c r="BL58" s="1420"/>
      <c r="BM58" s="1420"/>
    </row>
    <row r="59" spans="1:65" x14ac:dyDescent="0.3">
      <c r="A59" s="56"/>
      <c r="B59" s="1420"/>
      <c r="C59" s="1420"/>
      <c r="D59" s="1420"/>
      <c r="E59" s="1420"/>
      <c r="F59" s="1420"/>
      <c r="G59" s="1420"/>
      <c r="H59" s="1420"/>
      <c r="I59" s="1420"/>
      <c r="J59" s="1420"/>
      <c r="K59" s="1420"/>
      <c r="L59" s="1420"/>
      <c r="M59" s="1420"/>
      <c r="N59" s="1420"/>
      <c r="O59" s="1420"/>
      <c r="P59" s="1420"/>
      <c r="Q59" s="1420"/>
      <c r="R59" s="1420"/>
      <c r="S59" s="1420"/>
      <c r="T59" s="1420"/>
      <c r="U59" s="1420"/>
      <c r="V59" s="1420"/>
      <c r="W59" s="1420"/>
      <c r="X59" s="1420"/>
      <c r="Y59" s="1420"/>
      <c r="Z59" s="1420"/>
      <c r="AA59" s="1420"/>
      <c r="AB59" s="1420"/>
      <c r="AC59" s="1420"/>
      <c r="AD59" s="1420"/>
      <c r="AE59" s="1420"/>
      <c r="AF59" s="1420"/>
      <c r="AG59" s="1420"/>
      <c r="AH59" s="1420"/>
      <c r="AI59" s="1420"/>
      <c r="AJ59" s="1420"/>
      <c r="AK59" s="1420"/>
      <c r="AL59" s="1420"/>
      <c r="AM59" s="1420"/>
      <c r="AN59" s="1420"/>
      <c r="AO59" s="1420"/>
      <c r="AP59" s="1420"/>
      <c r="AQ59" s="1420"/>
      <c r="AR59" s="1420"/>
      <c r="AS59" s="1420"/>
      <c r="AT59" s="1420"/>
      <c r="AU59" s="1420"/>
      <c r="AV59" s="1420"/>
      <c r="AW59" s="1420"/>
      <c r="AX59" s="1420"/>
      <c r="AY59" s="1420"/>
      <c r="AZ59" s="1420"/>
      <c r="BA59" s="1420"/>
      <c r="BB59" s="1420"/>
      <c r="BC59" s="1420"/>
      <c r="BD59" s="1420"/>
      <c r="BE59" s="1420"/>
      <c r="BF59" s="1420"/>
      <c r="BG59" s="1420"/>
      <c r="BH59" s="1420"/>
      <c r="BI59" s="1420"/>
      <c r="BJ59" s="1420"/>
      <c r="BK59" s="1420"/>
      <c r="BL59" s="1420"/>
      <c r="BM59" s="1420"/>
    </row>
    <row r="60" spans="1:65" x14ac:dyDescent="0.3">
      <c r="A60" s="56"/>
      <c r="B60" s="1420"/>
      <c r="C60" s="1420"/>
      <c r="D60" s="1420"/>
      <c r="E60" s="1420"/>
      <c r="F60" s="1420"/>
      <c r="G60" s="1420"/>
      <c r="H60" s="1420"/>
      <c r="I60" s="1420"/>
      <c r="J60" s="1420"/>
      <c r="K60" s="1420"/>
      <c r="L60" s="1420"/>
      <c r="M60" s="1420"/>
      <c r="N60" s="1420"/>
      <c r="O60" s="1420"/>
      <c r="P60" s="1420"/>
      <c r="Q60" s="1420"/>
      <c r="R60" s="1420"/>
      <c r="S60" s="1420"/>
      <c r="T60" s="1420"/>
      <c r="U60" s="1420"/>
      <c r="V60" s="1420"/>
      <c r="W60" s="1420"/>
      <c r="X60" s="1420"/>
      <c r="Y60" s="1420"/>
      <c r="Z60" s="1420"/>
      <c r="AA60" s="1420"/>
      <c r="AB60" s="1420"/>
      <c r="AC60" s="1420"/>
      <c r="AD60" s="1420"/>
      <c r="AE60" s="1420"/>
      <c r="AF60" s="1420"/>
      <c r="AG60" s="1420"/>
      <c r="AH60" s="1420"/>
      <c r="AI60" s="1420"/>
      <c r="AJ60" s="1420"/>
      <c r="AK60" s="1420"/>
      <c r="AL60" s="1420"/>
      <c r="AM60" s="1420"/>
      <c r="AN60" s="1420"/>
      <c r="AO60" s="1420"/>
      <c r="AP60" s="1420"/>
      <c r="AQ60" s="1420"/>
      <c r="AR60" s="1420"/>
      <c r="AS60" s="1420"/>
      <c r="AT60" s="1420"/>
      <c r="AU60" s="1420"/>
      <c r="AV60" s="1420"/>
      <c r="AW60" s="1420"/>
      <c r="AX60" s="1420"/>
      <c r="AY60" s="1420"/>
      <c r="AZ60" s="1420"/>
      <c r="BA60" s="1420"/>
      <c r="BB60" s="1420"/>
      <c r="BC60" s="1420"/>
      <c r="BD60" s="1420"/>
      <c r="BE60" s="1420"/>
      <c r="BF60" s="1420"/>
      <c r="BG60" s="1420"/>
      <c r="BH60" s="1420"/>
      <c r="BI60" s="1420"/>
      <c r="BJ60" s="1420"/>
      <c r="BK60" s="1420"/>
      <c r="BL60" s="1420"/>
      <c r="BM60" s="1420"/>
    </row>
    <row r="61" spans="1:65" x14ac:dyDescent="0.3">
      <c r="A61" s="56"/>
      <c r="B61" s="1420"/>
      <c r="C61" s="1420"/>
      <c r="D61" s="1420"/>
      <c r="E61" s="1420"/>
      <c r="F61" s="1420"/>
      <c r="G61" s="1420"/>
      <c r="H61" s="1420"/>
      <c r="I61" s="1420"/>
      <c r="J61" s="1420"/>
      <c r="K61" s="1420"/>
      <c r="L61" s="1420"/>
      <c r="M61" s="1420"/>
      <c r="N61" s="1420"/>
      <c r="O61" s="1420"/>
      <c r="P61" s="1420"/>
      <c r="Q61" s="1420"/>
      <c r="R61" s="1420"/>
      <c r="S61" s="1420"/>
      <c r="T61" s="1420"/>
      <c r="U61" s="1420"/>
      <c r="V61" s="1420"/>
      <c r="W61" s="1420"/>
      <c r="X61" s="1420"/>
      <c r="Y61" s="1420"/>
      <c r="Z61" s="1420"/>
      <c r="AA61" s="1420"/>
      <c r="AB61" s="1420"/>
      <c r="AC61" s="1420"/>
      <c r="AD61" s="1420"/>
      <c r="AE61" s="1420"/>
      <c r="AF61" s="1420"/>
      <c r="AG61" s="1420"/>
      <c r="AH61" s="1420"/>
      <c r="AI61" s="1420"/>
      <c r="AJ61" s="1420"/>
      <c r="AK61" s="1420"/>
      <c r="AL61" s="1420"/>
      <c r="AM61" s="1420"/>
      <c r="AN61" s="1420"/>
      <c r="AO61" s="1420"/>
      <c r="AP61" s="1420"/>
      <c r="AQ61" s="1420"/>
      <c r="AR61" s="1420"/>
      <c r="AS61" s="1420"/>
      <c r="AT61" s="1420"/>
      <c r="AU61" s="1420"/>
      <c r="AV61" s="1420"/>
      <c r="AW61" s="1420"/>
      <c r="AX61" s="1420"/>
      <c r="AY61" s="1420"/>
      <c r="AZ61" s="1420"/>
      <c r="BA61" s="1420"/>
      <c r="BB61" s="1420"/>
      <c r="BC61" s="1420"/>
      <c r="BD61" s="1420"/>
      <c r="BE61" s="1420"/>
      <c r="BF61" s="1420"/>
      <c r="BG61" s="1420"/>
      <c r="BH61" s="1420"/>
      <c r="BI61" s="1420"/>
      <c r="BJ61" s="1420"/>
      <c r="BK61" s="1420"/>
      <c r="BL61" s="1420"/>
      <c r="BM61" s="1420"/>
    </row>
    <row r="62" spans="1:65" x14ac:dyDescent="0.3">
      <c r="A62" s="56"/>
      <c r="B62" s="1420"/>
      <c r="C62" s="1420"/>
      <c r="D62" s="1420"/>
      <c r="E62" s="1420"/>
      <c r="F62" s="1420"/>
      <c r="G62" s="1420"/>
      <c r="H62" s="1420"/>
      <c r="I62" s="1420"/>
      <c r="J62" s="1420"/>
      <c r="K62" s="1420"/>
      <c r="L62" s="1420"/>
      <c r="M62" s="1420"/>
      <c r="N62" s="1420"/>
      <c r="O62" s="1420"/>
      <c r="P62" s="1420"/>
      <c r="Q62" s="1420"/>
      <c r="R62" s="1420"/>
      <c r="S62" s="1420"/>
      <c r="T62" s="1420"/>
      <c r="U62" s="1420"/>
      <c r="V62" s="1420"/>
      <c r="W62" s="1420"/>
      <c r="X62" s="1420"/>
      <c r="Y62" s="1420"/>
      <c r="Z62" s="1420"/>
      <c r="AA62" s="1420"/>
      <c r="AB62" s="1420"/>
      <c r="AC62" s="1420"/>
      <c r="AD62" s="1420"/>
      <c r="AE62" s="1420"/>
      <c r="AF62" s="1420"/>
      <c r="AG62" s="1420"/>
      <c r="AH62" s="1420"/>
      <c r="AI62" s="1420"/>
      <c r="AJ62" s="1420"/>
      <c r="AK62" s="1420"/>
      <c r="AL62" s="1420"/>
      <c r="AM62" s="1420"/>
      <c r="AN62" s="1420"/>
      <c r="AO62" s="1420"/>
      <c r="AP62" s="1420"/>
      <c r="AQ62" s="1420"/>
      <c r="AR62" s="1420"/>
      <c r="AS62" s="1420"/>
      <c r="AT62" s="1420"/>
      <c r="AU62" s="1420"/>
      <c r="AV62" s="1420"/>
      <c r="AW62" s="1420"/>
      <c r="AX62" s="1420"/>
      <c r="AY62" s="1420"/>
      <c r="AZ62" s="1420"/>
      <c r="BA62" s="1420"/>
      <c r="BB62" s="1420"/>
      <c r="BC62" s="1420"/>
      <c r="BD62" s="1420"/>
      <c r="BE62" s="1420"/>
      <c r="BF62" s="1420"/>
      <c r="BG62" s="1420"/>
      <c r="BH62" s="1420"/>
      <c r="BI62" s="1420"/>
      <c r="BJ62" s="1420"/>
      <c r="BK62" s="1420"/>
      <c r="BL62" s="1420"/>
      <c r="BM62" s="1420"/>
    </row>
    <row r="63" spans="1:65" x14ac:dyDescent="0.3">
      <c r="A63" s="56"/>
      <c r="B63" s="1420"/>
      <c r="C63" s="1420"/>
      <c r="D63" s="1420"/>
      <c r="E63" s="1420"/>
      <c r="F63" s="1420"/>
      <c r="G63" s="1420"/>
      <c r="H63" s="1420"/>
      <c r="I63" s="1420"/>
      <c r="J63" s="1420"/>
      <c r="K63" s="1420"/>
      <c r="L63" s="1420"/>
      <c r="M63" s="1420"/>
      <c r="N63" s="1420"/>
      <c r="O63" s="1420"/>
      <c r="P63" s="1420"/>
      <c r="Q63" s="1420"/>
      <c r="R63" s="1420"/>
      <c r="S63" s="1420"/>
      <c r="T63" s="1420"/>
      <c r="U63" s="1420"/>
      <c r="V63" s="1420"/>
      <c r="W63" s="1420"/>
      <c r="X63" s="1420"/>
      <c r="Y63" s="1420"/>
      <c r="Z63" s="1420"/>
      <c r="AA63" s="1420"/>
      <c r="AB63" s="1420"/>
      <c r="AC63" s="1420"/>
      <c r="AD63" s="1420"/>
      <c r="AE63" s="1420"/>
      <c r="AF63" s="1420"/>
      <c r="AG63" s="1420"/>
      <c r="AH63" s="1420"/>
      <c r="AI63" s="1420"/>
      <c r="AJ63" s="1420"/>
      <c r="AK63" s="1420"/>
      <c r="AL63" s="1420"/>
      <c r="AM63" s="1420"/>
      <c r="AN63" s="1420"/>
      <c r="AO63" s="1420"/>
      <c r="AP63" s="1420"/>
      <c r="AQ63" s="1420"/>
      <c r="AR63" s="1420"/>
      <c r="AS63" s="1420"/>
      <c r="AT63" s="1420"/>
      <c r="AU63" s="1420"/>
      <c r="AV63" s="1420"/>
      <c r="AW63" s="1420"/>
      <c r="AX63" s="1420"/>
      <c r="AY63" s="1420"/>
      <c r="AZ63" s="1420"/>
      <c r="BA63" s="1420"/>
      <c r="BB63" s="1420"/>
      <c r="BC63" s="1420"/>
      <c r="BD63" s="1420"/>
      <c r="BE63" s="1420"/>
      <c r="BF63" s="1420"/>
      <c r="BG63" s="1420"/>
      <c r="BH63" s="1420"/>
      <c r="BI63" s="1420"/>
      <c r="BJ63" s="1420"/>
      <c r="BK63" s="1420"/>
      <c r="BL63" s="1420"/>
      <c r="BM63" s="1420"/>
    </row>
    <row r="64" spans="1:65" x14ac:dyDescent="0.3">
      <c r="A64" s="56"/>
      <c r="B64" s="1420"/>
      <c r="C64" s="1420"/>
      <c r="D64" s="1420"/>
      <c r="E64" s="1420"/>
      <c r="F64" s="1420"/>
      <c r="G64" s="1420"/>
      <c r="H64" s="1420"/>
      <c r="I64" s="1420"/>
      <c r="J64" s="1420"/>
      <c r="K64" s="1420"/>
      <c r="L64" s="1420"/>
      <c r="M64" s="1420"/>
      <c r="N64" s="1420"/>
      <c r="O64" s="1420"/>
      <c r="P64" s="1420"/>
      <c r="Q64" s="1420"/>
      <c r="R64" s="1420"/>
      <c r="S64" s="1420"/>
      <c r="T64" s="1420"/>
      <c r="U64" s="1420"/>
      <c r="V64" s="1420"/>
      <c r="W64" s="1420"/>
      <c r="X64" s="1420"/>
      <c r="Y64" s="1420"/>
      <c r="Z64" s="1420"/>
      <c r="AA64" s="1420"/>
      <c r="AB64" s="1420"/>
      <c r="AC64" s="1420"/>
      <c r="AD64" s="1420"/>
      <c r="AE64" s="1420"/>
      <c r="AF64" s="1420"/>
      <c r="AG64" s="1420"/>
      <c r="AH64" s="1420"/>
      <c r="AI64" s="1420"/>
      <c r="AJ64" s="1420"/>
      <c r="AK64" s="1420"/>
      <c r="AL64" s="1420"/>
      <c r="AM64" s="1420"/>
      <c r="AN64" s="1420"/>
      <c r="AO64" s="1420"/>
      <c r="AP64" s="1420"/>
      <c r="AQ64" s="1420"/>
      <c r="AR64" s="1420"/>
      <c r="AS64" s="1420"/>
      <c r="AT64" s="1420"/>
      <c r="AU64" s="1420"/>
      <c r="AV64" s="1420"/>
      <c r="AW64" s="1420"/>
      <c r="AX64" s="1420"/>
      <c r="AY64" s="1420"/>
      <c r="AZ64" s="1420"/>
      <c r="BA64" s="1420"/>
      <c r="BB64" s="1420"/>
      <c r="BC64" s="1420"/>
      <c r="BD64" s="1420"/>
      <c r="BE64" s="1420"/>
      <c r="BF64" s="1420"/>
      <c r="BG64" s="1420"/>
      <c r="BH64" s="1420"/>
      <c r="BI64" s="1420"/>
      <c r="BJ64" s="1420"/>
      <c r="BK64" s="1420"/>
      <c r="BL64" s="1420"/>
      <c r="BM64" s="1420"/>
    </row>
    <row r="65" spans="1:65" x14ac:dyDescent="0.3">
      <c r="A65" s="56"/>
      <c r="B65" s="1420"/>
      <c r="C65" s="1420"/>
      <c r="D65" s="1420"/>
      <c r="E65" s="1420"/>
      <c r="F65" s="1420"/>
      <c r="G65" s="1420"/>
      <c r="H65" s="1420"/>
      <c r="I65" s="1420"/>
      <c r="J65" s="1420"/>
      <c r="K65" s="1420"/>
      <c r="L65" s="1420"/>
      <c r="M65" s="1420"/>
      <c r="N65" s="1420"/>
      <c r="O65" s="1420"/>
      <c r="P65" s="1420"/>
      <c r="Q65" s="1420"/>
      <c r="R65" s="1420"/>
      <c r="S65" s="1420"/>
      <c r="T65" s="1420"/>
      <c r="U65" s="1420"/>
      <c r="V65" s="1420"/>
      <c r="W65" s="1420"/>
      <c r="X65" s="1420"/>
      <c r="Y65" s="1420"/>
      <c r="Z65" s="1420"/>
      <c r="AA65" s="1420"/>
      <c r="AB65" s="1420"/>
      <c r="AC65" s="1420"/>
      <c r="AD65" s="1420"/>
      <c r="AE65" s="1420"/>
      <c r="AF65" s="1420"/>
      <c r="AG65" s="1420"/>
      <c r="AH65" s="1420"/>
      <c r="AI65" s="1420"/>
      <c r="AJ65" s="1420"/>
      <c r="AK65" s="1420"/>
      <c r="AL65" s="1420"/>
      <c r="AM65" s="1420"/>
      <c r="AN65" s="1420"/>
      <c r="AO65" s="1420"/>
      <c r="AP65" s="1420"/>
      <c r="AQ65" s="1420"/>
      <c r="AR65" s="1420"/>
      <c r="AS65" s="1420"/>
      <c r="AT65" s="1420"/>
      <c r="AU65" s="1420"/>
      <c r="AV65" s="1420"/>
      <c r="AW65" s="1420"/>
      <c r="AX65" s="1420"/>
      <c r="AY65" s="1420"/>
      <c r="AZ65" s="1420"/>
      <c r="BA65" s="1420"/>
      <c r="BB65" s="1420"/>
      <c r="BC65" s="1420"/>
      <c r="BD65" s="1420"/>
      <c r="BE65" s="1420"/>
      <c r="BF65" s="1420"/>
      <c r="BG65" s="1420"/>
      <c r="BH65" s="1420"/>
      <c r="BI65" s="1420"/>
      <c r="BJ65" s="1420"/>
      <c r="BK65" s="1420"/>
      <c r="BL65" s="1420"/>
      <c r="BM65" s="1420"/>
    </row>
    <row r="66" spans="1:65" x14ac:dyDescent="0.3">
      <c r="A66" s="56"/>
      <c r="B66" s="1420"/>
      <c r="C66" s="1420"/>
      <c r="D66" s="1420"/>
      <c r="E66" s="1420"/>
      <c r="F66" s="1420"/>
      <c r="G66" s="1420"/>
      <c r="H66" s="1420"/>
      <c r="I66" s="1420"/>
      <c r="J66" s="1420"/>
      <c r="K66" s="1420"/>
      <c r="L66" s="1420"/>
      <c r="M66" s="1420"/>
      <c r="N66" s="1420"/>
      <c r="O66" s="1420"/>
      <c r="P66" s="1420"/>
      <c r="Q66" s="1420"/>
      <c r="R66" s="1420"/>
      <c r="S66" s="1420"/>
      <c r="T66" s="1420"/>
      <c r="U66" s="1420"/>
      <c r="V66" s="1420"/>
      <c r="W66" s="1420"/>
      <c r="X66" s="1420"/>
      <c r="Y66" s="1420"/>
      <c r="Z66" s="1420"/>
      <c r="AA66" s="1420"/>
      <c r="AB66" s="1420"/>
      <c r="AC66" s="1420"/>
      <c r="AD66" s="1420"/>
      <c r="AE66" s="1420"/>
      <c r="AF66" s="1420"/>
      <c r="AG66" s="1420"/>
      <c r="AH66" s="1420"/>
      <c r="AI66" s="1420"/>
      <c r="AJ66" s="1420"/>
      <c r="AK66" s="1420"/>
      <c r="AL66" s="1420"/>
      <c r="AM66" s="1420"/>
      <c r="AN66" s="1420"/>
      <c r="AO66" s="1420"/>
      <c r="AP66" s="1420"/>
      <c r="AQ66" s="1420"/>
      <c r="AR66" s="1420"/>
      <c r="AS66" s="1420"/>
      <c r="AT66" s="1420"/>
      <c r="AU66" s="1420"/>
      <c r="AV66" s="1420"/>
      <c r="AW66" s="1420"/>
      <c r="AX66" s="1420"/>
      <c r="AY66" s="1420"/>
      <c r="AZ66" s="1420"/>
      <c r="BA66" s="1420"/>
      <c r="BB66" s="1420"/>
      <c r="BC66" s="1420"/>
      <c r="BD66" s="1420"/>
      <c r="BE66" s="1420"/>
      <c r="BF66" s="1420"/>
      <c r="BG66" s="1420"/>
      <c r="BH66" s="1420"/>
      <c r="BI66" s="1420"/>
      <c r="BJ66" s="1420"/>
      <c r="BK66" s="1420"/>
      <c r="BL66" s="1420"/>
      <c r="BM66" s="1420"/>
    </row>
    <row r="67" spans="1:65" x14ac:dyDescent="0.3">
      <c r="A67" s="56"/>
      <c r="B67" s="1420"/>
      <c r="C67" s="1420"/>
      <c r="D67" s="1420"/>
      <c r="E67" s="1420"/>
      <c r="F67" s="1420"/>
      <c r="G67" s="1420"/>
      <c r="H67" s="1420"/>
      <c r="I67" s="1420"/>
      <c r="J67" s="1420"/>
      <c r="K67" s="1420"/>
      <c r="L67" s="1420"/>
      <c r="M67" s="1420"/>
      <c r="N67" s="1420"/>
      <c r="O67" s="1420"/>
      <c r="P67" s="1420"/>
      <c r="Q67" s="1420"/>
      <c r="R67" s="1420"/>
      <c r="S67" s="1420"/>
      <c r="T67" s="1420"/>
      <c r="U67" s="1420"/>
      <c r="V67" s="1420"/>
      <c r="W67" s="1420"/>
      <c r="X67" s="1420"/>
      <c r="Y67" s="1420"/>
      <c r="Z67" s="1420"/>
      <c r="AA67" s="1420"/>
      <c r="AB67" s="1420"/>
      <c r="AC67" s="1420"/>
      <c r="AD67" s="1420"/>
      <c r="AE67" s="1420"/>
      <c r="AF67" s="1420"/>
      <c r="AG67" s="1420"/>
      <c r="AH67" s="1420"/>
      <c r="AI67" s="1420"/>
      <c r="AJ67" s="1420"/>
      <c r="AK67" s="1420"/>
      <c r="AL67" s="1420"/>
      <c r="AM67" s="1420"/>
      <c r="AN67" s="1420"/>
      <c r="AO67" s="1420"/>
      <c r="AP67" s="1420"/>
      <c r="AQ67" s="1420"/>
      <c r="AR67" s="1420"/>
      <c r="AS67" s="1420"/>
      <c r="AT67" s="1420"/>
      <c r="AU67" s="1420"/>
      <c r="AV67" s="1420"/>
      <c r="AW67" s="1420"/>
      <c r="AX67" s="1420"/>
      <c r="AY67" s="1420"/>
      <c r="AZ67" s="1420"/>
      <c r="BA67" s="1420"/>
      <c r="BB67" s="1420"/>
      <c r="BC67" s="1420"/>
      <c r="BD67" s="1420"/>
      <c r="BE67" s="1420"/>
      <c r="BF67" s="1420"/>
      <c r="BG67" s="1420"/>
      <c r="BH67" s="1420"/>
      <c r="BI67" s="1420"/>
      <c r="BJ67" s="1420"/>
      <c r="BK67" s="1420"/>
      <c r="BL67" s="1420"/>
      <c r="BM67" s="1420"/>
    </row>
    <row r="68" spans="1:65" x14ac:dyDescent="0.3">
      <c r="A68" s="56"/>
      <c r="B68" s="1420"/>
      <c r="C68" s="1420"/>
      <c r="D68" s="1420"/>
      <c r="E68" s="1420"/>
      <c r="F68" s="1420"/>
      <c r="G68" s="1420"/>
      <c r="H68" s="1420"/>
      <c r="I68" s="1420"/>
      <c r="J68" s="1420"/>
      <c r="K68" s="1420"/>
      <c r="L68" s="1420"/>
      <c r="M68" s="1420"/>
      <c r="N68" s="1420"/>
      <c r="O68" s="1420"/>
      <c r="P68" s="1420"/>
      <c r="Q68" s="1420"/>
      <c r="R68" s="1420"/>
      <c r="S68" s="1420"/>
      <c r="T68" s="1420"/>
      <c r="U68" s="1420"/>
      <c r="V68" s="1420"/>
      <c r="W68" s="1420"/>
      <c r="X68" s="1420"/>
      <c r="Y68" s="1420"/>
      <c r="Z68" s="1420"/>
      <c r="AA68" s="1420"/>
      <c r="AB68" s="1420"/>
      <c r="AC68" s="1420"/>
      <c r="AD68" s="1420"/>
      <c r="AE68" s="1420"/>
      <c r="AF68" s="1420"/>
      <c r="AG68" s="1420"/>
      <c r="AH68" s="1420"/>
      <c r="AI68" s="1420"/>
      <c r="AJ68" s="1420"/>
      <c r="AK68" s="1420"/>
      <c r="AL68" s="1420"/>
      <c r="AM68" s="1420"/>
      <c r="AN68" s="1420"/>
      <c r="AO68" s="1420"/>
      <c r="AP68" s="1420"/>
      <c r="AQ68" s="1420"/>
      <c r="AR68" s="1420"/>
      <c r="AS68" s="1420"/>
      <c r="AT68" s="1420"/>
      <c r="AU68" s="1420"/>
      <c r="AV68" s="1420"/>
      <c r="AW68" s="1420"/>
      <c r="AX68" s="1420"/>
      <c r="AY68" s="1420"/>
      <c r="AZ68" s="1420"/>
      <c r="BA68" s="1420"/>
      <c r="BB68" s="1420"/>
      <c r="BC68" s="1420"/>
      <c r="BD68" s="1420"/>
      <c r="BE68" s="1420"/>
      <c r="BF68" s="1420"/>
      <c r="BG68" s="1420"/>
      <c r="BH68" s="1420"/>
      <c r="BI68" s="1420"/>
      <c r="BJ68" s="1420"/>
      <c r="BK68" s="1420"/>
      <c r="BL68" s="1420"/>
      <c r="BM68" s="1420"/>
    </row>
    <row r="69" spans="1:65" x14ac:dyDescent="0.3">
      <c r="A69" s="56"/>
      <c r="B69" s="1420"/>
      <c r="C69" s="1420"/>
      <c r="D69" s="1420"/>
      <c r="E69" s="1420"/>
      <c r="F69" s="1420"/>
      <c r="G69" s="1420"/>
      <c r="H69" s="1420"/>
      <c r="I69" s="1420"/>
      <c r="J69" s="1420"/>
      <c r="K69" s="1420"/>
      <c r="L69" s="1420"/>
      <c r="M69" s="1420"/>
      <c r="N69" s="1420"/>
      <c r="O69" s="1420"/>
      <c r="P69" s="1420"/>
      <c r="Q69" s="1420"/>
      <c r="R69" s="1420"/>
      <c r="S69" s="1420"/>
      <c r="T69" s="1420"/>
      <c r="U69" s="1420"/>
      <c r="V69" s="1420"/>
      <c r="W69" s="1420"/>
      <c r="X69" s="1420"/>
      <c r="Y69" s="1420"/>
      <c r="Z69" s="1420"/>
      <c r="AA69" s="1420"/>
      <c r="AB69" s="1420"/>
      <c r="AC69" s="1420"/>
      <c r="AD69" s="1420"/>
      <c r="AE69" s="1420"/>
      <c r="AF69" s="1420"/>
      <c r="AG69" s="1420"/>
      <c r="AH69" s="1420"/>
      <c r="AI69" s="1420"/>
      <c r="AJ69" s="1420"/>
      <c r="AK69" s="1420"/>
      <c r="AL69" s="1420"/>
      <c r="AM69" s="1420"/>
      <c r="AN69" s="1420"/>
      <c r="AO69" s="1420"/>
      <c r="AP69" s="1420"/>
      <c r="AQ69" s="1420"/>
      <c r="AR69" s="1420"/>
      <c r="AS69" s="1420"/>
      <c r="AT69" s="1420"/>
      <c r="AU69" s="1420"/>
      <c r="AV69" s="1420"/>
      <c r="AW69" s="1420"/>
      <c r="AX69" s="1420"/>
      <c r="AY69" s="1420"/>
      <c r="AZ69" s="1420"/>
      <c r="BA69" s="1420"/>
      <c r="BB69" s="1420"/>
      <c r="BC69" s="1420"/>
      <c r="BD69" s="1420"/>
      <c r="BE69" s="1420"/>
      <c r="BF69" s="1420"/>
      <c r="BG69" s="1420"/>
      <c r="BH69" s="1420"/>
      <c r="BI69" s="1420"/>
      <c r="BJ69" s="1420"/>
      <c r="BK69" s="1420"/>
      <c r="BL69" s="1420"/>
      <c r="BM69" s="1420"/>
    </row>
    <row r="70" spans="1:65" x14ac:dyDescent="0.3">
      <c r="A70" s="56"/>
      <c r="B70" s="1420"/>
      <c r="C70" s="1420"/>
      <c r="D70" s="1420"/>
      <c r="E70" s="1420"/>
      <c r="F70" s="1420"/>
      <c r="G70" s="1420"/>
      <c r="H70" s="1420"/>
      <c r="I70" s="1420"/>
      <c r="J70" s="1420"/>
      <c r="K70" s="1420"/>
      <c r="L70" s="1420"/>
      <c r="M70" s="1420"/>
      <c r="N70" s="1420"/>
      <c r="O70" s="1420"/>
      <c r="P70" s="1420"/>
      <c r="Q70" s="1420"/>
      <c r="R70" s="1420"/>
      <c r="S70" s="1420"/>
      <c r="T70" s="1420"/>
      <c r="U70" s="1420"/>
      <c r="V70" s="1420"/>
      <c r="W70" s="1420"/>
      <c r="X70" s="1420"/>
      <c r="Y70" s="1420"/>
      <c r="Z70" s="1420"/>
      <c r="AA70" s="1420"/>
      <c r="AB70" s="1420"/>
      <c r="AC70" s="1420"/>
      <c r="AD70" s="1420"/>
      <c r="AE70" s="1420"/>
      <c r="AF70" s="1420"/>
      <c r="AG70" s="1420"/>
      <c r="AH70" s="1420"/>
      <c r="AI70" s="1420"/>
      <c r="AJ70" s="1420"/>
      <c r="AK70" s="1420"/>
      <c r="AL70" s="1420"/>
      <c r="AM70" s="1420"/>
      <c r="AN70" s="1420"/>
      <c r="AO70" s="1420"/>
      <c r="AP70" s="1420"/>
      <c r="AQ70" s="1420"/>
      <c r="AR70" s="1420"/>
      <c r="AS70" s="1420"/>
      <c r="AT70" s="1420"/>
      <c r="AU70" s="1420"/>
      <c r="AV70" s="1420"/>
      <c r="AW70" s="1420"/>
      <c r="AX70" s="1420"/>
      <c r="AY70" s="1420"/>
      <c r="AZ70" s="1420"/>
      <c r="BA70" s="1420"/>
      <c r="BB70" s="1420"/>
      <c r="BC70" s="1420"/>
      <c r="BD70" s="1420"/>
      <c r="BE70" s="1420"/>
      <c r="BF70" s="1420"/>
      <c r="BG70" s="1420"/>
      <c r="BH70" s="1420"/>
      <c r="BI70" s="1420"/>
      <c r="BJ70" s="1420"/>
      <c r="BK70" s="1420"/>
      <c r="BL70" s="1420"/>
      <c r="BM70" s="1420"/>
    </row>
    <row r="71" spans="1:65" x14ac:dyDescent="0.3">
      <c r="A71" s="56"/>
      <c r="B71" s="1420"/>
      <c r="C71" s="1420"/>
      <c r="D71" s="1420"/>
      <c r="E71" s="1420"/>
      <c r="F71" s="1420"/>
      <c r="G71" s="1420"/>
      <c r="H71" s="1420"/>
      <c r="I71" s="1420"/>
      <c r="J71" s="1420"/>
      <c r="K71" s="1420"/>
      <c r="L71" s="1420"/>
      <c r="M71" s="1420"/>
      <c r="N71" s="1420"/>
      <c r="O71" s="1420"/>
      <c r="P71" s="1420"/>
      <c r="Q71" s="1420"/>
      <c r="R71" s="1420"/>
      <c r="S71" s="1420"/>
      <c r="T71" s="1420"/>
      <c r="U71" s="1420"/>
      <c r="V71" s="1420"/>
      <c r="W71" s="1420"/>
      <c r="X71" s="1420"/>
      <c r="Y71" s="1420"/>
      <c r="Z71" s="1420"/>
      <c r="AA71" s="1420"/>
      <c r="AB71" s="1420"/>
      <c r="AC71" s="1420"/>
      <c r="AD71" s="1420"/>
      <c r="AE71" s="1420"/>
      <c r="AF71" s="1420"/>
      <c r="AG71" s="1420"/>
      <c r="AH71" s="1420"/>
      <c r="AI71" s="1420"/>
      <c r="AJ71" s="1420"/>
      <c r="AK71" s="1420"/>
      <c r="AL71" s="1420"/>
      <c r="AM71" s="1420"/>
      <c r="AN71" s="1420"/>
      <c r="AO71" s="1420"/>
      <c r="AP71" s="1420"/>
      <c r="AQ71" s="1420"/>
      <c r="AR71" s="1420"/>
      <c r="AS71" s="1420"/>
      <c r="AT71" s="1420"/>
      <c r="AU71" s="1420"/>
      <c r="AV71" s="1420"/>
      <c r="AW71" s="1420"/>
      <c r="AX71" s="1420"/>
      <c r="AY71" s="1420"/>
      <c r="AZ71" s="1420"/>
      <c r="BA71" s="1420"/>
      <c r="BB71" s="1420"/>
      <c r="BC71" s="1420"/>
      <c r="BD71" s="1420"/>
      <c r="BE71" s="1420"/>
      <c r="BF71" s="1420"/>
      <c r="BG71" s="1420"/>
      <c r="BH71" s="1420"/>
      <c r="BI71" s="1420"/>
      <c r="BJ71" s="1420"/>
      <c r="BK71" s="1420"/>
      <c r="BL71" s="1420"/>
      <c r="BM71" s="1420"/>
    </row>
    <row r="72" spans="1:65" x14ac:dyDescent="0.3">
      <c r="A72" s="56"/>
      <c r="B72" s="1420"/>
      <c r="C72" s="1420"/>
      <c r="D72" s="1420"/>
      <c r="E72" s="1420"/>
      <c r="F72" s="1420"/>
      <c r="G72" s="1420"/>
      <c r="H72" s="1420"/>
      <c r="I72" s="1420"/>
      <c r="J72" s="1420"/>
      <c r="K72" s="1420"/>
      <c r="L72" s="1420"/>
      <c r="M72" s="1420"/>
      <c r="N72" s="1420"/>
      <c r="O72" s="1420"/>
      <c r="P72" s="1420"/>
      <c r="Q72" s="1420"/>
      <c r="R72" s="1420"/>
      <c r="S72" s="1420"/>
      <c r="T72" s="1420"/>
      <c r="U72" s="1420"/>
      <c r="V72" s="1420"/>
      <c r="W72" s="1420"/>
      <c r="X72" s="1420"/>
      <c r="Y72" s="1420"/>
      <c r="Z72" s="1420"/>
      <c r="AA72" s="1420"/>
      <c r="AB72" s="1420"/>
      <c r="AC72" s="1420"/>
      <c r="AD72" s="1420"/>
      <c r="AE72" s="1420"/>
      <c r="AF72" s="1420"/>
      <c r="AG72" s="1420"/>
      <c r="AH72" s="1420"/>
      <c r="AI72" s="1420"/>
      <c r="AJ72" s="1420"/>
      <c r="AK72" s="1420"/>
      <c r="AL72" s="1420"/>
      <c r="AM72" s="1420"/>
      <c r="AN72" s="1420"/>
      <c r="AO72" s="1420"/>
      <c r="AP72" s="1420"/>
      <c r="AQ72" s="1420"/>
      <c r="AR72" s="1420"/>
      <c r="AS72" s="1420"/>
      <c r="AT72" s="1420"/>
      <c r="AU72" s="1420"/>
      <c r="AV72" s="1420"/>
      <c r="AW72" s="1420"/>
      <c r="AX72" s="1420"/>
      <c r="AY72" s="1420"/>
      <c r="AZ72" s="1420"/>
      <c r="BA72" s="1420"/>
      <c r="BB72" s="1420"/>
      <c r="BC72" s="1420"/>
      <c r="BD72" s="1420"/>
      <c r="BE72" s="1420"/>
      <c r="BF72" s="1420"/>
      <c r="BG72" s="1420"/>
      <c r="BH72" s="1420"/>
      <c r="BI72" s="1420"/>
      <c r="BJ72" s="1420"/>
      <c r="BK72" s="1420"/>
      <c r="BL72" s="1420"/>
      <c r="BM72" s="1420"/>
    </row>
    <row r="73" spans="1:65" x14ac:dyDescent="0.3">
      <c r="A73" s="56"/>
      <c r="B73" s="1420"/>
      <c r="C73" s="1420"/>
      <c r="D73" s="1420"/>
      <c r="E73" s="1420"/>
      <c r="F73" s="1420"/>
      <c r="G73" s="1420"/>
      <c r="H73" s="1420"/>
      <c r="I73" s="1420"/>
      <c r="J73" s="1420"/>
      <c r="K73" s="1420"/>
      <c r="L73" s="1420"/>
      <c r="M73" s="1420"/>
      <c r="N73" s="1420"/>
      <c r="O73" s="1420"/>
      <c r="P73" s="1420"/>
      <c r="Q73" s="1420"/>
      <c r="R73" s="1420"/>
      <c r="S73" s="1420"/>
      <c r="T73" s="1420"/>
      <c r="U73" s="1420"/>
      <c r="V73" s="1420"/>
      <c r="W73" s="1420"/>
      <c r="X73" s="1420"/>
      <c r="Y73" s="1420"/>
      <c r="Z73" s="1420"/>
      <c r="AA73" s="1420"/>
      <c r="AB73" s="1420"/>
      <c r="AC73" s="1420"/>
      <c r="AD73" s="1420"/>
      <c r="AE73" s="1420"/>
      <c r="AF73" s="1420"/>
      <c r="AG73" s="1420"/>
      <c r="AH73" s="1420"/>
      <c r="AI73" s="1420"/>
      <c r="AJ73" s="1420"/>
      <c r="AK73" s="1420"/>
      <c r="AL73" s="1420"/>
      <c r="AM73" s="1420"/>
      <c r="AN73" s="1420"/>
      <c r="AO73" s="1420"/>
      <c r="AP73" s="1420"/>
      <c r="AQ73" s="1420"/>
      <c r="AR73" s="1420"/>
      <c r="AS73" s="1420"/>
      <c r="AT73" s="1420"/>
      <c r="AU73" s="1420"/>
      <c r="AV73" s="1420"/>
      <c r="AW73" s="1420"/>
      <c r="AX73" s="1420"/>
      <c r="AY73" s="1420"/>
      <c r="AZ73" s="1420"/>
      <c r="BA73" s="1420"/>
      <c r="BB73" s="1420"/>
      <c r="BC73" s="1420"/>
      <c r="BD73" s="1420"/>
      <c r="BE73" s="1420"/>
      <c r="BF73" s="1420"/>
      <c r="BG73" s="1420"/>
      <c r="BH73" s="1420"/>
      <c r="BI73" s="1420"/>
      <c r="BJ73" s="1420"/>
      <c r="BK73" s="1420"/>
      <c r="BL73" s="1420"/>
      <c r="BM73" s="1420"/>
    </row>
    <row r="74" spans="1:65" x14ac:dyDescent="0.3">
      <c r="A74" s="56"/>
      <c r="B74" s="1420"/>
      <c r="C74" s="1420"/>
      <c r="D74" s="1420"/>
      <c r="E74" s="1420"/>
      <c r="F74" s="1420"/>
      <c r="G74" s="1420"/>
      <c r="H74" s="1420"/>
      <c r="I74" s="1420"/>
      <c r="J74" s="1420"/>
      <c r="K74" s="1420"/>
      <c r="L74" s="1420"/>
      <c r="M74" s="1420"/>
      <c r="N74" s="1420"/>
      <c r="O74" s="1420"/>
      <c r="P74" s="1420"/>
      <c r="Q74" s="1420"/>
      <c r="R74" s="1420"/>
      <c r="S74" s="1420"/>
      <c r="T74" s="1420"/>
      <c r="U74" s="1420"/>
      <c r="V74" s="1420"/>
      <c r="W74" s="1420"/>
      <c r="X74" s="1420"/>
      <c r="Y74" s="1420"/>
      <c r="Z74" s="1420"/>
      <c r="AA74" s="1420"/>
      <c r="AB74" s="1420"/>
      <c r="AC74" s="1420"/>
      <c r="AD74" s="1420"/>
      <c r="AE74" s="1420"/>
      <c r="AF74" s="1420"/>
      <c r="AG74" s="1420"/>
      <c r="AH74" s="1420"/>
      <c r="AI74" s="1420"/>
      <c r="AJ74" s="1420"/>
      <c r="AK74" s="1420"/>
      <c r="AL74" s="1420"/>
      <c r="AM74" s="1420"/>
      <c r="AN74" s="1420"/>
      <c r="AO74" s="1420"/>
      <c r="AP74" s="1420"/>
      <c r="AQ74" s="1420"/>
      <c r="AR74" s="1420"/>
      <c r="AS74" s="1420"/>
      <c r="AT74" s="1420"/>
      <c r="AU74" s="1420"/>
      <c r="AV74" s="1420"/>
      <c r="AW74" s="1420"/>
      <c r="AX74" s="1420"/>
      <c r="AY74" s="1420"/>
      <c r="AZ74" s="1420"/>
      <c r="BA74" s="1420"/>
      <c r="BB74" s="1420"/>
      <c r="BC74" s="1420"/>
      <c r="BD74" s="1420"/>
      <c r="BE74" s="1420"/>
      <c r="BF74" s="1420"/>
      <c r="BG74" s="1420"/>
      <c r="BH74" s="1420"/>
      <c r="BI74" s="1420"/>
      <c r="BJ74" s="1420"/>
      <c r="BK74" s="1420"/>
      <c r="BL74" s="1420"/>
      <c r="BM74" s="1420"/>
    </row>
    <row r="75" spans="1:65" x14ac:dyDescent="0.3">
      <c r="A75" s="56"/>
      <c r="B75" s="1420"/>
      <c r="C75" s="1420"/>
      <c r="D75" s="1420"/>
      <c r="E75" s="1420"/>
      <c r="F75" s="1420"/>
      <c r="G75" s="1420"/>
      <c r="H75" s="1420"/>
      <c r="I75" s="1420"/>
      <c r="J75" s="1420"/>
      <c r="K75" s="1420"/>
      <c r="L75" s="1420"/>
      <c r="M75" s="1420"/>
      <c r="N75" s="1420"/>
      <c r="O75" s="1420"/>
      <c r="P75" s="1420"/>
      <c r="Q75" s="1420"/>
      <c r="R75" s="1420"/>
      <c r="S75" s="1420"/>
      <c r="T75" s="1420"/>
      <c r="U75" s="1420"/>
      <c r="V75" s="1420"/>
      <c r="W75" s="1420"/>
      <c r="X75" s="1420"/>
      <c r="Y75" s="1420"/>
      <c r="Z75" s="1420"/>
      <c r="AA75" s="1420"/>
      <c r="AB75" s="1420"/>
      <c r="AC75" s="1420"/>
      <c r="AD75" s="1420"/>
      <c r="AE75" s="1420"/>
      <c r="AF75" s="1420"/>
      <c r="AG75" s="1420"/>
      <c r="AH75" s="1420"/>
      <c r="AI75" s="1420"/>
      <c r="AJ75" s="1420"/>
      <c r="AK75" s="1420"/>
      <c r="AL75" s="1420"/>
      <c r="AM75" s="1420"/>
      <c r="AN75" s="1420"/>
      <c r="AO75" s="1420"/>
      <c r="AP75" s="1420"/>
      <c r="AQ75" s="1420"/>
      <c r="AR75" s="1420"/>
      <c r="AS75" s="1420"/>
      <c r="AT75" s="1420"/>
      <c r="AU75" s="1420"/>
      <c r="AV75" s="1420"/>
      <c r="AW75" s="1420"/>
      <c r="AX75" s="1420"/>
      <c r="AY75" s="1420"/>
      <c r="AZ75" s="1420"/>
      <c r="BA75" s="1420"/>
      <c r="BB75" s="1420"/>
      <c r="BC75" s="1420"/>
      <c r="BD75" s="1420"/>
      <c r="BE75" s="1420"/>
      <c r="BF75" s="1420"/>
      <c r="BG75" s="1420"/>
      <c r="BH75" s="1420"/>
      <c r="BI75" s="1420"/>
      <c r="BJ75" s="1420"/>
      <c r="BK75" s="1420"/>
      <c r="BL75" s="1420"/>
      <c r="BM75" s="1420"/>
    </row>
    <row r="76" spans="1:65" x14ac:dyDescent="0.3">
      <c r="A76" s="56"/>
      <c r="B76" s="1420"/>
      <c r="C76" s="1420"/>
      <c r="D76" s="1420"/>
      <c r="E76" s="1420"/>
      <c r="F76" s="1420"/>
      <c r="G76" s="1420"/>
      <c r="H76" s="1420"/>
      <c r="I76" s="1420"/>
      <c r="J76" s="1420"/>
      <c r="K76" s="1420"/>
      <c r="L76" s="1420"/>
      <c r="M76" s="1420"/>
      <c r="N76" s="1420"/>
      <c r="O76" s="1420"/>
      <c r="P76" s="1420"/>
      <c r="Q76" s="1420"/>
      <c r="R76" s="1420"/>
      <c r="S76" s="1420"/>
      <c r="T76" s="1420"/>
      <c r="U76" s="1420"/>
      <c r="V76" s="1420"/>
      <c r="W76" s="1420"/>
      <c r="X76" s="1420"/>
      <c r="Y76" s="1420"/>
      <c r="Z76" s="1420"/>
      <c r="AA76" s="1420"/>
      <c r="AB76" s="1420"/>
      <c r="AC76" s="1420"/>
      <c r="AD76" s="1420"/>
      <c r="AE76" s="1420"/>
      <c r="AF76" s="1420"/>
      <c r="AG76" s="1420"/>
      <c r="AH76" s="1420"/>
      <c r="AI76" s="1420"/>
      <c r="AJ76" s="1420"/>
      <c r="AK76" s="1420"/>
      <c r="AL76" s="1420"/>
      <c r="AM76" s="1420"/>
      <c r="AN76" s="1420"/>
      <c r="AO76" s="1420"/>
      <c r="AP76" s="1420"/>
      <c r="AQ76" s="1420"/>
      <c r="AR76" s="1420"/>
      <c r="AS76" s="1420"/>
      <c r="AT76" s="1420"/>
      <c r="AU76" s="1420"/>
      <c r="AV76" s="1420"/>
      <c r="AW76" s="1420"/>
      <c r="AX76" s="1420"/>
      <c r="AY76" s="1420"/>
      <c r="AZ76" s="1420"/>
      <c r="BA76" s="1420"/>
      <c r="BB76" s="1420"/>
      <c r="BC76" s="1420"/>
      <c r="BD76" s="1420"/>
      <c r="BE76" s="1420"/>
      <c r="BF76" s="1420"/>
      <c r="BG76" s="1420"/>
      <c r="BH76" s="1420"/>
      <c r="BI76" s="1420"/>
      <c r="BJ76" s="1420"/>
      <c r="BK76" s="1420"/>
      <c r="BL76" s="1420"/>
      <c r="BM76" s="1420"/>
    </row>
    <row r="77" spans="1:65" x14ac:dyDescent="0.3">
      <c r="A77" s="56"/>
      <c r="B77" s="1420"/>
      <c r="C77" s="1420"/>
      <c r="D77" s="1420"/>
      <c r="E77" s="1420"/>
      <c r="F77" s="1420"/>
      <c r="G77" s="1420"/>
      <c r="H77" s="1420"/>
      <c r="I77" s="1420"/>
      <c r="J77" s="1420"/>
      <c r="K77" s="1420"/>
      <c r="L77" s="1420"/>
      <c r="M77" s="1420"/>
      <c r="N77" s="1420"/>
      <c r="O77" s="1420"/>
      <c r="P77" s="1420"/>
      <c r="Q77" s="1420"/>
      <c r="R77" s="1420"/>
      <c r="S77" s="1420"/>
      <c r="T77" s="1420"/>
      <c r="U77" s="1420"/>
      <c r="V77" s="1420"/>
      <c r="W77" s="1420"/>
      <c r="X77" s="1420"/>
      <c r="Y77" s="1420"/>
      <c r="Z77" s="1420"/>
      <c r="AA77" s="1420"/>
      <c r="AB77" s="1420"/>
      <c r="AC77" s="1420"/>
      <c r="AD77" s="1420"/>
      <c r="AE77" s="1420"/>
      <c r="AF77" s="1420"/>
      <c r="AG77" s="1420"/>
      <c r="AH77" s="1420"/>
      <c r="AI77" s="1420"/>
      <c r="AJ77" s="1420"/>
      <c r="AK77" s="1420"/>
      <c r="AL77" s="1420"/>
      <c r="AM77" s="1420"/>
      <c r="AN77" s="1420"/>
      <c r="AO77" s="1420"/>
      <c r="AP77" s="1420"/>
      <c r="AQ77" s="1420"/>
      <c r="AR77" s="1420"/>
      <c r="AS77" s="1420"/>
      <c r="AT77" s="1420"/>
      <c r="AU77" s="1420"/>
      <c r="AV77" s="1420"/>
      <c r="AW77" s="1420"/>
      <c r="AX77" s="1420"/>
      <c r="AY77" s="1420"/>
      <c r="AZ77" s="1420"/>
      <c r="BA77" s="1420"/>
      <c r="BB77" s="1420"/>
      <c r="BC77" s="1420"/>
      <c r="BD77" s="1420"/>
      <c r="BE77" s="1420"/>
      <c r="BF77" s="1420"/>
      <c r="BG77" s="1420"/>
      <c r="BH77" s="1420"/>
      <c r="BI77" s="1420"/>
      <c r="BJ77" s="1420"/>
      <c r="BK77" s="1420"/>
      <c r="BL77" s="1420"/>
      <c r="BM77" s="1420"/>
    </row>
    <row r="78" spans="1:65" x14ac:dyDescent="0.3">
      <c r="A78" s="56"/>
      <c r="B78" s="1420"/>
      <c r="C78" s="1420"/>
      <c r="D78" s="1420"/>
      <c r="E78" s="1420"/>
      <c r="F78" s="1420"/>
      <c r="G78" s="1420"/>
      <c r="H78" s="1420"/>
      <c r="I78" s="1420"/>
      <c r="J78" s="1420"/>
      <c r="K78" s="1420"/>
      <c r="L78" s="1420"/>
      <c r="M78" s="1420"/>
      <c r="N78" s="1420"/>
      <c r="O78" s="1420"/>
      <c r="P78" s="1420"/>
      <c r="Q78" s="1420"/>
      <c r="R78" s="1420"/>
      <c r="S78" s="1420"/>
      <c r="T78" s="1420"/>
      <c r="U78" s="1420"/>
      <c r="V78" s="1420"/>
      <c r="W78" s="1420"/>
      <c r="X78" s="1420"/>
      <c r="Y78" s="1420"/>
      <c r="Z78" s="1420"/>
      <c r="AA78" s="1420"/>
      <c r="AB78" s="1420"/>
      <c r="AC78" s="1420"/>
      <c r="AD78" s="1420"/>
      <c r="AE78" s="1420"/>
      <c r="AF78" s="1420"/>
      <c r="AG78" s="1420"/>
      <c r="AH78" s="1420"/>
      <c r="AI78" s="1420"/>
      <c r="AJ78" s="1420"/>
      <c r="AK78" s="1420"/>
      <c r="AL78" s="1420"/>
      <c r="AM78" s="1420"/>
      <c r="AN78" s="1420"/>
      <c r="AO78" s="1420"/>
      <c r="AP78" s="1420"/>
      <c r="AQ78" s="1420"/>
      <c r="AR78" s="1420"/>
      <c r="AS78" s="1420"/>
      <c r="AT78" s="1420"/>
      <c r="AU78" s="1420"/>
      <c r="AV78" s="1420"/>
      <c r="AW78" s="1420"/>
      <c r="AX78" s="1420"/>
      <c r="AY78" s="1420"/>
      <c r="AZ78" s="1420"/>
      <c r="BA78" s="1420"/>
      <c r="BB78" s="1420"/>
      <c r="BC78" s="1420"/>
      <c r="BD78" s="1420"/>
      <c r="BE78" s="1420"/>
      <c r="BF78" s="1420"/>
      <c r="BG78" s="1420"/>
      <c r="BH78" s="1420"/>
      <c r="BI78" s="1420"/>
      <c r="BJ78" s="1420"/>
      <c r="BK78" s="1420"/>
      <c r="BL78" s="1420"/>
      <c r="BM78" s="1420"/>
    </row>
    <row r="79" spans="1:65" x14ac:dyDescent="0.3">
      <c r="A79" s="56"/>
      <c r="B79" s="1420"/>
      <c r="C79" s="1420"/>
      <c r="D79" s="1420"/>
      <c r="E79" s="1420"/>
      <c r="F79" s="1420"/>
      <c r="G79" s="1420"/>
      <c r="H79" s="1420"/>
      <c r="I79" s="1420"/>
      <c r="J79" s="1420"/>
      <c r="K79" s="1420"/>
      <c r="L79" s="1420"/>
      <c r="M79" s="1420"/>
      <c r="N79" s="1420"/>
      <c r="O79" s="1420"/>
      <c r="P79" s="1420"/>
      <c r="Q79" s="1420"/>
      <c r="R79" s="1420"/>
      <c r="S79" s="1420"/>
      <c r="T79" s="1420"/>
      <c r="U79" s="1420"/>
      <c r="V79" s="1420"/>
      <c r="W79" s="1420"/>
      <c r="X79" s="1420"/>
      <c r="Y79" s="1420"/>
      <c r="Z79" s="1420"/>
      <c r="AA79" s="1420"/>
      <c r="AB79" s="1420"/>
      <c r="AC79" s="1420"/>
      <c r="AD79" s="1420"/>
      <c r="AE79" s="1420"/>
      <c r="AF79" s="1420"/>
      <c r="AG79" s="1420"/>
      <c r="AH79" s="1420"/>
      <c r="AI79" s="1420"/>
      <c r="AJ79" s="1420"/>
      <c r="AK79" s="1420"/>
      <c r="AL79" s="1420"/>
      <c r="AM79" s="1420"/>
      <c r="AN79" s="1420"/>
      <c r="AO79" s="1420"/>
      <c r="AP79" s="1420"/>
      <c r="AQ79" s="1420"/>
      <c r="AR79" s="1420"/>
      <c r="AS79" s="1420"/>
      <c r="AT79" s="1420"/>
      <c r="AU79" s="1420"/>
      <c r="AV79" s="1420"/>
      <c r="AW79" s="1420"/>
      <c r="AX79" s="1420"/>
      <c r="AY79" s="1420"/>
      <c r="AZ79" s="1420"/>
      <c r="BA79" s="1420"/>
      <c r="BB79" s="1420"/>
      <c r="BC79" s="1420"/>
      <c r="BD79" s="1420"/>
      <c r="BE79" s="1420"/>
      <c r="BF79" s="1420"/>
      <c r="BG79" s="1420"/>
      <c r="BH79" s="1420"/>
      <c r="BI79" s="1420"/>
      <c r="BJ79" s="1420"/>
      <c r="BK79" s="1420"/>
      <c r="BL79" s="1420"/>
      <c r="BM79" s="1420"/>
    </row>
    <row r="80" spans="1:65" x14ac:dyDescent="0.3">
      <c r="A80" s="56"/>
      <c r="B80" s="1420"/>
      <c r="C80" s="1420"/>
      <c r="D80" s="1420"/>
      <c r="E80" s="1420"/>
      <c r="F80" s="1420"/>
      <c r="G80" s="1420"/>
      <c r="H80" s="1420"/>
      <c r="I80" s="1420"/>
      <c r="J80" s="1420"/>
      <c r="K80" s="1420"/>
      <c r="L80" s="1420"/>
      <c r="M80" s="1420"/>
      <c r="N80" s="1420"/>
      <c r="O80" s="1420"/>
      <c r="P80" s="1420"/>
      <c r="Q80" s="1420"/>
      <c r="R80" s="1420"/>
      <c r="S80" s="1420"/>
      <c r="T80" s="1420"/>
      <c r="U80" s="1420"/>
      <c r="V80" s="1420"/>
      <c r="W80" s="1420"/>
      <c r="X80" s="1420"/>
      <c r="Y80" s="1420"/>
      <c r="Z80" s="1420"/>
      <c r="AA80" s="1420"/>
      <c r="AB80" s="1420"/>
      <c r="AC80" s="1420"/>
      <c r="AD80" s="1420"/>
      <c r="AE80" s="1420"/>
      <c r="AF80" s="1420"/>
      <c r="AG80" s="1420"/>
      <c r="AH80" s="1420"/>
      <c r="AI80" s="1420"/>
      <c r="AJ80" s="1420"/>
      <c r="AK80" s="1420"/>
      <c r="AL80" s="1420"/>
      <c r="AM80" s="1420"/>
      <c r="AN80" s="1420"/>
      <c r="AO80" s="1420"/>
      <c r="AP80" s="1420"/>
      <c r="AQ80" s="1420"/>
      <c r="AR80" s="1420"/>
      <c r="AS80" s="1420"/>
      <c r="AT80" s="1420"/>
      <c r="AU80" s="1420"/>
      <c r="AV80" s="1420"/>
      <c r="AW80" s="1420"/>
      <c r="AX80" s="1420"/>
      <c r="AY80" s="1420"/>
      <c r="AZ80" s="1420"/>
      <c r="BA80" s="1420"/>
      <c r="BB80" s="1420"/>
      <c r="BC80" s="1420"/>
      <c r="BD80" s="1420"/>
      <c r="BE80" s="1420"/>
      <c r="BF80" s="1420"/>
      <c r="BG80" s="1420"/>
      <c r="BH80" s="1420"/>
      <c r="BI80" s="1420"/>
      <c r="BJ80" s="1420"/>
      <c r="BK80" s="1420"/>
      <c r="BL80" s="1420"/>
      <c r="BM80" s="1420"/>
    </row>
    <row r="81" spans="1:65" x14ac:dyDescent="0.3">
      <c r="A81" s="56"/>
      <c r="B81" s="1420"/>
      <c r="C81" s="1420"/>
      <c r="D81" s="1420"/>
      <c r="E81" s="1420"/>
      <c r="F81" s="1420"/>
      <c r="G81" s="1420"/>
      <c r="H81" s="1420"/>
      <c r="I81" s="1420"/>
      <c r="J81" s="1420"/>
      <c r="K81" s="1420"/>
      <c r="L81" s="1420"/>
      <c r="M81" s="1420"/>
      <c r="N81" s="1420"/>
      <c r="O81" s="1420"/>
      <c r="P81" s="1420"/>
      <c r="Q81" s="1420"/>
      <c r="R81" s="1420"/>
      <c r="S81" s="1420"/>
      <c r="T81" s="1420"/>
      <c r="U81" s="1420"/>
      <c r="V81" s="1420"/>
      <c r="W81" s="1420"/>
      <c r="X81" s="1420"/>
      <c r="Y81" s="1420"/>
      <c r="Z81" s="1420"/>
      <c r="AA81" s="1420"/>
      <c r="AB81" s="1420"/>
      <c r="AC81" s="1420"/>
      <c r="AD81" s="1420"/>
      <c r="AE81" s="1420"/>
      <c r="AF81" s="1420"/>
      <c r="AG81" s="1420"/>
      <c r="AH81" s="1420"/>
      <c r="AI81" s="1420"/>
      <c r="AJ81" s="1420"/>
      <c r="AK81" s="1420"/>
      <c r="AL81" s="1420"/>
      <c r="AM81" s="1420"/>
      <c r="AN81" s="1420"/>
      <c r="AO81" s="1420"/>
      <c r="AP81" s="1420"/>
      <c r="AQ81" s="1420"/>
      <c r="AR81" s="1420"/>
      <c r="AS81" s="1420"/>
      <c r="AT81" s="1420"/>
      <c r="AU81" s="1420"/>
      <c r="AV81" s="1420"/>
      <c r="AW81" s="1420"/>
      <c r="AX81" s="1420"/>
      <c r="AY81" s="1420"/>
      <c r="AZ81" s="1420"/>
      <c r="BA81" s="1420"/>
      <c r="BB81" s="1420"/>
      <c r="BC81" s="1420"/>
      <c r="BD81" s="1420"/>
      <c r="BE81" s="1420"/>
      <c r="BF81" s="1420"/>
      <c r="BG81" s="1420"/>
      <c r="BH81" s="1420"/>
      <c r="BI81" s="1420"/>
      <c r="BJ81" s="1420"/>
      <c r="BK81" s="1420"/>
      <c r="BL81" s="1420"/>
      <c r="BM81" s="1420"/>
    </row>
    <row r="82" spans="1:65" x14ac:dyDescent="0.3">
      <c r="A82" s="56"/>
      <c r="B82" s="1420"/>
      <c r="C82" s="1420"/>
      <c r="D82" s="1420"/>
      <c r="E82" s="1420"/>
      <c r="F82" s="1420"/>
      <c r="G82" s="1420"/>
      <c r="H82" s="1420"/>
      <c r="I82" s="1420"/>
      <c r="J82" s="1420"/>
      <c r="K82" s="1420"/>
      <c r="L82" s="1420"/>
      <c r="M82" s="1420"/>
      <c r="N82" s="1420"/>
      <c r="O82" s="1420"/>
      <c r="P82" s="1420"/>
      <c r="Q82" s="1420"/>
      <c r="R82" s="1420"/>
      <c r="S82" s="1420"/>
      <c r="T82" s="1420"/>
      <c r="U82" s="1420"/>
      <c r="V82" s="1420"/>
      <c r="W82" s="1420"/>
      <c r="X82" s="1420"/>
      <c r="Y82" s="1420"/>
      <c r="Z82" s="1420"/>
      <c r="AA82" s="1420"/>
      <c r="AB82" s="1420"/>
      <c r="AC82" s="1420"/>
      <c r="AD82" s="1420"/>
      <c r="AE82" s="1420"/>
      <c r="AF82" s="1420"/>
      <c r="AG82" s="1420"/>
      <c r="AH82" s="1420"/>
      <c r="AI82" s="1420"/>
      <c r="AJ82" s="1420"/>
      <c r="AK82" s="1420"/>
      <c r="AL82" s="1420"/>
      <c r="AM82" s="1420"/>
      <c r="AN82" s="1420"/>
      <c r="AO82" s="1420"/>
      <c r="AP82" s="1420"/>
      <c r="AQ82" s="1420"/>
      <c r="AR82" s="1420"/>
      <c r="AS82" s="1420"/>
      <c r="AT82" s="1420"/>
      <c r="AU82" s="1420"/>
      <c r="AV82" s="1420"/>
      <c r="AW82" s="1420"/>
      <c r="AX82" s="1420"/>
      <c r="AY82" s="1420"/>
      <c r="AZ82" s="1420"/>
      <c r="BA82" s="1420"/>
      <c r="BB82" s="1420"/>
      <c r="BC82" s="1420"/>
      <c r="BD82" s="1420"/>
      <c r="BE82" s="1420"/>
      <c r="BF82" s="1420"/>
      <c r="BG82" s="1420"/>
      <c r="BH82" s="1420"/>
      <c r="BI82" s="1420"/>
      <c r="BJ82" s="1420"/>
      <c r="BK82" s="1420"/>
      <c r="BL82" s="1420"/>
      <c r="BM82" s="1420"/>
    </row>
    <row r="83" spans="1:65" x14ac:dyDescent="0.3">
      <c r="A83" s="56"/>
      <c r="B83" s="1420"/>
      <c r="C83" s="1420"/>
      <c r="D83" s="1420"/>
      <c r="E83" s="1420"/>
      <c r="F83" s="1420"/>
      <c r="G83" s="1420"/>
      <c r="H83" s="1420"/>
      <c r="I83" s="1420"/>
      <c r="J83" s="1420"/>
      <c r="K83" s="1420"/>
      <c r="L83" s="1420"/>
      <c r="M83" s="1420"/>
      <c r="N83" s="1420"/>
      <c r="O83" s="1420"/>
      <c r="P83" s="1420"/>
      <c r="Q83" s="1420"/>
      <c r="R83" s="1420"/>
      <c r="S83" s="1420"/>
      <c r="T83" s="1420"/>
      <c r="U83" s="1420"/>
      <c r="V83" s="1420"/>
      <c r="W83" s="1420"/>
      <c r="X83" s="1420"/>
      <c r="Y83" s="1420"/>
      <c r="Z83" s="1420"/>
      <c r="AA83" s="1420"/>
      <c r="AB83" s="1420"/>
      <c r="AC83" s="1420"/>
      <c r="AD83" s="1420"/>
      <c r="AE83" s="1420"/>
      <c r="AF83" s="1420"/>
      <c r="AG83" s="1420"/>
      <c r="AH83" s="1420"/>
      <c r="AI83" s="1420"/>
      <c r="AJ83" s="1420"/>
      <c r="AK83" s="1420"/>
      <c r="AL83" s="1420"/>
      <c r="AM83" s="1420"/>
      <c r="AN83" s="1420"/>
      <c r="AO83" s="1420"/>
      <c r="AP83" s="1420"/>
      <c r="AQ83" s="1420"/>
      <c r="AR83" s="1420"/>
      <c r="AS83" s="1420"/>
      <c r="AT83" s="1420"/>
      <c r="AU83" s="1420"/>
      <c r="AV83" s="1420"/>
      <c r="AW83" s="1420"/>
      <c r="AX83" s="1420"/>
      <c r="AY83" s="1420"/>
      <c r="AZ83" s="1420"/>
      <c r="BA83" s="1420"/>
      <c r="BB83" s="1420"/>
      <c r="BC83" s="1420"/>
      <c r="BD83" s="1420"/>
      <c r="BE83" s="1420"/>
      <c r="BF83" s="1420"/>
      <c r="BG83" s="1420"/>
      <c r="BH83" s="1420"/>
      <c r="BI83" s="1420"/>
      <c r="BJ83" s="1420"/>
      <c r="BK83" s="1420"/>
      <c r="BL83" s="1420"/>
      <c r="BM83" s="1420"/>
    </row>
    <row r="84" spans="1:65" x14ac:dyDescent="0.3">
      <c r="A84" s="56"/>
      <c r="B84" s="1420"/>
      <c r="C84" s="1420"/>
      <c r="D84" s="1420"/>
      <c r="E84" s="1420"/>
      <c r="F84" s="1420"/>
      <c r="G84" s="1420"/>
      <c r="H84" s="1420"/>
      <c r="I84" s="1420"/>
      <c r="J84" s="1420"/>
      <c r="K84" s="1420"/>
      <c r="L84" s="1420"/>
      <c r="M84" s="1420"/>
      <c r="N84" s="1420"/>
      <c r="O84" s="1420"/>
      <c r="P84" s="1420"/>
      <c r="Q84" s="1420"/>
      <c r="R84" s="1420"/>
      <c r="S84" s="1420"/>
      <c r="T84" s="1420"/>
      <c r="U84" s="1420"/>
      <c r="V84" s="1420"/>
      <c r="W84" s="1420"/>
      <c r="X84" s="1420"/>
      <c r="Y84" s="1420"/>
      <c r="Z84" s="1420"/>
      <c r="AA84" s="1420"/>
      <c r="AB84" s="1420"/>
      <c r="AC84" s="1420"/>
      <c r="AD84" s="1420"/>
      <c r="AE84" s="1420"/>
      <c r="AF84" s="1420"/>
      <c r="AG84" s="1420"/>
      <c r="AH84" s="1420"/>
      <c r="AI84" s="1420"/>
      <c r="AJ84" s="1420"/>
      <c r="AK84" s="1420"/>
      <c r="AL84" s="1420"/>
      <c r="AM84" s="1420"/>
      <c r="AN84" s="1420"/>
      <c r="AO84" s="1420"/>
      <c r="AP84" s="1420"/>
      <c r="AQ84" s="1420"/>
      <c r="AR84" s="1420"/>
      <c r="AS84" s="1420"/>
      <c r="AT84" s="1420"/>
      <c r="AU84" s="1420"/>
      <c r="AV84" s="1420"/>
      <c r="AW84" s="1420"/>
      <c r="AX84" s="1420"/>
      <c r="AY84" s="1420"/>
      <c r="AZ84" s="1420"/>
      <c r="BA84" s="1420"/>
      <c r="BB84" s="1420"/>
      <c r="BC84" s="1420"/>
      <c r="BD84" s="1420"/>
      <c r="BE84" s="1420"/>
      <c r="BF84" s="1420"/>
      <c r="BG84" s="1420"/>
      <c r="BH84" s="1420"/>
      <c r="BI84" s="1420"/>
      <c r="BJ84" s="1420"/>
      <c r="BK84" s="1420"/>
      <c r="BL84" s="1420"/>
      <c r="BM84" s="1420"/>
    </row>
    <row r="85" spans="1:65" x14ac:dyDescent="0.3">
      <c r="A85" s="56"/>
      <c r="B85" s="1420"/>
      <c r="C85" s="1420"/>
      <c r="D85" s="1420"/>
      <c r="E85" s="1420"/>
      <c r="F85" s="1420"/>
      <c r="G85" s="1420"/>
      <c r="H85" s="1420"/>
      <c r="I85" s="1420"/>
      <c r="J85" s="1420"/>
      <c r="K85" s="1420"/>
      <c r="L85" s="1420"/>
      <c r="M85" s="1420"/>
      <c r="N85" s="1420"/>
      <c r="O85" s="1420"/>
      <c r="P85" s="1420"/>
      <c r="Q85" s="1420"/>
      <c r="R85" s="1420"/>
      <c r="S85" s="1420"/>
      <c r="T85" s="1420"/>
      <c r="U85" s="1420"/>
      <c r="V85" s="1420"/>
      <c r="W85" s="1420"/>
      <c r="X85" s="1420"/>
      <c r="Y85" s="1420"/>
      <c r="Z85" s="1420"/>
      <c r="AA85" s="1420"/>
      <c r="AB85" s="1420"/>
      <c r="AC85" s="1420"/>
      <c r="AD85" s="1420"/>
      <c r="AE85" s="1420"/>
      <c r="AF85" s="1420"/>
      <c r="AG85" s="1420"/>
      <c r="AH85" s="1420"/>
      <c r="AI85" s="1420"/>
      <c r="AJ85" s="1420"/>
      <c r="AK85" s="1420"/>
      <c r="AL85" s="1420"/>
      <c r="AM85" s="1420"/>
      <c r="AN85" s="1420"/>
      <c r="AO85" s="1420"/>
      <c r="AP85" s="1420"/>
      <c r="AQ85" s="1420"/>
      <c r="AR85" s="1420"/>
      <c r="AS85" s="1420"/>
      <c r="AT85" s="1420"/>
      <c r="AU85" s="1420"/>
      <c r="AV85" s="1420"/>
      <c r="AW85" s="1420"/>
      <c r="AX85" s="1420"/>
      <c r="AY85" s="1420"/>
      <c r="AZ85" s="1420"/>
      <c r="BA85" s="1420"/>
      <c r="BB85" s="1420"/>
      <c r="BC85" s="1420"/>
      <c r="BD85" s="1420"/>
      <c r="BE85" s="1420"/>
      <c r="BF85" s="1420"/>
      <c r="BG85" s="1420"/>
      <c r="BH85" s="1420"/>
      <c r="BI85" s="1420"/>
      <c r="BJ85" s="1420"/>
      <c r="BK85" s="1420"/>
      <c r="BL85" s="1420"/>
      <c r="BM85" s="1420"/>
    </row>
    <row r="86" spans="1:65" x14ac:dyDescent="0.3">
      <c r="A86" s="56"/>
      <c r="B86" s="1420"/>
      <c r="C86" s="1420"/>
      <c r="D86" s="1420"/>
      <c r="E86" s="1420"/>
      <c r="F86" s="1420"/>
      <c r="G86" s="1420"/>
      <c r="H86" s="1420"/>
      <c r="I86" s="1420"/>
      <c r="J86" s="1420"/>
      <c r="K86" s="1420"/>
      <c r="L86" s="1420"/>
      <c r="M86" s="1420"/>
      <c r="N86" s="1420"/>
      <c r="O86" s="1420"/>
      <c r="P86" s="1420"/>
      <c r="Q86" s="1420"/>
      <c r="R86" s="1420"/>
      <c r="S86" s="1420"/>
      <c r="T86" s="1420"/>
      <c r="U86" s="1420"/>
      <c r="V86" s="1420"/>
      <c r="W86" s="1420"/>
      <c r="X86" s="1420"/>
      <c r="Y86" s="1420"/>
      <c r="Z86" s="1420"/>
      <c r="AA86" s="1420"/>
      <c r="AB86" s="1420"/>
      <c r="AC86" s="1420"/>
      <c r="AD86" s="1420"/>
      <c r="AE86" s="1420"/>
      <c r="AF86" s="1420"/>
      <c r="AG86" s="1420"/>
      <c r="AH86" s="1420"/>
      <c r="AI86" s="1420"/>
      <c r="AJ86" s="1420"/>
      <c r="AK86" s="1420"/>
      <c r="AL86" s="1420"/>
      <c r="AM86" s="1420"/>
      <c r="AN86" s="1420"/>
      <c r="AO86" s="1420"/>
      <c r="AP86" s="1420"/>
      <c r="AQ86" s="1420"/>
      <c r="AR86" s="1420"/>
      <c r="AS86" s="1420"/>
      <c r="AT86" s="1420"/>
      <c r="AU86" s="1420"/>
      <c r="AV86" s="1420"/>
      <c r="AW86" s="1420"/>
      <c r="AX86" s="1420"/>
      <c r="AY86" s="1420"/>
      <c r="AZ86" s="1420"/>
      <c r="BA86" s="1420"/>
      <c r="BB86" s="1420"/>
      <c r="BC86" s="1420"/>
      <c r="BD86" s="1420"/>
      <c r="BE86" s="1420"/>
      <c r="BF86" s="1420"/>
      <c r="BG86" s="1420"/>
      <c r="BH86" s="1420"/>
      <c r="BI86" s="1420"/>
      <c r="BJ86" s="1420"/>
      <c r="BK86" s="1420"/>
      <c r="BL86" s="1420"/>
      <c r="BM86" s="1420"/>
    </row>
    <row r="87" spans="1:65" x14ac:dyDescent="0.3">
      <c r="A87" s="56"/>
      <c r="B87" s="1420"/>
      <c r="C87" s="1420"/>
      <c r="D87" s="1420"/>
      <c r="E87" s="1420"/>
      <c r="F87" s="1420"/>
      <c r="G87" s="1420"/>
      <c r="H87" s="1420"/>
      <c r="I87" s="1420"/>
      <c r="J87" s="1420"/>
      <c r="K87" s="1420"/>
      <c r="L87" s="1420"/>
      <c r="M87" s="1420"/>
      <c r="N87" s="1420"/>
      <c r="O87" s="1420"/>
      <c r="P87" s="1420"/>
      <c r="Q87" s="1420"/>
      <c r="R87" s="1420"/>
      <c r="S87" s="1420"/>
      <c r="T87" s="1420"/>
      <c r="U87" s="1420"/>
      <c r="V87" s="1420"/>
      <c r="W87" s="1420"/>
      <c r="X87" s="1420"/>
      <c r="Y87" s="1420"/>
      <c r="Z87" s="1420"/>
      <c r="AA87" s="1420"/>
      <c r="AB87" s="1420"/>
      <c r="AC87" s="1420"/>
      <c r="AD87" s="1420"/>
      <c r="AE87" s="1420"/>
      <c r="AF87" s="1420"/>
      <c r="AG87" s="1420"/>
      <c r="AH87" s="1420"/>
      <c r="AI87" s="1420"/>
      <c r="AJ87" s="1420"/>
      <c r="AK87" s="1420"/>
      <c r="AL87" s="1420"/>
      <c r="AM87" s="1420"/>
      <c r="AN87" s="1420"/>
      <c r="AO87" s="1420"/>
      <c r="AP87" s="1420"/>
      <c r="AQ87" s="1420"/>
      <c r="AR87" s="1420"/>
      <c r="AS87" s="1420"/>
      <c r="AT87" s="1420"/>
      <c r="AU87" s="1420"/>
      <c r="AV87" s="1420"/>
      <c r="AW87" s="1420"/>
      <c r="AX87" s="1420"/>
      <c r="AY87" s="1420"/>
      <c r="AZ87" s="1420"/>
      <c r="BA87" s="1420"/>
      <c r="BB87" s="1420"/>
      <c r="BC87" s="1420"/>
      <c r="BD87" s="1420"/>
      <c r="BE87" s="1420"/>
      <c r="BF87" s="1420"/>
      <c r="BG87" s="1420"/>
      <c r="BH87" s="1420"/>
      <c r="BI87" s="1420"/>
      <c r="BJ87" s="1420"/>
      <c r="BK87" s="1420"/>
      <c r="BL87" s="1420"/>
      <c r="BM87" s="1420"/>
    </row>
    <row r="88" spans="1:65" x14ac:dyDescent="0.3">
      <c r="A88" s="56"/>
      <c r="B88" s="1420"/>
      <c r="C88" s="1420"/>
      <c r="D88" s="1420"/>
      <c r="E88" s="1420"/>
      <c r="F88" s="1420"/>
      <c r="G88" s="1420"/>
      <c r="H88" s="1420"/>
      <c r="I88" s="1420"/>
      <c r="J88" s="1420"/>
      <c r="K88" s="1420"/>
      <c r="L88" s="1420"/>
      <c r="M88" s="1420"/>
      <c r="N88" s="1420"/>
      <c r="O88" s="1420"/>
      <c r="P88" s="1420"/>
      <c r="Q88" s="1420"/>
      <c r="R88" s="1420"/>
      <c r="S88" s="1420"/>
      <c r="T88" s="1420"/>
      <c r="U88" s="1420"/>
      <c r="V88" s="1420"/>
      <c r="W88" s="1420"/>
      <c r="X88" s="1420"/>
      <c r="Y88" s="1420"/>
      <c r="Z88" s="1420"/>
      <c r="AA88" s="1420"/>
      <c r="AB88" s="1420"/>
      <c r="AC88" s="1420"/>
      <c r="AD88" s="1420"/>
      <c r="AE88" s="1420"/>
      <c r="AF88" s="1420"/>
      <c r="AG88" s="1420"/>
      <c r="AH88" s="1420"/>
      <c r="AI88" s="1420"/>
      <c r="AJ88" s="1420"/>
      <c r="AK88" s="1420"/>
      <c r="AL88" s="1420"/>
      <c r="AM88" s="1420"/>
      <c r="AN88" s="1420"/>
      <c r="AO88" s="1420"/>
      <c r="AP88" s="1420"/>
      <c r="AQ88" s="1420"/>
      <c r="AR88" s="1420"/>
      <c r="AS88" s="1420"/>
      <c r="AT88" s="1420"/>
      <c r="AU88" s="1420"/>
      <c r="AV88" s="1420"/>
      <c r="AW88" s="1420"/>
      <c r="AX88" s="1420"/>
      <c r="AY88" s="1420"/>
      <c r="AZ88" s="1420"/>
      <c r="BA88" s="1420"/>
      <c r="BB88" s="1420"/>
      <c r="BC88" s="1420"/>
      <c r="BD88" s="1420"/>
      <c r="BE88" s="1420"/>
      <c r="BF88" s="1420"/>
      <c r="BG88" s="1420"/>
      <c r="BH88" s="1420"/>
      <c r="BI88" s="1420"/>
      <c r="BJ88" s="1420"/>
      <c r="BK88" s="1420"/>
      <c r="BL88" s="1420"/>
      <c r="BM88" s="1420"/>
    </row>
    <row r="89" spans="1:65" x14ac:dyDescent="0.3">
      <c r="A89" s="56"/>
      <c r="B89" s="1420"/>
      <c r="C89" s="1420"/>
      <c r="D89" s="1420"/>
      <c r="E89" s="1420"/>
      <c r="F89" s="1420"/>
      <c r="G89" s="1420"/>
      <c r="H89" s="1420"/>
      <c r="I89" s="1420"/>
      <c r="J89" s="1420"/>
      <c r="K89" s="1420"/>
      <c r="L89" s="1420"/>
      <c r="M89" s="1420"/>
      <c r="N89" s="1420"/>
      <c r="O89" s="1420"/>
      <c r="P89" s="1420"/>
      <c r="Q89" s="1420"/>
      <c r="R89" s="1420"/>
      <c r="S89" s="1420"/>
      <c r="T89" s="1420"/>
      <c r="U89" s="1420"/>
      <c r="V89" s="1420"/>
      <c r="W89" s="1420"/>
      <c r="X89" s="1420"/>
      <c r="Y89" s="1420"/>
      <c r="Z89" s="1420"/>
      <c r="AA89" s="1420"/>
      <c r="AB89" s="1420"/>
      <c r="AC89" s="1420"/>
      <c r="AD89" s="1420"/>
      <c r="AE89" s="1420"/>
      <c r="AF89" s="1420"/>
      <c r="AG89" s="1420"/>
      <c r="AH89" s="1420"/>
      <c r="AI89" s="1420"/>
      <c r="AJ89" s="1420"/>
      <c r="AK89" s="1420"/>
      <c r="AL89" s="1420"/>
      <c r="AM89" s="1420"/>
      <c r="AN89" s="1420"/>
      <c r="AO89" s="1420"/>
      <c r="AP89" s="1420"/>
      <c r="AQ89" s="1420"/>
      <c r="AR89" s="1420"/>
      <c r="AS89" s="1420"/>
      <c r="AT89" s="1420"/>
      <c r="AU89" s="1420"/>
      <c r="AV89" s="1420"/>
      <c r="AW89" s="1420"/>
      <c r="AX89" s="1420"/>
      <c r="AY89" s="1420"/>
      <c r="AZ89" s="1420"/>
      <c r="BA89" s="1420"/>
      <c r="BB89" s="1420"/>
      <c r="BC89" s="1420"/>
      <c r="BD89" s="1420"/>
      <c r="BE89" s="1420"/>
      <c r="BF89" s="1420"/>
      <c r="BG89" s="1420"/>
      <c r="BH89" s="1420"/>
      <c r="BI89" s="1420"/>
      <c r="BJ89" s="1420"/>
      <c r="BK89" s="1420"/>
      <c r="BL89" s="1420"/>
      <c r="BM89" s="1420"/>
    </row>
    <row r="90" spans="1:65" x14ac:dyDescent="0.3">
      <c r="A90" s="56"/>
      <c r="B90" s="1420"/>
      <c r="C90" s="1420"/>
      <c r="D90" s="1420"/>
      <c r="E90" s="1420"/>
      <c r="F90" s="1420"/>
      <c r="G90" s="1420"/>
      <c r="H90" s="1420"/>
      <c r="I90" s="1420"/>
      <c r="J90" s="1420"/>
      <c r="K90" s="1420"/>
      <c r="L90" s="1420"/>
      <c r="M90" s="1420"/>
      <c r="N90" s="1420"/>
      <c r="O90" s="1420"/>
      <c r="P90" s="1420"/>
      <c r="Q90" s="1420"/>
      <c r="R90" s="1420"/>
      <c r="S90" s="1420"/>
      <c r="T90" s="1420"/>
      <c r="U90" s="1420"/>
      <c r="V90" s="1420"/>
      <c r="W90" s="1420"/>
      <c r="X90" s="1420"/>
      <c r="Y90" s="1420"/>
      <c r="Z90" s="1420"/>
      <c r="AA90" s="1420"/>
      <c r="AB90" s="1420"/>
      <c r="AC90" s="1420"/>
      <c r="AD90" s="1420"/>
      <c r="AE90" s="1420"/>
      <c r="AF90" s="1420"/>
      <c r="AG90" s="1420"/>
      <c r="AH90" s="1420"/>
      <c r="AI90" s="1420"/>
      <c r="AJ90" s="1420"/>
      <c r="AK90" s="1420"/>
      <c r="AL90" s="1420"/>
      <c r="AM90" s="1420"/>
      <c r="AN90" s="1420"/>
      <c r="AO90" s="1420"/>
      <c r="AP90" s="1420"/>
      <c r="AQ90" s="1420"/>
      <c r="AR90" s="1420"/>
      <c r="AS90" s="1420"/>
      <c r="AT90" s="1420"/>
      <c r="AU90" s="1420"/>
      <c r="AV90" s="1420"/>
      <c r="AW90" s="1420"/>
      <c r="AX90" s="1420"/>
      <c r="AY90" s="1420"/>
      <c r="AZ90" s="1420"/>
      <c r="BA90" s="1420"/>
      <c r="BB90" s="1420"/>
      <c r="BC90" s="1420"/>
      <c r="BD90" s="1420"/>
      <c r="BE90" s="1420"/>
      <c r="BF90" s="1420"/>
      <c r="BG90" s="1420"/>
      <c r="BH90" s="1420"/>
      <c r="BI90" s="1420"/>
      <c r="BJ90" s="1420"/>
      <c r="BK90" s="1420"/>
      <c r="BL90" s="1420"/>
      <c r="BM90" s="1420"/>
    </row>
    <row r="91" spans="1:65" x14ac:dyDescent="0.3">
      <c r="A91" s="56"/>
      <c r="B91" s="1420"/>
      <c r="C91" s="1420"/>
      <c r="D91" s="1420"/>
      <c r="E91" s="1420"/>
      <c r="F91" s="1420"/>
      <c r="G91" s="1420"/>
      <c r="H91" s="1420"/>
      <c r="I91" s="1420"/>
      <c r="J91" s="1420"/>
      <c r="K91" s="1420"/>
      <c r="L91" s="1420"/>
      <c r="M91" s="1420"/>
      <c r="N91" s="1420"/>
      <c r="O91" s="1420"/>
      <c r="P91" s="1420"/>
      <c r="Q91" s="1420"/>
      <c r="R91" s="1420"/>
      <c r="S91" s="1420"/>
      <c r="T91" s="1420"/>
      <c r="U91" s="1420"/>
      <c r="V91" s="1420"/>
      <c r="W91" s="1420"/>
      <c r="X91" s="1420"/>
      <c r="Y91" s="1420"/>
      <c r="Z91" s="1420"/>
      <c r="AA91" s="1420"/>
      <c r="AB91" s="1420"/>
      <c r="AC91" s="1420"/>
      <c r="AD91" s="1420"/>
      <c r="AE91" s="1420"/>
      <c r="AF91" s="1420"/>
      <c r="AG91" s="1420"/>
      <c r="AH91" s="1420"/>
      <c r="AI91" s="1420"/>
      <c r="AJ91" s="1420"/>
      <c r="AK91" s="1420"/>
      <c r="AL91" s="1420"/>
      <c r="AM91" s="1420"/>
      <c r="AN91" s="1420"/>
      <c r="AO91" s="1420"/>
      <c r="AP91" s="1420"/>
      <c r="AQ91" s="1420"/>
      <c r="AR91" s="1420"/>
      <c r="AS91" s="1420"/>
      <c r="AT91" s="1420"/>
      <c r="AU91" s="1420"/>
      <c r="AV91" s="1420"/>
      <c r="AW91" s="1420"/>
      <c r="AX91" s="1420"/>
      <c r="AY91" s="1420"/>
      <c r="AZ91" s="1420"/>
      <c r="BA91" s="1420"/>
      <c r="BB91" s="1420"/>
      <c r="BC91" s="1420"/>
      <c r="BD91" s="1420"/>
      <c r="BE91" s="1420"/>
      <c r="BF91" s="1420"/>
      <c r="BG91" s="1420"/>
      <c r="BH91" s="1420"/>
      <c r="BI91" s="1420"/>
      <c r="BJ91" s="1420"/>
      <c r="BK91" s="1420"/>
      <c r="BL91" s="1420"/>
      <c r="BM91" s="1420"/>
    </row>
    <row r="92" spans="1:65" x14ac:dyDescent="0.3">
      <c r="A92" s="56"/>
      <c r="B92" s="1420"/>
      <c r="C92" s="1420"/>
      <c r="D92" s="1420"/>
      <c r="E92" s="1420"/>
      <c r="F92" s="1420"/>
      <c r="G92" s="1420"/>
      <c r="H92" s="1420"/>
      <c r="I92" s="1420"/>
      <c r="J92" s="1420"/>
      <c r="K92" s="1420"/>
      <c r="L92" s="1420"/>
      <c r="M92" s="1420"/>
      <c r="N92" s="1420"/>
      <c r="O92" s="1420"/>
      <c r="P92" s="1420"/>
      <c r="Q92" s="1420"/>
      <c r="R92" s="1420"/>
      <c r="S92" s="1420"/>
      <c r="T92" s="1420"/>
      <c r="U92" s="1420"/>
      <c r="V92" s="1420"/>
      <c r="W92" s="1420"/>
      <c r="X92" s="1420"/>
      <c r="Y92" s="1420"/>
      <c r="Z92" s="1420"/>
      <c r="AA92" s="1420"/>
      <c r="AB92" s="1420"/>
      <c r="AC92" s="1420"/>
      <c r="AD92" s="1420"/>
      <c r="AE92" s="1420"/>
      <c r="AF92" s="1420"/>
      <c r="AG92" s="1420"/>
      <c r="AH92" s="1420"/>
      <c r="AI92" s="1420"/>
      <c r="AJ92" s="1420"/>
      <c r="AK92" s="1420"/>
      <c r="AL92" s="1420"/>
      <c r="AM92" s="1420"/>
      <c r="AN92" s="1420"/>
      <c r="AO92" s="1420"/>
      <c r="AP92" s="1420"/>
      <c r="AQ92" s="1420"/>
      <c r="AR92" s="1420"/>
      <c r="AS92" s="1420"/>
      <c r="AT92" s="1420"/>
      <c r="AU92" s="1420"/>
      <c r="AV92" s="1420"/>
      <c r="AW92" s="1420"/>
      <c r="AX92" s="1420"/>
      <c r="AY92" s="1420"/>
      <c r="AZ92" s="1420"/>
      <c r="BA92" s="1420"/>
      <c r="BB92" s="1420"/>
      <c r="BC92" s="1420"/>
      <c r="BD92" s="1420"/>
      <c r="BE92" s="1420"/>
      <c r="BF92" s="1420"/>
      <c r="BG92" s="1420"/>
      <c r="BH92" s="1420"/>
      <c r="BI92" s="1420"/>
      <c r="BJ92" s="1420"/>
      <c r="BK92" s="1420"/>
      <c r="BL92" s="1420"/>
      <c r="BM92" s="1420"/>
    </row>
    <row r="93" spans="1:65" x14ac:dyDescent="0.3">
      <c r="A93" s="56"/>
      <c r="B93" s="1420"/>
      <c r="C93" s="1420"/>
      <c r="D93" s="1420"/>
      <c r="E93" s="1420"/>
      <c r="F93" s="1420"/>
      <c r="G93" s="1420"/>
      <c r="H93" s="1420"/>
      <c r="I93" s="1420"/>
      <c r="J93" s="1420"/>
      <c r="K93" s="1420"/>
      <c r="L93" s="1420"/>
      <c r="M93" s="1420"/>
      <c r="N93" s="1420"/>
      <c r="O93" s="1420"/>
      <c r="P93" s="1420"/>
      <c r="Q93" s="1420"/>
      <c r="R93" s="1420"/>
      <c r="S93" s="1420"/>
      <c r="T93" s="1420"/>
      <c r="U93" s="1420"/>
      <c r="V93" s="1420"/>
      <c r="W93" s="1420"/>
      <c r="X93" s="1420"/>
      <c r="Y93" s="1420"/>
      <c r="Z93" s="1420"/>
      <c r="AA93" s="1420"/>
      <c r="AB93" s="1420"/>
      <c r="AC93" s="1420"/>
      <c r="AD93" s="1420"/>
      <c r="AE93" s="1420"/>
      <c r="AF93" s="1420"/>
      <c r="AG93" s="1420"/>
      <c r="AH93" s="1420"/>
      <c r="AI93" s="1420"/>
      <c r="AJ93" s="1420"/>
      <c r="AK93" s="1420"/>
      <c r="AL93" s="1420"/>
      <c r="AM93" s="1420"/>
      <c r="AN93" s="1420"/>
      <c r="AO93" s="1420"/>
      <c r="AP93" s="1420"/>
      <c r="AQ93" s="1420"/>
      <c r="AR93" s="1420"/>
      <c r="AS93" s="1420"/>
      <c r="AT93" s="1420"/>
      <c r="AU93" s="1420"/>
      <c r="AV93" s="1420"/>
      <c r="AW93" s="1420"/>
      <c r="AX93" s="1420"/>
      <c r="AY93" s="1420"/>
      <c r="AZ93" s="1420"/>
      <c r="BA93" s="1420"/>
      <c r="BB93" s="1420"/>
      <c r="BC93" s="1420"/>
      <c r="BD93" s="1420"/>
      <c r="BE93" s="1420"/>
      <c r="BF93" s="1420"/>
      <c r="BG93" s="1420"/>
      <c r="BH93" s="1420"/>
      <c r="BI93" s="1420"/>
      <c r="BJ93" s="1420"/>
      <c r="BK93" s="1420"/>
      <c r="BL93" s="1420"/>
      <c r="BM93" s="1420"/>
    </row>
    <row r="94" spans="1:65" x14ac:dyDescent="0.3">
      <c r="A94" s="56"/>
      <c r="B94" s="1420"/>
      <c r="C94" s="1420"/>
      <c r="D94" s="1420"/>
      <c r="E94" s="1420"/>
      <c r="F94" s="1420"/>
      <c r="G94" s="1420"/>
      <c r="H94" s="1420"/>
      <c r="I94" s="1420"/>
      <c r="J94" s="1420"/>
      <c r="K94" s="1420"/>
      <c r="L94" s="1420"/>
      <c r="M94" s="1420"/>
      <c r="N94" s="1420"/>
      <c r="O94" s="1420"/>
      <c r="P94" s="1420"/>
      <c r="Q94" s="1420"/>
      <c r="R94" s="1420"/>
      <c r="S94" s="1420"/>
      <c r="T94" s="1420"/>
      <c r="U94" s="1420"/>
      <c r="V94" s="1420"/>
      <c r="W94" s="1420"/>
      <c r="X94" s="1420"/>
      <c r="Y94" s="1420"/>
      <c r="Z94" s="1420"/>
      <c r="AA94" s="1420"/>
      <c r="AB94" s="1420"/>
      <c r="AC94" s="1420"/>
      <c r="AD94" s="1420"/>
      <c r="AE94" s="1420"/>
      <c r="AF94" s="1420"/>
      <c r="AG94" s="1420"/>
      <c r="AH94" s="1420"/>
      <c r="AI94" s="1420"/>
      <c r="AJ94" s="1420"/>
      <c r="AK94" s="1420"/>
      <c r="AL94" s="1420"/>
      <c r="AM94" s="1420"/>
      <c r="AN94" s="1420"/>
      <c r="AO94" s="1420"/>
      <c r="AP94" s="1420"/>
      <c r="AQ94" s="1420"/>
      <c r="AR94" s="1420"/>
      <c r="AS94" s="1420"/>
      <c r="AT94" s="1420"/>
      <c r="AU94" s="1420"/>
      <c r="AV94" s="1420"/>
      <c r="AW94" s="1420"/>
      <c r="AX94" s="1420"/>
      <c r="AY94" s="1420"/>
      <c r="AZ94" s="1420"/>
      <c r="BA94" s="1420"/>
      <c r="BB94" s="1420"/>
      <c r="BC94" s="1420"/>
      <c r="BD94" s="1420"/>
      <c r="BE94" s="1420"/>
      <c r="BF94" s="1420"/>
      <c r="BG94" s="1420"/>
      <c r="BH94" s="1420"/>
      <c r="BI94" s="1420"/>
      <c r="BJ94" s="1420"/>
      <c r="BK94" s="1420"/>
      <c r="BL94" s="1420"/>
      <c r="BM94" s="1420"/>
    </row>
    <row r="95" spans="1:65" x14ac:dyDescent="0.3">
      <c r="A95" s="56"/>
      <c r="B95" s="1420"/>
      <c r="C95" s="1420"/>
      <c r="D95" s="1420"/>
      <c r="E95" s="1420"/>
      <c r="F95" s="1420"/>
      <c r="G95" s="1420"/>
      <c r="H95" s="1420"/>
      <c r="I95" s="1420"/>
      <c r="J95" s="1420"/>
      <c r="K95" s="1420"/>
      <c r="L95" s="1420"/>
      <c r="M95" s="1420"/>
      <c r="N95" s="1420"/>
      <c r="O95" s="1420"/>
      <c r="P95" s="1420"/>
      <c r="Q95" s="1420"/>
      <c r="R95" s="1420"/>
      <c r="S95" s="1420"/>
      <c r="T95" s="1420"/>
      <c r="U95" s="1420"/>
      <c r="V95" s="1420"/>
      <c r="W95" s="1420"/>
      <c r="X95" s="1420"/>
      <c r="Y95" s="1420"/>
      <c r="Z95" s="1420"/>
      <c r="AA95" s="1420"/>
      <c r="AB95" s="1420"/>
      <c r="AC95" s="1420"/>
      <c r="AD95" s="1420"/>
      <c r="AE95" s="1420"/>
      <c r="AF95" s="1420"/>
      <c r="AG95" s="1420"/>
      <c r="AH95" s="1420"/>
      <c r="AI95" s="1420"/>
      <c r="AJ95" s="1420"/>
      <c r="AK95" s="1420"/>
      <c r="AL95" s="1420"/>
      <c r="AM95" s="1420"/>
      <c r="AN95" s="1420"/>
      <c r="AO95" s="1420"/>
      <c r="AP95" s="1420"/>
      <c r="AQ95" s="1420"/>
      <c r="AR95" s="1420"/>
      <c r="AS95" s="1420"/>
      <c r="AT95" s="1420"/>
      <c r="AU95" s="1420"/>
      <c r="AV95" s="1420"/>
      <c r="AW95" s="1420"/>
      <c r="AX95" s="1420"/>
      <c r="AY95" s="1420"/>
      <c r="AZ95" s="1420"/>
      <c r="BA95" s="1420"/>
      <c r="BB95" s="1420"/>
      <c r="BC95" s="1420"/>
      <c r="BD95" s="1420"/>
      <c r="BE95" s="1420"/>
      <c r="BF95" s="1420"/>
      <c r="BG95" s="1420"/>
      <c r="BH95" s="1420"/>
      <c r="BI95" s="1420"/>
      <c r="BJ95" s="1420"/>
      <c r="BK95" s="1420"/>
      <c r="BL95" s="1420"/>
      <c r="BM95" s="1420"/>
    </row>
    <row r="96" spans="1:65" x14ac:dyDescent="0.3">
      <c r="A96" s="56"/>
      <c r="B96" s="1420"/>
      <c r="C96" s="1420"/>
      <c r="D96" s="1420"/>
      <c r="E96" s="1420"/>
      <c r="F96" s="1420"/>
      <c r="G96" s="1420"/>
      <c r="H96" s="1420"/>
      <c r="I96" s="1420"/>
      <c r="J96" s="1420"/>
      <c r="K96" s="1420"/>
      <c r="L96" s="1420"/>
      <c r="M96" s="1420"/>
      <c r="N96" s="1420"/>
      <c r="O96" s="1420"/>
      <c r="P96" s="1420"/>
      <c r="Q96" s="1420"/>
      <c r="R96" s="1420"/>
      <c r="S96" s="1420"/>
      <c r="T96" s="1420"/>
      <c r="U96" s="1420"/>
      <c r="V96" s="1420"/>
      <c r="W96" s="1420"/>
      <c r="X96" s="1420"/>
      <c r="Y96" s="1420"/>
      <c r="Z96" s="1420"/>
      <c r="AA96" s="1420"/>
      <c r="AB96" s="1420"/>
      <c r="AC96" s="1420"/>
      <c r="AD96" s="1420"/>
      <c r="AE96" s="1420"/>
      <c r="AF96" s="1420"/>
      <c r="AG96" s="1420"/>
      <c r="AH96" s="1420"/>
      <c r="AI96" s="1420"/>
      <c r="AJ96" s="1420"/>
      <c r="AK96" s="1420"/>
      <c r="AL96" s="1420"/>
      <c r="AM96" s="1420"/>
      <c r="AN96" s="1420"/>
      <c r="AO96" s="1420"/>
      <c r="AP96" s="1420"/>
      <c r="AQ96" s="1420"/>
      <c r="AR96" s="1420"/>
      <c r="AS96" s="1420"/>
      <c r="AT96" s="1420"/>
      <c r="AU96" s="1420"/>
      <c r="AV96" s="1420"/>
      <c r="AW96" s="1420"/>
      <c r="AX96" s="1420"/>
      <c r="AY96" s="1420"/>
      <c r="AZ96" s="1420"/>
      <c r="BA96" s="1420"/>
      <c r="BB96" s="1420"/>
      <c r="BC96" s="1420"/>
      <c r="BD96" s="1420"/>
      <c r="BE96" s="1420"/>
      <c r="BF96" s="1420"/>
      <c r="BG96" s="1420"/>
      <c r="BH96" s="1420"/>
      <c r="BI96" s="1420"/>
      <c r="BJ96" s="1420"/>
      <c r="BK96" s="1420"/>
      <c r="BL96" s="1420"/>
      <c r="BM96" s="1420"/>
    </row>
    <row r="97" spans="1:65" x14ac:dyDescent="0.3">
      <c r="A97" s="56"/>
      <c r="B97" s="1420"/>
      <c r="C97" s="1420"/>
      <c r="D97" s="1420"/>
      <c r="E97" s="1420"/>
      <c r="F97" s="1420"/>
      <c r="G97" s="1420"/>
      <c r="H97" s="1420"/>
      <c r="I97" s="1420"/>
      <c r="J97" s="1420"/>
      <c r="K97" s="1420"/>
      <c r="L97" s="1420"/>
      <c r="M97" s="1420"/>
      <c r="N97" s="1420"/>
      <c r="O97" s="1420"/>
      <c r="P97" s="1420"/>
      <c r="Q97" s="1420"/>
      <c r="R97" s="1420"/>
      <c r="S97" s="1420"/>
      <c r="T97" s="1420"/>
      <c r="U97" s="1420"/>
      <c r="V97" s="1420"/>
      <c r="W97" s="1420"/>
      <c r="X97" s="1420"/>
      <c r="Y97" s="1420"/>
      <c r="Z97" s="1420"/>
      <c r="AA97" s="1420"/>
      <c r="AB97" s="1420"/>
      <c r="AC97" s="1420"/>
      <c r="AD97" s="1420"/>
      <c r="AE97" s="1420"/>
      <c r="AF97" s="1420"/>
      <c r="AG97" s="1420"/>
      <c r="AH97" s="1420"/>
      <c r="AI97" s="1420"/>
      <c r="AJ97" s="1420"/>
      <c r="AK97" s="1420"/>
      <c r="AL97" s="1420"/>
      <c r="AM97" s="1420"/>
      <c r="AN97" s="1420"/>
      <c r="AO97" s="1420"/>
      <c r="AP97" s="1420"/>
      <c r="AQ97" s="1420"/>
      <c r="AR97" s="1420"/>
      <c r="AS97" s="1420"/>
      <c r="AT97" s="1420"/>
      <c r="AU97" s="1420"/>
      <c r="AV97" s="1420"/>
      <c r="AW97" s="1420"/>
      <c r="AX97" s="1420"/>
      <c r="AY97" s="1420"/>
      <c r="AZ97" s="1420"/>
      <c r="BA97" s="1420"/>
      <c r="BB97" s="1420"/>
      <c r="BC97" s="1420"/>
      <c r="BD97" s="1420"/>
      <c r="BE97" s="1420"/>
      <c r="BF97" s="1420"/>
      <c r="BG97" s="1420"/>
      <c r="BH97" s="1420"/>
      <c r="BI97" s="1420"/>
      <c r="BJ97" s="1420"/>
      <c r="BK97" s="1420"/>
      <c r="BL97" s="1420"/>
      <c r="BM97" s="1420"/>
    </row>
    <row r="98" spans="1:65" x14ac:dyDescent="0.3">
      <c r="A98" s="56"/>
      <c r="B98" s="1420"/>
      <c r="C98" s="1420"/>
      <c r="D98" s="1420"/>
      <c r="E98" s="1420"/>
      <c r="F98" s="1420"/>
      <c r="G98" s="1420"/>
      <c r="H98" s="1420"/>
      <c r="I98" s="1420"/>
      <c r="J98" s="1420"/>
      <c r="K98" s="1420"/>
      <c r="L98" s="1420"/>
      <c r="M98" s="1420"/>
      <c r="N98" s="1420"/>
      <c r="O98" s="1420"/>
      <c r="P98" s="1420"/>
      <c r="Q98" s="1420"/>
      <c r="R98" s="1420"/>
      <c r="S98" s="1420"/>
      <c r="T98" s="1420"/>
      <c r="U98" s="1420"/>
      <c r="V98" s="1420"/>
      <c r="W98" s="1420"/>
      <c r="X98" s="1420"/>
      <c r="Y98" s="1420"/>
      <c r="Z98" s="1420"/>
      <c r="AA98" s="1420"/>
      <c r="AB98" s="1420"/>
      <c r="AC98" s="1420"/>
      <c r="AD98" s="1420"/>
      <c r="AE98" s="1420"/>
      <c r="AF98" s="1420"/>
      <c r="AG98" s="1420"/>
      <c r="AH98" s="1420"/>
      <c r="AI98" s="1420"/>
      <c r="AJ98" s="1420"/>
      <c r="AK98" s="1420"/>
      <c r="AL98" s="1420"/>
      <c r="AM98" s="1420"/>
      <c r="AN98" s="1420"/>
      <c r="AO98" s="1420"/>
      <c r="AP98" s="1420"/>
      <c r="AQ98" s="1420"/>
      <c r="AR98" s="1420"/>
      <c r="AS98" s="1420"/>
      <c r="AT98" s="1420"/>
      <c r="AU98" s="1420"/>
      <c r="AV98" s="1420"/>
      <c r="AW98" s="1420"/>
      <c r="AX98" s="1420"/>
      <c r="AY98" s="1420"/>
      <c r="AZ98" s="1420"/>
      <c r="BA98" s="1420"/>
      <c r="BB98" s="1420"/>
      <c r="BC98" s="1420"/>
      <c r="BD98" s="1420"/>
      <c r="BE98" s="1420"/>
      <c r="BF98" s="1420"/>
      <c r="BG98" s="1420"/>
      <c r="BH98" s="1420"/>
      <c r="BI98" s="1420"/>
      <c r="BJ98" s="1420"/>
      <c r="BK98" s="1420"/>
      <c r="BL98" s="1420"/>
      <c r="BM98" s="1420"/>
    </row>
    <row r="99" spans="1:65" x14ac:dyDescent="0.3">
      <c r="A99" s="56"/>
      <c r="B99" s="1420"/>
      <c r="C99" s="1420"/>
      <c r="D99" s="1420"/>
      <c r="E99" s="1420"/>
      <c r="F99" s="1420"/>
      <c r="G99" s="1420"/>
      <c r="H99" s="1420"/>
      <c r="I99" s="1420"/>
      <c r="J99" s="1420"/>
      <c r="K99" s="1420"/>
      <c r="L99" s="1420"/>
      <c r="M99" s="1420"/>
      <c r="N99" s="1420"/>
      <c r="O99" s="1420"/>
      <c r="P99" s="1420"/>
      <c r="Q99" s="1420"/>
      <c r="R99" s="1420"/>
      <c r="S99" s="1420"/>
      <c r="T99" s="1420"/>
      <c r="U99" s="1420"/>
      <c r="V99" s="1420"/>
      <c r="W99" s="1420"/>
      <c r="X99" s="1420"/>
      <c r="Y99" s="1420"/>
      <c r="Z99" s="1420"/>
      <c r="AA99" s="1420"/>
      <c r="AB99" s="1420"/>
      <c r="AC99" s="1420"/>
      <c r="AD99" s="1420"/>
      <c r="AE99" s="1420"/>
      <c r="AF99" s="1420"/>
      <c r="AG99" s="1420"/>
      <c r="AH99" s="1420"/>
      <c r="AI99" s="1420"/>
      <c r="AJ99" s="1420"/>
      <c r="AK99" s="1420"/>
      <c r="AL99" s="1420"/>
      <c r="AM99" s="1420"/>
      <c r="AN99" s="1420"/>
      <c r="AO99" s="1420"/>
      <c r="AP99" s="1420"/>
      <c r="AQ99" s="1420"/>
      <c r="AR99" s="1420"/>
      <c r="AS99" s="1420"/>
      <c r="AT99" s="1420"/>
      <c r="AU99" s="1420"/>
      <c r="AV99" s="1420"/>
      <c r="AW99" s="1420"/>
      <c r="AX99" s="1420"/>
      <c r="AY99" s="1420"/>
      <c r="AZ99" s="1420"/>
      <c r="BA99" s="1420"/>
      <c r="BB99" s="1420"/>
      <c r="BC99" s="1420"/>
      <c r="BD99" s="1420"/>
      <c r="BE99" s="1420"/>
      <c r="BF99" s="1420"/>
      <c r="BG99" s="1420"/>
      <c r="BH99" s="1420"/>
      <c r="BI99" s="1420"/>
      <c r="BJ99" s="1420"/>
      <c r="BK99" s="1420"/>
      <c r="BL99" s="1420"/>
      <c r="BM99" s="1420"/>
    </row>
    <row r="100" spans="1:65" x14ac:dyDescent="0.3">
      <c r="A100" s="56"/>
      <c r="B100" s="1420"/>
      <c r="C100" s="1420"/>
      <c r="D100" s="1420"/>
      <c r="E100" s="1420"/>
      <c r="F100" s="1420"/>
      <c r="G100" s="1420"/>
      <c r="H100" s="1420"/>
      <c r="I100" s="1420"/>
      <c r="J100" s="1420"/>
      <c r="K100" s="1420"/>
      <c r="L100" s="1420"/>
      <c r="M100" s="1420"/>
      <c r="N100" s="1420"/>
      <c r="O100" s="1420"/>
      <c r="P100" s="1420"/>
      <c r="Q100" s="1420"/>
      <c r="R100" s="1420"/>
      <c r="S100" s="1420"/>
      <c r="T100" s="1420"/>
      <c r="U100" s="1420"/>
      <c r="V100" s="1420"/>
      <c r="W100" s="1420"/>
      <c r="X100" s="1420"/>
      <c r="Y100" s="1420"/>
      <c r="Z100" s="1420"/>
      <c r="AA100" s="1420"/>
      <c r="AB100" s="1420"/>
      <c r="AC100" s="1420"/>
      <c r="AD100" s="1420"/>
      <c r="AE100" s="1420"/>
      <c r="AF100" s="1420"/>
      <c r="AG100" s="1420"/>
      <c r="AH100" s="1420"/>
      <c r="AI100" s="1420"/>
      <c r="AJ100" s="1420"/>
      <c r="AK100" s="1420"/>
      <c r="AL100" s="1420"/>
      <c r="AM100" s="1420"/>
      <c r="AN100" s="1420"/>
      <c r="AO100" s="1420"/>
      <c r="AP100" s="1420"/>
      <c r="AQ100" s="1420"/>
      <c r="AR100" s="1420"/>
      <c r="AS100" s="1420"/>
      <c r="AT100" s="1420"/>
      <c r="AU100" s="1420"/>
      <c r="AV100" s="1420"/>
      <c r="AW100" s="1420"/>
      <c r="AX100" s="1420"/>
      <c r="AY100" s="1420"/>
      <c r="AZ100" s="1420"/>
      <c r="BA100" s="1420"/>
      <c r="BB100" s="1420"/>
      <c r="BC100" s="1420"/>
      <c r="BD100" s="1420"/>
      <c r="BE100" s="1420"/>
      <c r="BF100" s="1420"/>
      <c r="BG100" s="1420"/>
      <c r="BH100" s="1420"/>
      <c r="BI100" s="1420"/>
      <c r="BJ100" s="1420"/>
      <c r="BK100" s="1420"/>
      <c r="BL100" s="1420"/>
      <c r="BM100" s="1420"/>
    </row>
    <row r="101" spans="1:65" x14ac:dyDescent="0.3">
      <c r="A101" s="56"/>
      <c r="B101" s="1420"/>
      <c r="C101" s="1420"/>
      <c r="D101" s="1420"/>
      <c r="E101" s="1420"/>
      <c r="F101" s="1420"/>
      <c r="G101" s="1420"/>
      <c r="H101" s="1420"/>
      <c r="I101" s="1420"/>
      <c r="J101" s="1420"/>
      <c r="K101" s="1420"/>
      <c r="L101" s="1420"/>
      <c r="M101" s="1420"/>
      <c r="N101" s="1420"/>
      <c r="O101" s="1420"/>
      <c r="P101" s="1420"/>
      <c r="Q101" s="1420"/>
      <c r="R101" s="1420"/>
      <c r="S101" s="1420"/>
      <c r="T101" s="1420"/>
      <c r="U101" s="1420"/>
      <c r="V101" s="1420"/>
      <c r="W101" s="1420"/>
      <c r="X101" s="1420"/>
      <c r="Y101" s="1420"/>
      <c r="Z101" s="1420"/>
      <c r="AA101" s="1420"/>
      <c r="AB101" s="1420"/>
      <c r="AC101" s="1420"/>
      <c r="AD101" s="1420"/>
      <c r="AE101" s="1420"/>
      <c r="AF101" s="1420"/>
      <c r="AG101" s="1420"/>
      <c r="AH101" s="1420"/>
      <c r="AI101" s="1420"/>
      <c r="AJ101" s="1420"/>
      <c r="AK101" s="1420"/>
      <c r="AL101" s="1420"/>
      <c r="AM101" s="1420"/>
      <c r="AN101" s="1420"/>
      <c r="AO101" s="1420"/>
      <c r="AP101" s="1420"/>
      <c r="AQ101" s="1420"/>
      <c r="AR101" s="1420"/>
      <c r="AS101" s="1420"/>
      <c r="AT101" s="1420"/>
      <c r="AU101" s="1420"/>
      <c r="AV101" s="1420"/>
      <c r="AW101" s="1420"/>
      <c r="AX101" s="1420"/>
      <c r="AY101" s="1420"/>
      <c r="AZ101" s="1420"/>
      <c r="BA101" s="1420"/>
      <c r="BB101" s="1420"/>
      <c r="BC101" s="1420"/>
      <c r="BD101" s="1420"/>
      <c r="BE101" s="1420"/>
      <c r="BF101" s="1420"/>
      <c r="BG101" s="1420"/>
      <c r="BH101" s="1420"/>
      <c r="BI101" s="1420"/>
      <c r="BJ101" s="1420"/>
      <c r="BK101" s="1420"/>
      <c r="BL101" s="1420"/>
      <c r="BM101" s="1420"/>
    </row>
    <row r="102" spans="1:65" x14ac:dyDescent="0.3">
      <c r="A102" s="56"/>
      <c r="B102" s="1420"/>
      <c r="C102" s="1420"/>
      <c r="D102" s="1420"/>
      <c r="E102" s="1420"/>
      <c r="F102" s="1420"/>
      <c r="G102" s="1420"/>
      <c r="H102" s="1420"/>
      <c r="I102" s="1420"/>
      <c r="J102" s="1420"/>
      <c r="K102" s="1420"/>
      <c r="L102" s="1420"/>
      <c r="M102" s="1420"/>
      <c r="N102" s="1420"/>
      <c r="O102" s="1420"/>
      <c r="P102" s="1420"/>
      <c r="Q102" s="1420"/>
      <c r="R102" s="1420"/>
      <c r="S102" s="1420"/>
      <c r="T102" s="1420"/>
      <c r="U102" s="1420"/>
      <c r="V102" s="1420"/>
      <c r="W102" s="1420"/>
      <c r="X102" s="1420"/>
      <c r="Y102" s="1420"/>
      <c r="Z102" s="1420"/>
      <c r="AA102" s="1420"/>
      <c r="AB102" s="1420"/>
      <c r="AC102" s="1420"/>
      <c r="AD102" s="1420"/>
      <c r="AE102" s="1420"/>
      <c r="AF102" s="1420"/>
      <c r="AG102" s="1420"/>
      <c r="AH102" s="1420"/>
      <c r="AI102" s="1420"/>
      <c r="AJ102" s="1420"/>
      <c r="AK102" s="1420"/>
      <c r="AL102" s="1420"/>
      <c r="AM102" s="1420"/>
      <c r="AN102" s="1420"/>
      <c r="AO102" s="1420"/>
      <c r="AP102" s="1420"/>
      <c r="AQ102" s="1420"/>
      <c r="AR102" s="1420"/>
      <c r="AS102" s="1420"/>
      <c r="AT102" s="1420"/>
      <c r="AU102" s="1420"/>
      <c r="AV102" s="1420"/>
      <c r="AW102" s="1420"/>
      <c r="AX102" s="1420"/>
      <c r="AY102" s="1420"/>
      <c r="AZ102" s="1420"/>
      <c r="BA102" s="1420"/>
      <c r="BB102" s="1420"/>
      <c r="BC102" s="1420"/>
      <c r="BD102" s="1420"/>
      <c r="BE102" s="1420"/>
      <c r="BF102" s="1420"/>
      <c r="BG102" s="1420"/>
      <c r="BH102" s="1420"/>
      <c r="BI102" s="1420"/>
      <c r="BJ102" s="1420"/>
      <c r="BK102" s="1420"/>
      <c r="BL102" s="1420"/>
      <c r="BM102" s="1420"/>
    </row>
    <row r="103" spans="1:65" x14ac:dyDescent="0.3">
      <c r="A103" s="56"/>
      <c r="B103" s="1420"/>
      <c r="C103" s="1420"/>
      <c r="D103" s="1420"/>
      <c r="E103" s="1420"/>
      <c r="F103" s="1420"/>
      <c r="G103" s="1420"/>
      <c r="H103" s="1420"/>
      <c r="I103" s="1420"/>
      <c r="J103" s="1420"/>
      <c r="K103" s="1420"/>
      <c r="L103" s="1420"/>
      <c r="M103" s="1420"/>
      <c r="N103" s="1420"/>
      <c r="O103" s="1420"/>
      <c r="P103" s="1420"/>
      <c r="Q103" s="1420"/>
      <c r="R103" s="1420"/>
      <c r="S103" s="1420"/>
      <c r="T103" s="1420"/>
      <c r="U103" s="1420"/>
      <c r="V103" s="1420"/>
      <c r="W103" s="1420"/>
      <c r="X103" s="1420"/>
      <c r="Y103" s="1420"/>
      <c r="Z103" s="1420"/>
      <c r="AA103" s="1420"/>
      <c r="AB103" s="1420"/>
      <c r="AC103" s="1420"/>
      <c r="AD103" s="1420"/>
      <c r="AE103" s="1420"/>
      <c r="AF103" s="1420"/>
      <c r="AG103" s="1420"/>
      <c r="AH103" s="1420"/>
      <c r="AI103" s="1420"/>
      <c r="AJ103" s="1420"/>
      <c r="AK103" s="1420"/>
      <c r="AL103" s="1420"/>
      <c r="AM103" s="1420"/>
      <c r="AN103" s="1420"/>
      <c r="AO103" s="1420"/>
      <c r="AP103" s="1420"/>
      <c r="AQ103" s="1420"/>
      <c r="AR103" s="1420"/>
      <c r="AS103" s="1420"/>
      <c r="AT103" s="1420"/>
      <c r="AU103" s="1420"/>
      <c r="AV103" s="1420"/>
      <c r="AW103" s="1420"/>
      <c r="AX103" s="1420"/>
      <c r="AY103" s="1420"/>
      <c r="AZ103" s="1420"/>
      <c r="BA103" s="1420"/>
      <c r="BB103" s="1420"/>
      <c r="BC103" s="1420"/>
      <c r="BD103" s="1420"/>
      <c r="BE103" s="1420"/>
      <c r="BF103" s="1420"/>
      <c r="BG103" s="1420"/>
      <c r="BH103" s="1420"/>
      <c r="BI103" s="1420"/>
      <c r="BJ103" s="1420"/>
      <c r="BK103" s="1420"/>
      <c r="BL103" s="1420"/>
      <c r="BM103" s="1420"/>
    </row>
    <row r="104" spans="1:65" x14ac:dyDescent="0.3">
      <c r="A104" s="56"/>
      <c r="B104" s="1420"/>
      <c r="C104" s="1420"/>
      <c r="D104" s="1420"/>
      <c r="E104" s="1420"/>
      <c r="F104" s="1420"/>
      <c r="G104" s="1420"/>
      <c r="H104" s="1420"/>
      <c r="I104" s="1420"/>
      <c r="J104" s="1420"/>
      <c r="K104" s="1420"/>
      <c r="L104" s="1420"/>
      <c r="M104" s="1420"/>
      <c r="N104" s="1420"/>
      <c r="O104" s="1420"/>
      <c r="P104" s="1420"/>
      <c r="Q104" s="1420"/>
      <c r="R104" s="1420"/>
      <c r="S104" s="1420"/>
      <c r="T104" s="1420"/>
      <c r="U104" s="1420"/>
      <c r="V104" s="1420"/>
      <c r="W104" s="1420"/>
      <c r="X104" s="1420"/>
      <c r="Y104" s="1420"/>
      <c r="Z104" s="1420"/>
      <c r="AA104" s="1420"/>
      <c r="AB104" s="1420"/>
      <c r="AC104" s="1420"/>
      <c r="AD104" s="1420"/>
      <c r="AE104" s="1420"/>
      <c r="AF104" s="1420"/>
      <c r="AG104" s="1420"/>
      <c r="AH104" s="1420"/>
      <c r="AI104" s="1420"/>
      <c r="AJ104" s="1420"/>
      <c r="AK104" s="1420"/>
      <c r="AL104" s="1420"/>
      <c r="AM104" s="1420"/>
      <c r="AN104" s="1420"/>
      <c r="AO104" s="1420"/>
      <c r="AP104" s="1420"/>
      <c r="AQ104" s="1420"/>
      <c r="AR104" s="1420"/>
      <c r="AS104" s="1420"/>
      <c r="AT104" s="1420"/>
      <c r="AU104" s="1420"/>
      <c r="AV104" s="1420"/>
      <c r="AW104" s="1420"/>
      <c r="AX104" s="1420"/>
      <c r="AY104" s="1420"/>
      <c r="AZ104" s="1420"/>
      <c r="BA104" s="1420"/>
      <c r="BB104" s="1420"/>
      <c r="BC104" s="1420"/>
      <c r="BD104" s="1420"/>
      <c r="BE104" s="1420"/>
      <c r="BF104" s="1420"/>
      <c r="BG104" s="1420"/>
      <c r="BH104" s="1420"/>
      <c r="BI104" s="1420"/>
      <c r="BJ104" s="1420"/>
      <c r="BK104" s="1420"/>
      <c r="BL104" s="1420"/>
      <c r="BM104" s="1420"/>
    </row>
    <row r="105" spans="1:65" x14ac:dyDescent="0.3">
      <c r="A105" s="56"/>
      <c r="B105" s="1420"/>
      <c r="C105" s="1420"/>
      <c r="D105" s="1420"/>
      <c r="E105" s="1420"/>
      <c r="F105" s="1420"/>
      <c r="G105" s="1420"/>
      <c r="H105" s="1420"/>
      <c r="I105" s="1420"/>
      <c r="J105" s="1420"/>
      <c r="K105" s="1420"/>
      <c r="L105" s="1420"/>
      <c r="M105" s="1420"/>
      <c r="N105" s="1420"/>
      <c r="O105" s="1420"/>
      <c r="P105" s="1420"/>
      <c r="Q105" s="1420"/>
      <c r="R105" s="1420"/>
      <c r="S105" s="1420"/>
      <c r="T105" s="1420"/>
      <c r="U105" s="1420"/>
      <c r="V105" s="1420"/>
      <c r="W105" s="1420"/>
      <c r="X105" s="1420"/>
      <c r="Y105" s="1420"/>
      <c r="Z105" s="1420"/>
      <c r="AA105" s="1420"/>
      <c r="AB105" s="1420"/>
      <c r="AC105" s="1420"/>
      <c r="AD105" s="1420"/>
      <c r="AE105" s="1420"/>
      <c r="AF105" s="1420"/>
      <c r="AG105" s="1420"/>
      <c r="AH105" s="1420"/>
      <c r="AI105" s="1420"/>
      <c r="AJ105" s="1420"/>
      <c r="AK105" s="1420"/>
      <c r="AL105" s="1420"/>
      <c r="AM105" s="1420"/>
      <c r="AN105" s="1420"/>
      <c r="AO105" s="1420"/>
      <c r="AP105" s="1420"/>
      <c r="AQ105" s="1420"/>
      <c r="AR105" s="1420"/>
      <c r="AS105" s="1420"/>
      <c r="AT105" s="1420"/>
      <c r="AU105" s="1420"/>
      <c r="AV105" s="1420"/>
      <c r="AW105" s="1420"/>
      <c r="AX105" s="1420"/>
      <c r="AY105" s="1420"/>
      <c r="AZ105" s="1420"/>
      <c r="BA105" s="1420"/>
      <c r="BB105" s="1420"/>
      <c r="BC105" s="1420"/>
      <c r="BD105" s="1420"/>
      <c r="BE105" s="1420"/>
      <c r="BF105" s="1420"/>
      <c r="BG105" s="1420"/>
      <c r="BH105" s="1420"/>
      <c r="BI105" s="1420"/>
      <c r="BJ105" s="1420"/>
      <c r="BK105" s="1420"/>
      <c r="BL105" s="1420"/>
      <c r="BM105" s="1420"/>
    </row>
    <row r="106" spans="1:65" x14ac:dyDescent="0.3">
      <c r="A106" s="56"/>
      <c r="B106" s="1420"/>
      <c r="C106" s="1420"/>
      <c r="D106" s="1420"/>
      <c r="E106" s="1420"/>
      <c r="F106" s="1420"/>
      <c r="G106" s="1420"/>
      <c r="H106" s="1420"/>
      <c r="I106" s="1420"/>
      <c r="J106" s="1420"/>
      <c r="K106" s="1420"/>
      <c r="L106" s="1420"/>
      <c r="M106" s="1420"/>
      <c r="N106" s="1420"/>
      <c r="O106" s="1420"/>
      <c r="P106" s="1420"/>
      <c r="Q106" s="1420"/>
      <c r="R106" s="1420"/>
      <c r="S106" s="1420"/>
      <c r="T106" s="1420"/>
      <c r="U106" s="1420"/>
      <c r="V106" s="1420"/>
      <c r="W106" s="1420"/>
      <c r="X106" s="1420"/>
      <c r="Y106" s="1420"/>
      <c r="Z106" s="1420"/>
      <c r="AA106" s="1420"/>
      <c r="AB106" s="1420"/>
      <c r="AC106" s="1420"/>
      <c r="AD106" s="1420"/>
      <c r="AE106" s="1420"/>
      <c r="AF106" s="1420"/>
      <c r="AG106" s="1420"/>
      <c r="AH106" s="1420"/>
      <c r="AI106" s="1420"/>
      <c r="AJ106" s="1420"/>
      <c r="AK106" s="1420"/>
      <c r="AL106" s="1420"/>
      <c r="AM106" s="1420"/>
      <c r="AN106" s="1420"/>
      <c r="AO106" s="1420"/>
      <c r="AP106" s="1420"/>
      <c r="AQ106" s="1420"/>
      <c r="AR106" s="1420"/>
      <c r="AS106" s="1420"/>
      <c r="AT106" s="1420"/>
      <c r="AU106" s="1420"/>
      <c r="AV106" s="1420"/>
      <c r="AW106" s="1420"/>
      <c r="AX106" s="1420"/>
      <c r="AY106" s="1420"/>
      <c r="AZ106" s="1420"/>
      <c r="BA106" s="1420"/>
      <c r="BB106" s="1420"/>
      <c r="BC106" s="1420"/>
      <c r="BD106" s="1420"/>
      <c r="BE106" s="1420"/>
      <c r="BF106" s="1420"/>
      <c r="BG106" s="1420"/>
      <c r="BH106" s="1420"/>
      <c r="BI106" s="1420"/>
      <c r="BJ106" s="1420"/>
      <c r="BK106" s="1420"/>
      <c r="BL106" s="1420"/>
      <c r="BM106" s="1420"/>
    </row>
    <row r="107" spans="1:65" x14ac:dyDescent="0.3">
      <c r="A107" s="56"/>
      <c r="B107" s="1420"/>
      <c r="C107" s="1420"/>
      <c r="D107" s="1420"/>
      <c r="E107" s="1420"/>
      <c r="F107" s="1420"/>
      <c r="G107" s="1420"/>
      <c r="H107" s="1420"/>
      <c r="I107" s="1420"/>
      <c r="J107" s="1420"/>
      <c r="K107" s="1420"/>
      <c r="L107" s="1420"/>
      <c r="M107" s="1420"/>
      <c r="N107" s="1420"/>
      <c r="O107" s="1420"/>
      <c r="P107" s="1420"/>
      <c r="Q107" s="1420"/>
      <c r="R107" s="1420"/>
      <c r="S107" s="1420"/>
      <c r="T107" s="1420"/>
      <c r="U107" s="1420"/>
      <c r="V107" s="1420"/>
      <c r="W107" s="1420"/>
      <c r="X107" s="1420"/>
      <c r="Y107" s="1420"/>
      <c r="Z107" s="1420"/>
      <c r="AA107" s="1420"/>
      <c r="AB107" s="1420"/>
      <c r="AC107" s="1420"/>
      <c r="AD107" s="1420"/>
      <c r="AE107" s="1420"/>
      <c r="AF107" s="1420"/>
      <c r="AG107" s="1420"/>
      <c r="AH107" s="1420"/>
      <c r="AI107" s="1420"/>
      <c r="AJ107" s="1420"/>
      <c r="AK107" s="1420"/>
      <c r="AL107" s="1420"/>
      <c r="AM107" s="1420"/>
      <c r="AN107" s="1420"/>
      <c r="AO107" s="1420"/>
      <c r="AP107" s="1420"/>
      <c r="AQ107" s="1420"/>
      <c r="AR107" s="1420"/>
      <c r="AS107" s="1420"/>
      <c r="AT107" s="1420"/>
      <c r="AU107" s="1420"/>
      <c r="AV107" s="1420"/>
      <c r="AW107" s="1420"/>
      <c r="AX107" s="1420"/>
      <c r="AY107" s="1420"/>
      <c r="AZ107" s="1420"/>
      <c r="BA107" s="1420"/>
      <c r="BB107" s="1420"/>
      <c r="BC107" s="1420"/>
      <c r="BD107" s="1420"/>
      <c r="BE107" s="1420"/>
      <c r="BF107" s="1420"/>
      <c r="BG107" s="1420"/>
      <c r="BH107" s="1420"/>
      <c r="BI107" s="1420"/>
      <c r="BJ107" s="1420"/>
      <c r="BK107" s="1420"/>
      <c r="BL107" s="1420"/>
      <c r="BM107" s="1420"/>
    </row>
    <row r="108" spans="1:65" x14ac:dyDescent="0.3">
      <c r="A108" s="56"/>
      <c r="B108" s="1420"/>
      <c r="C108" s="1420"/>
      <c r="D108" s="1420"/>
      <c r="E108" s="1420"/>
      <c r="F108" s="1420"/>
      <c r="G108" s="1420"/>
      <c r="H108" s="1420"/>
      <c r="I108" s="1420"/>
      <c r="J108" s="1420"/>
      <c r="K108" s="1420"/>
      <c r="L108" s="1420"/>
      <c r="M108" s="1420"/>
      <c r="N108" s="1420"/>
      <c r="O108" s="1420"/>
      <c r="P108" s="1420"/>
      <c r="Q108" s="1420"/>
      <c r="R108" s="1420"/>
      <c r="S108" s="1420"/>
      <c r="T108" s="1420"/>
      <c r="U108" s="1420"/>
      <c r="V108" s="1420"/>
      <c r="W108" s="1420"/>
      <c r="X108" s="1420"/>
      <c r="Y108" s="1420"/>
      <c r="Z108" s="1420"/>
      <c r="AA108" s="1420"/>
      <c r="AB108" s="1420"/>
      <c r="AC108" s="1420"/>
      <c r="AD108" s="1420"/>
      <c r="AE108" s="1420"/>
      <c r="AF108" s="1420"/>
      <c r="AG108" s="1420"/>
      <c r="AH108" s="1420"/>
      <c r="AI108" s="1420"/>
      <c r="AJ108" s="1420"/>
      <c r="AK108" s="1420"/>
      <c r="AL108" s="1420"/>
      <c r="AM108" s="1420"/>
      <c r="AN108" s="1420"/>
      <c r="AO108" s="1420"/>
      <c r="AP108" s="1420"/>
      <c r="AQ108" s="1420"/>
      <c r="AR108" s="1420"/>
      <c r="AS108" s="1420"/>
      <c r="AT108" s="1420"/>
      <c r="AU108" s="1420"/>
      <c r="AV108" s="1420"/>
      <c r="AW108" s="1420"/>
      <c r="AX108" s="1420"/>
      <c r="AY108" s="1420"/>
      <c r="AZ108" s="1420"/>
      <c r="BA108" s="1420"/>
      <c r="BB108" s="1420"/>
      <c r="BC108" s="1420"/>
      <c r="BD108" s="1420"/>
      <c r="BE108" s="1420"/>
      <c r="BF108" s="1420"/>
      <c r="BG108" s="1420"/>
      <c r="BH108" s="1420"/>
      <c r="BI108" s="1420"/>
      <c r="BJ108" s="1420"/>
      <c r="BK108" s="1420"/>
      <c r="BL108" s="1420"/>
      <c r="BM108" s="1420"/>
    </row>
    <row r="109" spans="1:65" x14ac:dyDescent="0.3">
      <c r="A109" s="56"/>
      <c r="B109" s="1420"/>
      <c r="C109" s="1420"/>
      <c r="D109" s="1420"/>
      <c r="E109" s="1420"/>
      <c r="F109" s="1420"/>
      <c r="G109" s="1420"/>
      <c r="H109" s="1420"/>
      <c r="I109" s="1420"/>
      <c r="J109" s="1420"/>
      <c r="K109" s="1420"/>
      <c r="L109" s="1420"/>
      <c r="M109" s="1420"/>
      <c r="N109" s="1420"/>
      <c r="O109" s="1420"/>
      <c r="P109" s="1420"/>
      <c r="Q109" s="1420"/>
      <c r="R109" s="1420"/>
      <c r="S109" s="1420"/>
      <c r="T109" s="1420"/>
      <c r="U109" s="1420"/>
      <c r="V109" s="1420"/>
      <c r="W109" s="1420"/>
      <c r="X109" s="1420"/>
      <c r="Y109" s="1420"/>
      <c r="Z109" s="1420"/>
      <c r="AA109" s="1420"/>
      <c r="AB109" s="1420"/>
      <c r="AC109" s="1420"/>
      <c r="AD109" s="1420"/>
      <c r="AE109" s="1420"/>
      <c r="AF109" s="1420"/>
      <c r="AG109" s="1420"/>
      <c r="AH109" s="1420"/>
      <c r="AI109" s="1420"/>
      <c r="AJ109" s="1420"/>
      <c r="AK109" s="1420"/>
      <c r="AL109" s="1420"/>
      <c r="AM109" s="1420"/>
      <c r="AN109" s="1420"/>
      <c r="AO109" s="1420"/>
      <c r="AP109" s="1420"/>
      <c r="AQ109" s="1420"/>
      <c r="AR109" s="1420"/>
      <c r="AS109" s="1420"/>
      <c r="AT109" s="1420"/>
      <c r="AU109" s="1420"/>
      <c r="AV109" s="1420"/>
      <c r="AW109" s="1420"/>
      <c r="AX109" s="1420"/>
      <c r="AY109" s="1420"/>
      <c r="AZ109" s="1420"/>
      <c r="BA109" s="1420"/>
      <c r="BB109" s="1420"/>
      <c r="BC109" s="1420"/>
      <c r="BD109" s="1420"/>
      <c r="BE109" s="1420"/>
      <c r="BF109" s="1420"/>
      <c r="BG109" s="1420"/>
      <c r="BH109" s="1420"/>
      <c r="BI109" s="1420"/>
      <c r="BJ109" s="1420"/>
      <c r="BK109" s="1420"/>
      <c r="BL109" s="1420"/>
      <c r="BM109" s="1420"/>
    </row>
    <row r="110" spans="1:65" x14ac:dyDescent="0.3">
      <c r="A110" s="56"/>
      <c r="B110" s="1420"/>
      <c r="C110" s="1420"/>
      <c r="D110" s="1420"/>
      <c r="E110" s="1420"/>
      <c r="F110" s="1420"/>
      <c r="G110" s="1420"/>
      <c r="H110" s="1420"/>
      <c r="I110" s="1420"/>
      <c r="J110" s="1420"/>
      <c r="K110" s="1420"/>
      <c r="L110" s="1420"/>
      <c r="M110" s="1420"/>
      <c r="N110" s="1420"/>
      <c r="O110" s="1420"/>
      <c r="P110" s="1420"/>
      <c r="Q110" s="1420"/>
      <c r="R110" s="1420"/>
      <c r="S110" s="1420"/>
      <c r="T110" s="1420"/>
      <c r="U110" s="1420"/>
      <c r="V110" s="1420"/>
      <c r="W110" s="1420"/>
      <c r="X110" s="1420"/>
      <c r="Y110" s="1420"/>
      <c r="Z110" s="1420"/>
      <c r="AA110" s="1420"/>
      <c r="AB110" s="1420"/>
      <c r="AC110" s="1420"/>
      <c r="AD110" s="1420"/>
      <c r="AE110" s="1420"/>
      <c r="AF110" s="1420"/>
      <c r="AG110" s="1420"/>
      <c r="AH110" s="1420"/>
      <c r="AI110" s="1420"/>
      <c r="AJ110" s="1420"/>
      <c r="AK110" s="1420"/>
      <c r="AL110" s="1420"/>
      <c r="AM110" s="1420"/>
      <c r="AN110" s="1420"/>
      <c r="AO110" s="1420"/>
      <c r="AP110" s="1420"/>
      <c r="AQ110" s="1420"/>
      <c r="AR110" s="1420"/>
      <c r="AS110" s="1420"/>
      <c r="AT110" s="1420"/>
      <c r="AU110" s="1420"/>
      <c r="AV110" s="1420"/>
      <c r="AW110" s="1420"/>
      <c r="AX110" s="1420"/>
      <c r="AY110" s="1420"/>
      <c r="AZ110" s="1420"/>
      <c r="BA110" s="1420"/>
      <c r="BB110" s="1420"/>
      <c r="BC110" s="1420"/>
      <c r="BD110" s="1420"/>
      <c r="BE110" s="1420"/>
      <c r="BF110" s="1420"/>
      <c r="BG110" s="1420"/>
      <c r="BH110" s="1420"/>
      <c r="BI110" s="1420"/>
      <c r="BJ110" s="1420"/>
      <c r="BK110" s="1420"/>
      <c r="BL110" s="1420"/>
      <c r="BM110" s="1420"/>
    </row>
    <row r="111" spans="1:65" x14ac:dyDescent="0.3">
      <c r="A111" s="56"/>
      <c r="B111" s="1420"/>
      <c r="C111" s="1420"/>
      <c r="D111" s="1420"/>
      <c r="E111" s="1420"/>
      <c r="F111" s="1420"/>
      <c r="G111" s="1420"/>
      <c r="H111" s="1420"/>
      <c r="I111" s="1420"/>
      <c r="J111" s="1420"/>
      <c r="K111" s="1420"/>
      <c r="L111" s="1420"/>
      <c r="M111" s="1420"/>
      <c r="N111" s="1420"/>
      <c r="O111" s="1420"/>
      <c r="P111" s="1420"/>
      <c r="Q111" s="1420"/>
      <c r="R111" s="1420"/>
      <c r="S111" s="1420"/>
      <c r="T111" s="1420"/>
      <c r="U111" s="1420"/>
      <c r="V111" s="1420"/>
      <c r="W111" s="1420"/>
      <c r="X111" s="1420"/>
      <c r="Y111" s="1420"/>
      <c r="Z111" s="1420"/>
      <c r="AA111" s="1420"/>
      <c r="AB111" s="1420"/>
      <c r="AC111" s="1420"/>
      <c r="AD111" s="1420"/>
      <c r="AE111" s="1420"/>
      <c r="AF111" s="1420"/>
      <c r="AG111" s="1420"/>
      <c r="AH111" s="1420"/>
      <c r="AI111" s="1420"/>
      <c r="AJ111" s="1420"/>
      <c r="AK111" s="1420"/>
      <c r="AL111" s="1420"/>
      <c r="AM111" s="1420"/>
      <c r="AN111" s="1420"/>
      <c r="AO111" s="1420"/>
      <c r="AP111" s="1420"/>
      <c r="AQ111" s="1420"/>
      <c r="AR111" s="1420"/>
      <c r="AS111" s="1420"/>
      <c r="AT111" s="1420"/>
      <c r="AU111" s="1420"/>
      <c r="AV111" s="1420"/>
      <c r="AW111" s="1420"/>
      <c r="AX111" s="1420"/>
      <c r="AY111" s="1420"/>
      <c r="AZ111" s="1420"/>
      <c r="BA111" s="1420"/>
      <c r="BB111" s="1420"/>
      <c r="BC111" s="1420"/>
      <c r="BD111" s="1420"/>
      <c r="BE111" s="1420"/>
      <c r="BF111" s="1420"/>
      <c r="BG111" s="1420"/>
      <c r="BH111" s="1420"/>
      <c r="BI111" s="1420"/>
      <c r="BJ111" s="1420"/>
      <c r="BK111" s="1420"/>
      <c r="BL111" s="1420"/>
      <c r="BM111" s="1420"/>
    </row>
    <row r="112" spans="1:65" x14ac:dyDescent="0.3">
      <c r="A112" s="56"/>
      <c r="B112" s="1420"/>
      <c r="C112" s="1420"/>
      <c r="D112" s="1420"/>
      <c r="E112" s="1420"/>
      <c r="F112" s="1420"/>
      <c r="G112" s="1420"/>
      <c r="H112" s="1420"/>
      <c r="I112" s="1420"/>
      <c r="J112" s="1420"/>
      <c r="K112" s="1420"/>
      <c r="L112" s="1420"/>
      <c r="M112" s="1420"/>
      <c r="N112" s="1420"/>
      <c r="O112" s="1420"/>
      <c r="P112" s="1420"/>
      <c r="Q112" s="1420"/>
      <c r="R112" s="1420"/>
      <c r="S112" s="1420"/>
      <c r="T112" s="1420"/>
      <c r="U112" s="1420"/>
      <c r="V112" s="1420"/>
      <c r="W112" s="1420"/>
      <c r="X112" s="1420"/>
      <c r="Y112" s="1420"/>
      <c r="Z112" s="1420"/>
      <c r="AA112" s="1420"/>
      <c r="AB112" s="1420"/>
      <c r="AC112" s="1420"/>
      <c r="AD112" s="1420"/>
      <c r="AE112" s="1420"/>
      <c r="AF112" s="1420"/>
      <c r="AG112" s="1420"/>
      <c r="AH112" s="1420"/>
      <c r="AI112" s="1420"/>
      <c r="AJ112" s="1420"/>
      <c r="AK112" s="1420"/>
      <c r="AL112" s="1420"/>
      <c r="AM112" s="1420"/>
      <c r="AN112" s="1420"/>
      <c r="AO112" s="1420"/>
      <c r="AP112" s="1420"/>
      <c r="AQ112" s="1420"/>
      <c r="AR112" s="1420"/>
      <c r="AS112" s="1420"/>
      <c r="AT112" s="1420"/>
      <c r="AU112" s="1420"/>
      <c r="AV112" s="1420"/>
      <c r="AW112" s="1420"/>
      <c r="AX112" s="1420"/>
      <c r="AY112" s="1420"/>
      <c r="AZ112" s="1420"/>
      <c r="BA112" s="1420"/>
      <c r="BB112" s="1420"/>
      <c r="BC112" s="1420"/>
      <c r="BD112" s="1420"/>
      <c r="BE112" s="1420"/>
      <c r="BF112" s="1420"/>
      <c r="BG112" s="1420"/>
      <c r="BH112" s="1420"/>
      <c r="BI112" s="1420"/>
      <c r="BJ112" s="1420"/>
      <c r="BK112" s="1420"/>
      <c r="BL112" s="1420"/>
      <c r="BM112" s="1420"/>
    </row>
    <row r="113" spans="1:65" x14ac:dyDescent="0.3">
      <c r="A113" s="56"/>
      <c r="B113" s="1420"/>
      <c r="C113" s="1420"/>
      <c r="D113" s="1420"/>
      <c r="E113" s="1420"/>
      <c r="F113" s="1420"/>
      <c r="G113" s="1420"/>
      <c r="H113" s="1420"/>
      <c r="I113" s="1420"/>
      <c r="J113" s="1420"/>
      <c r="K113" s="1420"/>
      <c r="L113" s="1420"/>
      <c r="M113" s="1420"/>
      <c r="N113" s="1420"/>
      <c r="O113" s="1420"/>
      <c r="P113" s="1420"/>
      <c r="Q113" s="1420"/>
      <c r="R113" s="1420"/>
      <c r="S113" s="1420"/>
      <c r="T113" s="1420"/>
      <c r="U113" s="1420"/>
      <c r="V113" s="1420"/>
      <c r="W113" s="1420"/>
      <c r="X113" s="1420"/>
      <c r="Y113" s="1420"/>
      <c r="Z113" s="1420"/>
      <c r="AA113" s="1420"/>
      <c r="AB113" s="1420"/>
      <c r="AC113" s="1420"/>
      <c r="AD113" s="1420"/>
      <c r="AE113" s="1420"/>
      <c r="AF113" s="1420"/>
      <c r="AG113" s="1420"/>
      <c r="AH113" s="1420"/>
      <c r="AI113" s="1420"/>
      <c r="AJ113" s="1420"/>
      <c r="AK113" s="1420"/>
      <c r="AL113" s="1420"/>
      <c r="AM113" s="1420"/>
      <c r="AN113" s="1420"/>
      <c r="AO113" s="1420"/>
      <c r="AP113" s="1420"/>
      <c r="AQ113" s="1420"/>
      <c r="AR113" s="1420"/>
      <c r="AS113" s="1420"/>
      <c r="AT113" s="1420"/>
      <c r="AU113" s="1420"/>
      <c r="AV113" s="1420"/>
      <c r="AW113" s="1420"/>
      <c r="AX113" s="1420"/>
      <c r="AY113" s="1420"/>
      <c r="AZ113" s="1420"/>
      <c r="BA113" s="1420"/>
      <c r="BB113" s="1420"/>
      <c r="BC113" s="1420"/>
      <c r="BD113" s="1420"/>
      <c r="BE113" s="1420"/>
      <c r="BF113" s="1420"/>
      <c r="BG113" s="1420"/>
      <c r="BH113" s="1420"/>
      <c r="BI113" s="1420"/>
      <c r="BJ113" s="1420"/>
      <c r="BK113" s="1420"/>
      <c r="BL113" s="1420"/>
      <c r="BM113" s="1420"/>
    </row>
    <row r="114" spans="1:65" x14ac:dyDescent="0.3">
      <c r="A114" s="56"/>
      <c r="B114" s="1420"/>
      <c r="C114" s="1420"/>
      <c r="D114" s="1420"/>
      <c r="E114" s="1420"/>
      <c r="F114" s="1420"/>
      <c r="G114" s="1420"/>
      <c r="H114" s="1420"/>
      <c r="I114" s="1420"/>
      <c r="J114" s="1420"/>
      <c r="K114" s="1420"/>
      <c r="L114" s="1420"/>
      <c r="M114" s="1420"/>
      <c r="N114" s="1420"/>
      <c r="O114" s="1420"/>
      <c r="P114" s="1420"/>
      <c r="Q114" s="1420"/>
      <c r="R114" s="1420"/>
      <c r="S114" s="1420"/>
      <c r="T114" s="1420"/>
      <c r="U114" s="1420"/>
      <c r="V114" s="1420"/>
      <c r="W114" s="1420"/>
      <c r="X114" s="1420"/>
      <c r="Y114" s="1420"/>
      <c r="Z114" s="1420"/>
      <c r="AA114" s="1420"/>
      <c r="AB114" s="1420"/>
      <c r="AC114" s="1420"/>
      <c r="AD114" s="1420"/>
      <c r="AE114" s="1420"/>
      <c r="AF114" s="1420"/>
      <c r="AG114" s="1420"/>
      <c r="AH114" s="1420"/>
      <c r="AI114" s="1420"/>
      <c r="AJ114" s="1420"/>
      <c r="AK114" s="1420"/>
      <c r="AL114" s="1420"/>
      <c r="AM114" s="1420"/>
      <c r="AN114" s="1420"/>
      <c r="AO114" s="1420"/>
      <c r="AP114" s="1420"/>
      <c r="AQ114" s="1420"/>
      <c r="AR114" s="1420"/>
      <c r="AS114" s="1420"/>
      <c r="AT114" s="1420"/>
      <c r="AU114" s="1420"/>
      <c r="AV114" s="1420"/>
      <c r="AW114" s="1420"/>
      <c r="AX114" s="1420"/>
      <c r="AY114" s="1420"/>
      <c r="AZ114" s="1420"/>
      <c r="BA114" s="1420"/>
      <c r="BB114" s="1420"/>
      <c r="BC114" s="1420"/>
      <c r="BD114" s="1420"/>
      <c r="BE114" s="1420"/>
      <c r="BF114" s="1420"/>
      <c r="BG114" s="1420"/>
      <c r="BH114" s="1420"/>
      <c r="BI114" s="1420"/>
      <c r="BJ114" s="1420"/>
      <c r="BK114" s="1420"/>
      <c r="BL114" s="1420"/>
      <c r="BM114" s="1420"/>
    </row>
    <row r="115" spans="1:65" x14ac:dyDescent="0.3">
      <c r="A115" s="56"/>
      <c r="B115" s="1420"/>
      <c r="C115" s="1420"/>
      <c r="D115" s="1420"/>
      <c r="E115" s="1420"/>
      <c r="F115" s="1420"/>
      <c r="G115" s="1420"/>
      <c r="H115" s="1420"/>
      <c r="I115" s="1420"/>
      <c r="J115" s="1420"/>
      <c r="K115" s="1420"/>
      <c r="L115" s="1420"/>
      <c r="M115" s="1420"/>
      <c r="N115" s="1420"/>
      <c r="O115" s="1420"/>
      <c r="P115" s="1420"/>
      <c r="Q115" s="1420"/>
      <c r="R115" s="1420"/>
      <c r="S115" s="1420"/>
      <c r="T115" s="1420"/>
      <c r="U115" s="1420"/>
      <c r="V115" s="1420"/>
      <c r="W115" s="1420"/>
      <c r="X115" s="1420"/>
      <c r="Y115" s="1420"/>
      <c r="Z115" s="1420"/>
      <c r="AA115" s="1420"/>
      <c r="AB115" s="1420"/>
      <c r="AC115" s="1420"/>
      <c r="AD115" s="1420"/>
      <c r="AE115" s="1420"/>
      <c r="AF115" s="1420"/>
      <c r="AG115" s="1420"/>
      <c r="AH115" s="1420"/>
      <c r="AI115" s="1420"/>
      <c r="AJ115" s="1420"/>
      <c r="AK115" s="1420"/>
      <c r="AL115" s="1420"/>
      <c r="AM115" s="1420"/>
      <c r="AN115" s="1420"/>
      <c r="AO115" s="1420"/>
      <c r="AP115" s="1420"/>
      <c r="AQ115" s="1420"/>
      <c r="AR115" s="1420"/>
      <c r="AS115" s="1420"/>
      <c r="AT115" s="1420"/>
      <c r="AU115" s="1420"/>
      <c r="AV115" s="1420"/>
      <c r="AW115" s="1420"/>
      <c r="AX115" s="1420"/>
      <c r="AY115" s="1420"/>
      <c r="AZ115" s="1420"/>
      <c r="BA115" s="1420"/>
      <c r="BB115" s="1420"/>
      <c r="BC115" s="1420"/>
      <c r="BD115" s="1420"/>
      <c r="BE115" s="1420"/>
      <c r="BF115" s="1420"/>
      <c r="BG115" s="1420"/>
      <c r="BH115" s="1420"/>
      <c r="BI115" s="1420"/>
      <c r="BJ115" s="1420"/>
      <c r="BK115" s="1420"/>
      <c r="BL115" s="1420"/>
      <c r="BM115" s="1420"/>
    </row>
    <row r="116" spans="1:65" x14ac:dyDescent="0.3">
      <c r="A116" s="56"/>
      <c r="B116" s="1420"/>
      <c r="C116" s="1420"/>
      <c r="D116" s="1420"/>
      <c r="E116" s="1420"/>
      <c r="F116" s="1420"/>
      <c r="G116" s="1420"/>
      <c r="H116" s="1420"/>
      <c r="I116" s="1420"/>
      <c r="J116" s="1420"/>
      <c r="K116" s="1420"/>
      <c r="L116" s="1420"/>
      <c r="M116" s="1420"/>
      <c r="N116" s="1420"/>
      <c r="O116" s="1420"/>
      <c r="P116" s="1420"/>
      <c r="Q116" s="1420"/>
      <c r="R116" s="1420"/>
      <c r="S116" s="1420"/>
      <c r="T116" s="1420"/>
      <c r="U116" s="1420"/>
      <c r="V116" s="1420"/>
      <c r="W116" s="1420"/>
      <c r="X116" s="1420"/>
      <c r="Y116" s="1420"/>
      <c r="Z116" s="1420"/>
      <c r="AA116" s="1420"/>
      <c r="AB116" s="1420"/>
      <c r="AC116" s="1420"/>
      <c r="AD116" s="1420"/>
      <c r="AE116" s="1420"/>
      <c r="AF116" s="1420"/>
      <c r="AG116" s="1420"/>
      <c r="AH116" s="1420"/>
      <c r="AI116" s="1420"/>
      <c r="AJ116" s="1420"/>
      <c r="AK116" s="1420"/>
      <c r="AL116" s="1420"/>
      <c r="AM116" s="1420"/>
      <c r="AN116" s="1420"/>
      <c r="AO116" s="1420"/>
      <c r="AP116" s="1420"/>
      <c r="AQ116" s="1420"/>
      <c r="AR116" s="1420"/>
      <c r="AS116" s="1420"/>
      <c r="AT116" s="1420"/>
      <c r="AU116" s="1420"/>
      <c r="AV116" s="1420"/>
      <c r="AW116" s="1420"/>
      <c r="AX116" s="1420"/>
      <c r="AY116" s="1420"/>
      <c r="AZ116" s="1420"/>
      <c r="BA116" s="1420"/>
      <c r="BB116" s="1420"/>
      <c r="BC116" s="1420"/>
      <c r="BD116" s="1420"/>
      <c r="BE116" s="1420"/>
      <c r="BF116" s="1420"/>
      <c r="BG116" s="1420"/>
      <c r="BH116" s="1420"/>
      <c r="BI116" s="1420"/>
      <c r="BJ116" s="1420"/>
      <c r="BK116" s="1420"/>
      <c r="BL116" s="1420"/>
      <c r="BM116" s="1420"/>
    </row>
    <row r="117" spans="1:65" x14ac:dyDescent="0.3">
      <c r="A117" s="56"/>
      <c r="B117" s="1420"/>
      <c r="C117" s="1420"/>
      <c r="D117" s="1420"/>
      <c r="E117" s="1420"/>
      <c r="F117" s="1420"/>
      <c r="G117" s="1420"/>
      <c r="H117" s="1420"/>
      <c r="I117" s="1420"/>
      <c r="J117" s="1420"/>
      <c r="K117" s="1420"/>
      <c r="L117" s="1420"/>
      <c r="M117" s="1420"/>
      <c r="N117" s="1420"/>
      <c r="O117" s="1420"/>
      <c r="P117" s="1420"/>
      <c r="Q117" s="1420"/>
      <c r="R117" s="1420"/>
      <c r="S117" s="1420"/>
      <c r="T117" s="1420"/>
      <c r="U117" s="1420"/>
      <c r="V117" s="1420"/>
      <c r="W117" s="1420"/>
      <c r="X117" s="1420"/>
      <c r="Y117" s="1420"/>
      <c r="Z117" s="1420"/>
      <c r="AA117" s="1420"/>
      <c r="AB117" s="1420"/>
      <c r="AC117" s="1420"/>
      <c r="AD117" s="1420"/>
      <c r="AE117" s="1420"/>
      <c r="AF117" s="1420"/>
      <c r="AG117" s="1420"/>
      <c r="AH117" s="1420"/>
      <c r="AI117" s="1420"/>
      <c r="AJ117" s="1420"/>
      <c r="AK117" s="1420"/>
      <c r="AL117" s="1420"/>
      <c r="AM117" s="1420"/>
      <c r="AN117" s="1420"/>
      <c r="AO117" s="1420"/>
      <c r="AP117" s="1420"/>
      <c r="AQ117" s="1420"/>
      <c r="AR117" s="1420"/>
      <c r="AS117" s="1420"/>
      <c r="AT117" s="1420"/>
      <c r="AU117" s="1420"/>
      <c r="AV117" s="1420"/>
      <c r="AW117" s="1420"/>
      <c r="AX117" s="1420"/>
      <c r="AY117" s="1420"/>
      <c r="AZ117" s="1420"/>
      <c r="BA117" s="1420"/>
      <c r="BB117" s="1420"/>
      <c r="BC117" s="1420"/>
      <c r="BD117" s="1420"/>
      <c r="BE117" s="1420"/>
      <c r="BF117" s="1420"/>
      <c r="BG117" s="1420"/>
      <c r="BH117" s="1420"/>
      <c r="BI117" s="1420"/>
      <c r="BJ117" s="1420"/>
      <c r="BK117" s="1420"/>
      <c r="BL117" s="1420"/>
      <c r="BM117" s="1420"/>
    </row>
    <row r="118" spans="1:65" x14ac:dyDescent="0.3">
      <c r="A118" s="56"/>
      <c r="B118" s="1420"/>
      <c r="C118" s="1420"/>
      <c r="D118" s="1420"/>
      <c r="E118" s="1420"/>
      <c r="F118" s="1420"/>
      <c r="G118" s="1420"/>
      <c r="H118" s="1420"/>
      <c r="I118" s="1420"/>
      <c r="J118" s="1420"/>
      <c r="K118" s="1420"/>
      <c r="L118" s="1420"/>
      <c r="M118" s="1420"/>
      <c r="N118" s="1420"/>
      <c r="O118" s="1420"/>
      <c r="P118" s="1420"/>
      <c r="Q118" s="1420"/>
      <c r="R118" s="1420"/>
      <c r="S118" s="1420"/>
      <c r="T118" s="1420"/>
      <c r="U118" s="1420"/>
      <c r="V118" s="1420"/>
      <c r="W118" s="1420"/>
      <c r="X118" s="1420"/>
      <c r="Y118" s="1420"/>
      <c r="Z118" s="1420"/>
      <c r="AA118" s="1420"/>
      <c r="AB118" s="1420"/>
      <c r="AC118" s="1420"/>
      <c r="AD118" s="1420"/>
      <c r="AE118" s="1420"/>
      <c r="AF118" s="1420"/>
      <c r="AG118" s="1420"/>
      <c r="AH118" s="1420"/>
      <c r="AI118" s="1420"/>
      <c r="AJ118" s="1420"/>
      <c r="AK118" s="1420"/>
      <c r="AL118" s="1420"/>
      <c r="AM118" s="1420"/>
      <c r="AN118" s="1420"/>
      <c r="AO118" s="1420"/>
      <c r="AP118" s="1420"/>
      <c r="AQ118" s="1420"/>
      <c r="AR118" s="1420"/>
      <c r="AS118" s="1420"/>
      <c r="AT118" s="1420"/>
      <c r="AU118" s="1420"/>
      <c r="AV118" s="1420"/>
      <c r="AW118" s="1420"/>
      <c r="AX118" s="1420"/>
      <c r="AY118" s="1420"/>
      <c r="AZ118" s="1420"/>
      <c r="BA118" s="1420"/>
      <c r="BB118" s="1420"/>
      <c r="BC118" s="1420"/>
      <c r="BD118" s="1420"/>
      <c r="BE118" s="1420"/>
      <c r="BF118" s="1420"/>
      <c r="BG118" s="1420"/>
      <c r="BH118" s="1420"/>
      <c r="BI118" s="1420"/>
      <c r="BJ118" s="1420"/>
      <c r="BK118" s="1420"/>
      <c r="BL118" s="1420"/>
      <c r="BM118" s="1420"/>
    </row>
    <row r="119" spans="1:65" x14ac:dyDescent="0.3">
      <c r="A119" s="56"/>
      <c r="B119" s="1420"/>
      <c r="C119" s="1420"/>
      <c r="D119" s="1420"/>
      <c r="E119" s="1420"/>
      <c r="F119" s="1420"/>
      <c r="G119" s="1420"/>
      <c r="H119" s="1420"/>
      <c r="I119" s="1420"/>
      <c r="J119" s="1420"/>
      <c r="K119" s="1420"/>
      <c r="L119" s="1420"/>
      <c r="M119" s="1420"/>
      <c r="N119" s="1420"/>
      <c r="O119" s="1420"/>
      <c r="P119" s="1420"/>
      <c r="Q119" s="1420"/>
      <c r="R119" s="1420"/>
      <c r="S119" s="1420"/>
      <c r="T119" s="1420"/>
      <c r="U119" s="1420"/>
      <c r="V119" s="1420"/>
      <c r="W119" s="1420"/>
      <c r="X119" s="1420"/>
      <c r="Y119" s="1420"/>
      <c r="Z119" s="1420"/>
      <c r="AA119" s="1420"/>
      <c r="AB119" s="1420"/>
      <c r="AC119" s="1420"/>
      <c r="AD119" s="1420"/>
      <c r="AE119" s="1420"/>
      <c r="AF119" s="1420"/>
      <c r="AG119" s="1420"/>
      <c r="AH119" s="1420"/>
      <c r="AI119" s="1420"/>
      <c r="AJ119" s="1420"/>
      <c r="AK119" s="1420"/>
      <c r="AL119" s="1420"/>
      <c r="AM119" s="1420"/>
      <c r="AN119" s="1420"/>
      <c r="AO119" s="1420"/>
      <c r="AP119" s="1420"/>
      <c r="AQ119" s="1420"/>
      <c r="AR119" s="1420"/>
      <c r="AS119" s="1420"/>
      <c r="AT119" s="1420"/>
      <c r="AU119" s="1420"/>
      <c r="AV119" s="1420"/>
      <c r="AW119" s="1420"/>
      <c r="AX119" s="1420"/>
      <c r="AY119" s="1420"/>
      <c r="AZ119" s="1420"/>
      <c r="BA119" s="1420"/>
      <c r="BB119" s="1420"/>
      <c r="BC119" s="1420"/>
      <c r="BD119" s="1420"/>
      <c r="BE119" s="1420"/>
      <c r="BF119" s="1420"/>
      <c r="BG119" s="1420"/>
      <c r="BH119" s="1420"/>
      <c r="BI119" s="1420"/>
      <c r="BJ119" s="1420"/>
      <c r="BK119" s="1420"/>
      <c r="BL119" s="1420"/>
      <c r="BM119" s="1420"/>
    </row>
    <row r="120" spans="1:65" x14ac:dyDescent="0.3">
      <c r="A120" s="56"/>
      <c r="B120" s="1420"/>
      <c r="C120" s="1420"/>
      <c r="D120" s="1420"/>
      <c r="E120" s="1420"/>
      <c r="F120" s="1420"/>
      <c r="G120" s="1420"/>
      <c r="H120" s="1420"/>
      <c r="I120" s="1420"/>
      <c r="J120" s="1420"/>
      <c r="K120" s="1420"/>
      <c r="L120" s="1420"/>
      <c r="M120" s="1420"/>
      <c r="N120" s="1420"/>
      <c r="O120" s="1420"/>
      <c r="P120" s="1420"/>
      <c r="Q120" s="1420"/>
      <c r="R120" s="1420"/>
      <c r="S120" s="1420"/>
      <c r="T120" s="1420"/>
      <c r="U120" s="1420"/>
      <c r="V120" s="1420"/>
      <c r="W120" s="1420"/>
      <c r="X120" s="1420"/>
      <c r="Y120" s="1420"/>
      <c r="Z120" s="1420"/>
      <c r="AA120" s="1420"/>
      <c r="AB120" s="1420"/>
      <c r="AC120" s="1420"/>
      <c r="AD120" s="1420"/>
      <c r="AE120" s="1420"/>
      <c r="AF120" s="1420"/>
      <c r="AG120" s="1420"/>
      <c r="AH120" s="1420"/>
      <c r="AI120" s="1420"/>
      <c r="AJ120" s="1420"/>
      <c r="AK120" s="1420"/>
      <c r="AL120" s="1420"/>
      <c r="AM120" s="1420"/>
      <c r="AN120" s="1420"/>
      <c r="AO120" s="1420"/>
      <c r="AP120" s="1420"/>
      <c r="AQ120" s="1420"/>
      <c r="AR120" s="1420"/>
      <c r="AS120" s="1420"/>
      <c r="AT120" s="1420"/>
      <c r="AU120" s="1420"/>
      <c r="AV120" s="1420"/>
      <c r="AW120" s="1420"/>
      <c r="AX120" s="1420"/>
      <c r="AY120" s="1420"/>
      <c r="AZ120" s="1420"/>
      <c r="BA120" s="1420"/>
      <c r="BB120" s="1420"/>
      <c r="BC120" s="1420"/>
      <c r="BD120" s="1420"/>
      <c r="BE120" s="1420"/>
      <c r="BF120" s="1420"/>
      <c r="BG120" s="1420"/>
      <c r="BH120" s="1420"/>
      <c r="BI120" s="1420"/>
      <c r="BJ120" s="1420"/>
      <c r="BK120" s="1420"/>
      <c r="BL120" s="1420"/>
      <c r="BM120" s="1420"/>
    </row>
    <row r="121" spans="1:65" x14ac:dyDescent="0.3">
      <c r="A121" s="56"/>
      <c r="B121" s="1420"/>
      <c r="C121" s="1420"/>
      <c r="D121" s="1420"/>
      <c r="E121" s="1420"/>
      <c r="F121" s="1420"/>
      <c r="G121" s="1420"/>
      <c r="H121" s="1420"/>
      <c r="I121" s="1420"/>
      <c r="J121" s="1420"/>
      <c r="K121" s="1420"/>
      <c r="L121" s="1420"/>
      <c r="M121" s="1420"/>
      <c r="N121" s="1420"/>
      <c r="O121" s="1420"/>
      <c r="P121" s="1420"/>
      <c r="Q121" s="1420"/>
      <c r="R121" s="1420"/>
      <c r="S121" s="1420"/>
      <c r="T121" s="1420"/>
      <c r="U121" s="1420"/>
      <c r="V121" s="1420"/>
      <c r="W121" s="1420"/>
      <c r="X121" s="1420"/>
      <c r="Y121" s="1420"/>
      <c r="Z121" s="1420"/>
      <c r="AA121" s="1420"/>
      <c r="AB121" s="1420"/>
      <c r="AC121" s="1420"/>
      <c r="AD121" s="1420"/>
      <c r="AE121" s="1420"/>
      <c r="AF121" s="1420"/>
      <c r="AG121" s="1420"/>
      <c r="AH121" s="1420"/>
      <c r="AI121" s="1420"/>
      <c r="AJ121" s="1420"/>
      <c r="AK121" s="1420"/>
      <c r="AL121" s="1420"/>
      <c r="AM121" s="1420"/>
      <c r="AN121" s="1420"/>
      <c r="AO121" s="1420"/>
      <c r="AP121" s="1420"/>
      <c r="AQ121" s="1420"/>
      <c r="AR121" s="1420"/>
      <c r="AS121" s="1420"/>
      <c r="AT121" s="1420"/>
      <c r="AU121" s="1420"/>
      <c r="AV121" s="1420"/>
      <c r="AW121" s="1420"/>
      <c r="AX121" s="1420"/>
      <c r="AY121" s="1420"/>
      <c r="AZ121" s="1420"/>
      <c r="BA121" s="1420"/>
      <c r="BB121" s="1420"/>
      <c r="BC121" s="1420"/>
      <c r="BD121" s="1420"/>
      <c r="BE121" s="1420"/>
      <c r="BF121" s="1420"/>
      <c r="BG121" s="1420"/>
      <c r="BH121" s="1420"/>
      <c r="BI121" s="1420"/>
      <c r="BJ121" s="1420"/>
      <c r="BK121" s="1420"/>
      <c r="BL121" s="1420"/>
      <c r="BM121" s="1420"/>
    </row>
    <row r="122" spans="1:65" x14ac:dyDescent="0.3">
      <c r="A122" s="56"/>
      <c r="B122" s="1420"/>
      <c r="C122" s="1420"/>
      <c r="D122" s="1420"/>
      <c r="E122" s="1420"/>
      <c r="F122" s="1420"/>
      <c r="G122" s="1420"/>
      <c r="H122" s="1420"/>
      <c r="I122" s="1420"/>
      <c r="J122" s="1420"/>
      <c r="K122" s="1420"/>
      <c r="L122" s="1420"/>
      <c r="M122" s="1420"/>
      <c r="N122" s="1420"/>
      <c r="O122" s="1420"/>
      <c r="P122" s="1420"/>
      <c r="Q122" s="1420"/>
      <c r="R122" s="1420"/>
      <c r="S122" s="1420"/>
      <c r="T122" s="1420"/>
      <c r="U122" s="1420"/>
      <c r="V122" s="1420"/>
      <c r="W122" s="1420"/>
      <c r="X122" s="1420"/>
      <c r="Y122" s="1420"/>
      <c r="Z122" s="1420"/>
      <c r="AA122" s="1420"/>
      <c r="AB122" s="1420"/>
      <c r="AC122" s="1420"/>
      <c r="AD122" s="1420"/>
      <c r="AE122" s="1420"/>
      <c r="AF122" s="1420"/>
      <c r="AG122" s="1420"/>
      <c r="AH122" s="1420"/>
      <c r="AI122" s="1420"/>
      <c r="AJ122" s="1420"/>
      <c r="AK122" s="1420"/>
      <c r="AL122" s="1420"/>
      <c r="AM122" s="1420"/>
      <c r="AN122" s="1420"/>
      <c r="AO122" s="1420"/>
      <c r="AP122" s="1420"/>
      <c r="AQ122" s="1420"/>
      <c r="AR122" s="1420"/>
      <c r="AS122" s="1420"/>
      <c r="AT122" s="1420"/>
      <c r="AU122" s="1420"/>
      <c r="AV122" s="1420"/>
      <c r="AW122" s="1420"/>
      <c r="AX122" s="1420"/>
      <c r="AY122" s="1420"/>
      <c r="AZ122" s="1420"/>
      <c r="BA122" s="1420"/>
      <c r="BB122" s="1420"/>
      <c r="BC122" s="1420"/>
      <c r="BD122" s="1420"/>
      <c r="BE122" s="1420"/>
      <c r="BF122" s="1420"/>
      <c r="BG122" s="1420"/>
      <c r="BH122" s="1420"/>
      <c r="BI122" s="1420"/>
      <c r="BJ122" s="1420"/>
      <c r="BK122" s="1420"/>
      <c r="BL122" s="1420"/>
      <c r="BM122" s="1420"/>
    </row>
    <row r="123" spans="1:65" x14ac:dyDescent="0.3">
      <c r="A123" s="56"/>
      <c r="B123" s="1420"/>
      <c r="C123" s="1420"/>
      <c r="D123" s="1420"/>
      <c r="E123" s="1420"/>
      <c r="F123" s="1420"/>
      <c r="G123" s="1420"/>
      <c r="H123" s="1420"/>
      <c r="I123" s="1420"/>
      <c r="J123" s="1420"/>
      <c r="K123" s="1420"/>
      <c r="L123" s="1420"/>
      <c r="M123" s="1420"/>
      <c r="N123" s="1420"/>
      <c r="O123" s="1420"/>
      <c r="P123" s="1420"/>
      <c r="Q123" s="1420"/>
      <c r="R123" s="1420"/>
      <c r="S123" s="1420"/>
      <c r="T123" s="1420"/>
      <c r="U123" s="1420"/>
      <c r="V123" s="1420"/>
      <c r="W123" s="1420"/>
      <c r="X123" s="1420"/>
      <c r="Y123" s="1420"/>
      <c r="Z123" s="1420"/>
      <c r="AA123" s="1420"/>
      <c r="AB123" s="1420"/>
      <c r="AC123" s="1420"/>
      <c r="AD123" s="1420"/>
      <c r="AE123" s="1420"/>
      <c r="AF123" s="1420"/>
      <c r="AG123" s="1420"/>
      <c r="AH123" s="1420"/>
      <c r="AI123" s="1420"/>
      <c r="AJ123" s="1420"/>
      <c r="AK123" s="1420"/>
      <c r="AL123" s="1420"/>
      <c r="AM123" s="1420"/>
      <c r="AN123" s="1420"/>
      <c r="AO123" s="1420"/>
      <c r="AP123" s="1420"/>
      <c r="AQ123" s="1420"/>
      <c r="AR123" s="1420"/>
      <c r="AS123" s="1420"/>
      <c r="AT123" s="1420"/>
      <c r="AU123" s="1420"/>
      <c r="AV123" s="1420"/>
      <c r="AW123" s="1420"/>
      <c r="AX123" s="1420"/>
      <c r="AY123" s="1420"/>
      <c r="AZ123" s="1420"/>
      <c r="BA123" s="1420"/>
      <c r="BB123" s="1420"/>
      <c r="BC123" s="1420"/>
      <c r="BD123" s="1420"/>
      <c r="BE123" s="1420"/>
      <c r="BF123" s="1420"/>
      <c r="BG123" s="1420"/>
      <c r="BH123" s="1420"/>
      <c r="BI123" s="1420"/>
      <c r="BJ123" s="1420"/>
      <c r="BK123" s="1420"/>
      <c r="BL123" s="1420"/>
      <c r="BM123" s="1420"/>
    </row>
    <row r="124" spans="1:65" x14ac:dyDescent="0.3">
      <c r="A124" s="56"/>
      <c r="B124" s="1420"/>
      <c r="C124" s="1420"/>
      <c r="D124" s="1420"/>
      <c r="E124" s="1420"/>
      <c r="F124" s="1420"/>
      <c r="G124" s="1420"/>
      <c r="H124" s="1420"/>
      <c r="I124" s="1420"/>
      <c r="J124" s="1420"/>
      <c r="K124" s="1420"/>
      <c r="L124" s="1420"/>
      <c r="M124" s="1420"/>
      <c r="N124" s="1420"/>
      <c r="O124" s="1420"/>
      <c r="P124" s="1420"/>
      <c r="Q124" s="1420"/>
      <c r="R124" s="1420"/>
      <c r="S124" s="1420"/>
      <c r="T124" s="1420"/>
      <c r="U124" s="1420"/>
      <c r="V124" s="1420"/>
      <c r="W124" s="1420"/>
      <c r="X124" s="1420"/>
      <c r="Y124" s="1420"/>
      <c r="Z124" s="1420"/>
      <c r="AA124" s="1420"/>
      <c r="AB124" s="1420"/>
      <c r="AC124" s="1420"/>
      <c r="AD124" s="1420"/>
      <c r="AE124" s="1420"/>
      <c r="AF124" s="1420"/>
      <c r="AG124" s="1420"/>
      <c r="AH124" s="1420"/>
      <c r="AI124" s="1420"/>
      <c r="AJ124" s="1420"/>
      <c r="AK124" s="1420"/>
      <c r="AL124" s="1420"/>
      <c r="AM124" s="1420"/>
      <c r="AN124" s="1420"/>
      <c r="AO124" s="1420"/>
      <c r="AP124" s="1420"/>
      <c r="AQ124" s="1420"/>
      <c r="AR124" s="1420"/>
      <c r="AS124" s="1420"/>
      <c r="AT124" s="1420"/>
      <c r="AU124" s="1420"/>
      <c r="AV124" s="1420"/>
      <c r="AW124" s="1420"/>
      <c r="AX124" s="1420"/>
      <c r="AY124" s="1420"/>
      <c r="AZ124" s="1420"/>
      <c r="BA124" s="1420"/>
      <c r="BB124" s="1420"/>
      <c r="BC124" s="1420"/>
      <c r="BD124" s="1420"/>
      <c r="BE124" s="1420"/>
      <c r="BF124" s="1420"/>
      <c r="BG124" s="1420"/>
      <c r="BH124" s="1420"/>
      <c r="BI124" s="1420"/>
      <c r="BJ124" s="1420"/>
      <c r="BK124" s="1420"/>
      <c r="BL124" s="1420"/>
      <c r="BM124" s="1420"/>
    </row>
    <row r="125" spans="1:65" x14ac:dyDescent="0.3">
      <c r="A125" s="56"/>
      <c r="B125" s="1420"/>
      <c r="C125" s="1420"/>
      <c r="D125" s="1420"/>
      <c r="E125" s="1420"/>
      <c r="F125" s="1420"/>
      <c r="G125" s="1420"/>
      <c r="H125" s="1420"/>
      <c r="I125" s="1420"/>
      <c r="J125" s="1420"/>
      <c r="K125" s="1420"/>
      <c r="L125" s="1420"/>
      <c r="M125" s="1420"/>
      <c r="N125" s="1420"/>
      <c r="O125" s="1420"/>
      <c r="P125" s="1420"/>
      <c r="Q125" s="1420"/>
      <c r="R125" s="1420"/>
      <c r="S125" s="1420"/>
      <c r="T125" s="1420"/>
      <c r="U125" s="1420"/>
      <c r="V125" s="1420"/>
      <c r="W125" s="1420"/>
      <c r="X125" s="1420"/>
      <c r="Y125" s="1420"/>
      <c r="Z125" s="1420"/>
      <c r="AA125" s="1420"/>
      <c r="AB125" s="1420"/>
      <c r="AC125" s="1420"/>
      <c r="AD125" s="1420"/>
      <c r="AE125" s="1420"/>
      <c r="AF125" s="1420"/>
      <c r="AG125" s="1420"/>
      <c r="AH125" s="1420"/>
      <c r="AI125" s="1420"/>
      <c r="AJ125" s="1420"/>
      <c r="AK125" s="1420"/>
      <c r="AL125" s="1420"/>
      <c r="AM125" s="1420"/>
      <c r="AN125" s="1420"/>
      <c r="AO125" s="1420"/>
      <c r="AP125" s="1420"/>
      <c r="AQ125" s="1420"/>
      <c r="AR125" s="1420"/>
      <c r="AS125" s="1420"/>
      <c r="AT125" s="1420"/>
      <c r="AU125" s="1420"/>
      <c r="AV125" s="1420"/>
      <c r="AW125" s="1420"/>
      <c r="AX125" s="1420"/>
      <c r="AY125" s="1420"/>
      <c r="AZ125" s="1420"/>
      <c r="BA125" s="1420"/>
      <c r="BB125" s="1420"/>
      <c r="BC125" s="1420"/>
      <c r="BD125" s="1420"/>
      <c r="BE125" s="1420"/>
      <c r="BF125" s="1420"/>
      <c r="BG125" s="1420"/>
      <c r="BH125" s="1420"/>
      <c r="BI125" s="1420"/>
      <c r="BJ125" s="1420"/>
      <c r="BK125" s="1420"/>
      <c r="BL125" s="1420"/>
      <c r="BM125" s="1420"/>
    </row>
    <row r="126" spans="1:65" x14ac:dyDescent="0.3">
      <c r="A126" s="56"/>
      <c r="B126" s="1420"/>
      <c r="C126" s="1420"/>
      <c r="D126" s="1420"/>
      <c r="E126" s="1420"/>
      <c r="F126" s="1420"/>
      <c r="G126" s="1420"/>
      <c r="H126" s="1420"/>
      <c r="I126" s="1420"/>
      <c r="J126" s="1420"/>
      <c r="K126" s="1420"/>
      <c r="L126" s="1420"/>
      <c r="M126" s="1420"/>
      <c r="N126" s="1420"/>
      <c r="O126" s="1420"/>
      <c r="P126" s="1420"/>
      <c r="Q126" s="1420"/>
      <c r="R126" s="1420"/>
      <c r="S126" s="1420"/>
      <c r="T126" s="1420"/>
      <c r="U126" s="1420"/>
      <c r="V126" s="1420"/>
      <c r="W126" s="1420"/>
      <c r="X126" s="1420"/>
      <c r="Y126" s="1420"/>
      <c r="Z126" s="1420"/>
      <c r="AA126" s="1420"/>
      <c r="AB126" s="1420"/>
      <c r="AC126" s="1420"/>
      <c r="AD126" s="1420"/>
      <c r="AE126" s="1420"/>
      <c r="AF126" s="1420"/>
      <c r="AG126" s="1420"/>
      <c r="AH126" s="1420"/>
      <c r="AI126" s="1420"/>
      <c r="AJ126" s="1420"/>
      <c r="AK126" s="1420"/>
      <c r="AL126" s="1420"/>
      <c r="AM126" s="1420"/>
      <c r="AN126" s="1420"/>
      <c r="AO126" s="1420"/>
      <c r="AP126" s="1420"/>
      <c r="AQ126" s="1420"/>
      <c r="AR126" s="1420"/>
      <c r="AS126" s="1420"/>
      <c r="AT126" s="1420"/>
      <c r="AU126" s="1420"/>
      <c r="AV126" s="1420"/>
      <c r="AW126" s="1420"/>
      <c r="AX126" s="1420"/>
      <c r="AY126" s="1420"/>
      <c r="AZ126" s="1420"/>
      <c r="BA126" s="1420"/>
      <c r="BB126" s="1420"/>
      <c r="BC126" s="1420"/>
      <c r="BD126" s="1420"/>
      <c r="BE126" s="1420"/>
      <c r="BF126" s="1420"/>
      <c r="BG126" s="1420"/>
      <c r="BH126" s="1420"/>
      <c r="BI126" s="1420"/>
      <c r="BJ126" s="1420"/>
      <c r="BK126" s="1420"/>
      <c r="BL126" s="1420"/>
      <c r="BM126" s="1420"/>
    </row>
    <row r="127" spans="1:65" x14ac:dyDescent="0.3">
      <c r="A127" s="56"/>
      <c r="B127" s="1420"/>
      <c r="C127" s="1420"/>
      <c r="D127" s="1420"/>
      <c r="E127" s="1420"/>
      <c r="F127" s="1420"/>
      <c r="G127" s="1420"/>
      <c r="H127" s="1420"/>
      <c r="I127" s="1420"/>
      <c r="J127" s="1420"/>
      <c r="K127" s="1420"/>
      <c r="L127" s="1420"/>
      <c r="M127" s="1420"/>
      <c r="N127" s="1420"/>
      <c r="O127" s="1420"/>
      <c r="P127" s="1420"/>
      <c r="Q127" s="1420"/>
      <c r="R127" s="1420"/>
      <c r="S127" s="1420"/>
      <c r="T127" s="1420"/>
      <c r="U127" s="1420"/>
      <c r="V127" s="1420"/>
      <c r="W127" s="1420"/>
      <c r="X127" s="1420"/>
      <c r="Y127" s="1420"/>
      <c r="Z127" s="1420"/>
      <c r="AA127" s="1420"/>
      <c r="AB127" s="1420"/>
      <c r="AC127" s="1420"/>
      <c r="AD127" s="1420"/>
      <c r="AE127" s="1420"/>
      <c r="AF127" s="1420"/>
      <c r="AG127" s="1420"/>
      <c r="AH127" s="1420"/>
      <c r="AI127" s="1420"/>
      <c r="AJ127" s="1420"/>
      <c r="AK127" s="1420"/>
      <c r="AL127" s="1420"/>
      <c r="AM127" s="1420"/>
      <c r="AN127" s="1420"/>
      <c r="AO127" s="1420"/>
      <c r="AP127" s="1420"/>
      <c r="AQ127" s="1420"/>
      <c r="AR127" s="1420"/>
      <c r="AS127" s="1420"/>
      <c r="AT127" s="1420"/>
      <c r="AU127" s="1420"/>
      <c r="AV127" s="1420"/>
      <c r="AW127" s="1420"/>
      <c r="AX127" s="1420"/>
      <c r="AY127" s="1420"/>
      <c r="AZ127" s="1420"/>
      <c r="BA127" s="1420"/>
      <c r="BB127" s="1420"/>
      <c r="BC127" s="1420"/>
      <c r="BD127" s="1420"/>
      <c r="BE127" s="1420"/>
      <c r="BF127" s="1420"/>
      <c r="BG127" s="1420"/>
      <c r="BH127" s="1420"/>
      <c r="BI127" s="1420"/>
      <c r="BJ127" s="1420"/>
      <c r="BK127" s="1420"/>
      <c r="BL127" s="1420"/>
      <c r="BM127" s="1420"/>
    </row>
    <row r="128" spans="1:65" x14ac:dyDescent="0.3">
      <c r="A128" s="56"/>
      <c r="B128" s="1420"/>
      <c r="C128" s="1420"/>
      <c r="D128" s="1420"/>
      <c r="E128" s="1420"/>
      <c r="F128" s="1420"/>
      <c r="G128" s="1420"/>
      <c r="H128" s="1420"/>
      <c r="I128" s="1420"/>
      <c r="J128" s="1420"/>
      <c r="K128" s="1420"/>
      <c r="L128" s="1420"/>
      <c r="M128" s="1420"/>
      <c r="N128" s="1420"/>
      <c r="O128" s="1420"/>
      <c r="P128" s="1420"/>
      <c r="Q128" s="1420"/>
      <c r="R128" s="1420"/>
      <c r="S128" s="1420"/>
      <c r="T128" s="1420"/>
      <c r="U128" s="1420"/>
      <c r="V128" s="1420"/>
      <c r="W128" s="1420"/>
      <c r="X128" s="1420"/>
      <c r="Y128" s="1420"/>
      <c r="Z128" s="1420"/>
      <c r="AA128" s="1420"/>
      <c r="AB128" s="1420"/>
      <c r="AC128" s="1420"/>
      <c r="AD128" s="1420"/>
      <c r="AE128" s="1420"/>
      <c r="AF128" s="1420"/>
      <c r="AG128" s="1420"/>
      <c r="AH128" s="1420"/>
      <c r="AI128" s="1420"/>
      <c r="AJ128" s="1420"/>
      <c r="AK128" s="1420"/>
      <c r="AL128" s="1420"/>
      <c r="AM128" s="1420"/>
      <c r="AN128" s="1420"/>
      <c r="AO128" s="1420"/>
      <c r="AP128" s="1420"/>
      <c r="AQ128" s="1420"/>
      <c r="AR128" s="1420"/>
      <c r="AS128" s="1420"/>
      <c r="AT128" s="1420"/>
      <c r="AU128" s="1420"/>
      <c r="AV128" s="1420"/>
      <c r="AW128" s="1420"/>
      <c r="AX128" s="1420"/>
      <c r="AY128" s="1420"/>
      <c r="AZ128" s="1420"/>
      <c r="BA128" s="1420"/>
      <c r="BB128" s="1420"/>
      <c r="BC128" s="1420"/>
      <c r="BD128" s="1420"/>
      <c r="BE128" s="1420"/>
      <c r="BF128" s="1420"/>
      <c r="BG128" s="1420"/>
      <c r="BH128" s="1420"/>
      <c r="BI128" s="1420"/>
      <c r="BJ128" s="1420"/>
      <c r="BK128" s="1420"/>
      <c r="BL128" s="1420"/>
      <c r="BM128" s="1420"/>
    </row>
    <row r="129" spans="1:65" x14ac:dyDescent="0.3">
      <c r="A129" s="56"/>
      <c r="B129" s="1420"/>
      <c r="C129" s="1420"/>
      <c r="D129" s="1420"/>
      <c r="E129" s="1420"/>
      <c r="F129" s="1420"/>
      <c r="G129" s="1420"/>
      <c r="H129" s="1420"/>
      <c r="I129" s="1420"/>
      <c r="J129" s="1420"/>
      <c r="K129" s="1420"/>
      <c r="L129" s="1420"/>
      <c r="M129" s="1420"/>
      <c r="N129" s="1420"/>
      <c r="O129" s="1420"/>
      <c r="P129" s="1420"/>
      <c r="Q129" s="1420"/>
      <c r="R129" s="1420"/>
      <c r="S129" s="1420"/>
      <c r="T129" s="1420"/>
      <c r="U129" s="1420"/>
      <c r="V129" s="1420"/>
      <c r="W129" s="1420"/>
      <c r="X129" s="1420"/>
      <c r="Y129" s="1420"/>
      <c r="Z129" s="1420"/>
      <c r="AA129" s="1420"/>
      <c r="AB129" s="1420"/>
      <c r="AC129" s="1420"/>
      <c r="AD129" s="1420"/>
      <c r="AE129" s="1420"/>
      <c r="AF129" s="1420"/>
      <c r="AG129" s="1420"/>
      <c r="AH129" s="1420"/>
      <c r="AI129" s="1420"/>
      <c r="AJ129" s="1420"/>
      <c r="AK129" s="1420"/>
      <c r="AL129" s="1420"/>
      <c r="AM129" s="1420"/>
      <c r="AN129" s="1420"/>
      <c r="AO129" s="1420"/>
      <c r="AP129" s="1420"/>
      <c r="AQ129" s="1420"/>
      <c r="AR129" s="1420"/>
      <c r="AS129" s="1420"/>
      <c r="AT129" s="1420"/>
      <c r="AU129" s="1420"/>
      <c r="AV129" s="1420"/>
      <c r="AW129" s="1420"/>
      <c r="AX129" s="1420"/>
      <c r="AY129" s="1420"/>
      <c r="AZ129" s="1420"/>
      <c r="BA129" s="1420"/>
      <c r="BB129" s="1420"/>
      <c r="BC129" s="1420"/>
      <c r="BD129" s="1420"/>
      <c r="BE129" s="1420"/>
      <c r="BF129" s="1420"/>
      <c r="BG129" s="1420"/>
      <c r="BH129" s="1420"/>
      <c r="BI129" s="1420"/>
      <c r="BJ129" s="1420"/>
      <c r="BK129" s="1420"/>
      <c r="BL129" s="1420"/>
      <c r="BM129" s="1420"/>
    </row>
    <row r="130" spans="1:65" x14ac:dyDescent="0.3">
      <c r="A130" s="56"/>
      <c r="B130" s="1420"/>
      <c r="C130" s="1420"/>
      <c r="D130" s="1420"/>
      <c r="E130" s="1420"/>
      <c r="F130" s="1420"/>
      <c r="G130" s="1420"/>
      <c r="H130" s="1420"/>
      <c r="I130" s="1420"/>
      <c r="J130" s="1420"/>
      <c r="K130" s="1420"/>
      <c r="L130" s="1420"/>
      <c r="M130" s="1420"/>
      <c r="N130" s="1420"/>
      <c r="O130" s="1420"/>
      <c r="P130" s="1420"/>
      <c r="Q130" s="1420"/>
      <c r="R130" s="1420"/>
      <c r="S130" s="1420"/>
      <c r="T130" s="1420"/>
      <c r="U130" s="1420"/>
      <c r="V130" s="1420"/>
      <c r="W130" s="1420"/>
      <c r="X130" s="1420"/>
      <c r="Y130" s="1420"/>
      <c r="Z130" s="1420"/>
      <c r="AA130" s="1420"/>
      <c r="AB130" s="1420"/>
      <c r="AC130" s="1420"/>
      <c r="AD130" s="1420"/>
      <c r="AE130" s="1420"/>
      <c r="AF130" s="1420"/>
      <c r="AG130" s="1420"/>
      <c r="AH130" s="1420"/>
      <c r="AI130" s="1420"/>
      <c r="AJ130" s="1420"/>
      <c r="AK130" s="1420"/>
      <c r="AL130" s="1420"/>
      <c r="AM130" s="1420"/>
      <c r="AN130" s="1420"/>
      <c r="AO130" s="1420"/>
      <c r="AP130" s="1420"/>
      <c r="AQ130" s="1420"/>
      <c r="AR130" s="1420"/>
      <c r="AS130" s="1420"/>
      <c r="AT130" s="1420"/>
      <c r="AU130" s="1420"/>
      <c r="AV130" s="1420"/>
      <c r="AW130" s="1420"/>
      <c r="AX130" s="1420"/>
      <c r="AY130" s="1420"/>
      <c r="AZ130" s="1420"/>
      <c r="BA130" s="1420"/>
      <c r="BB130" s="1420"/>
      <c r="BC130" s="1420"/>
      <c r="BD130" s="1420"/>
      <c r="BE130" s="1420"/>
      <c r="BF130" s="1420"/>
      <c r="BG130" s="1420"/>
      <c r="BH130" s="1420"/>
      <c r="BI130" s="1420"/>
      <c r="BJ130" s="1420"/>
      <c r="BK130" s="1420"/>
      <c r="BL130" s="1420"/>
      <c r="BM130" s="1420"/>
    </row>
    <row r="131" spans="1:65" x14ac:dyDescent="0.3">
      <c r="A131" s="56"/>
      <c r="B131" s="1420"/>
      <c r="C131" s="1420"/>
      <c r="D131" s="1420"/>
      <c r="E131" s="1420"/>
      <c r="F131" s="1420"/>
      <c r="G131" s="1420"/>
      <c r="H131" s="1420"/>
      <c r="I131" s="1420"/>
      <c r="J131" s="1420"/>
      <c r="K131" s="1420"/>
      <c r="L131" s="1420"/>
      <c r="M131" s="1420"/>
      <c r="N131" s="1420"/>
      <c r="O131" s="1420"/>
      <c r="P131" s="1420"/>
      <c r="Q131" s="1420"/>
      <c r="R131" s="1420"/>
      <c r="S131" s="1420"/>
      <c r="T131" s="1420"/>
      <c r="U131" s="1420"/>
      <c r="V131" s="1420"/>
      <c r="W131" s="1420"/>
      <c r="X131" s="1420"/>
      <c r="Y131" s="1420"/>
      <c r="Z131" s="1420"/>
      <c r="AA131" s="1420"/>
      <c r="AB131" s="1420"/>
      <c r="AC131" s="1420"/>
      <c r="AD131" s="1420"/>
      <c r="AE131" s="1420"/>
      <c r="AF131" s="1420"/>
      <c r="AG131" s="1420"/>
      <c r="AH131" s="1420"/>
      <c r="AI131" s="1420"/>
      <c r="AJ131" s="1420"/>
      <c r="AK131" s="1420"/>
      <c r="AL131" s="1420"/>
      <c r="AM131" s="1420"/>
      <c r="AN131" s="1420"/>
      <c r="AO131" s="1420"/>
      <c r="AP131" s="1420"/>
      <c r="AQ131" s="1420"/>
      <c r="AR131" s="1420"/>
      <c r="AS131" s="1420"/>
      <c r="AT131" s="1420"/>
      <c r="AU131" s="1420"/>
      <c r="AV131" s="1420"/>
      <c r="AW131" s="1420"/>
      <c r="AX131" s="1420"/>
      <c r="AY131" s="1420"/>
      <c r="AZ131" s="1420"/>
      <c r="BA131" s="1420"/>
      <c r="BB131" s="1420"/>
      <c r="BC131" s="1420"/>
      <c r="BD131" s="1420"/>
      <c r="BE131" s="1420"/>
      <c r="BF131" s="1420"/>
      <c r="BG131" s="1420"/>
      <c r="BH131" s="1420"/>
      <c r="BI131" s="1420"/>
      <c r="BJ131" s="1420"/>
      <c r="BK131" s="1420"/>
      <c r="BL131" s="1420"/>
      <c r="BM131" s="1420"/>
    </row>
    <row r="132" spans="1:65" x14ac:dyDescent="0.3">
      <c r="A132" s="56"/>
      <c r="B132" s="1420"/>
      <c r="C132" s="1420"/>
      <c r="D132" s="1420"/>
      <c r="E132" s="1420"/>
      <c r="F132" s="1420"/>
      <c r="G132" s="1420"/>
      <c r="H132" s="1420"/>
      <c r="I132" s="1420"/>
      <c r="J132" s="1420"/>
      <c r="K132" s="1420"/>
      <c r="L132" s="1420"/>
      <c r="M132" s="1420"/>
      <c r="N132" s="1420"/>
      <c r="O132" s="1420"/>
      <c r="P132" s="1420"/>
      <c r="Q132" s="1420"/>
      <c r="R132" s="1420"/>
      <c r="S132" s="1420"/>
      <c r="T132" s="1420"/>
      <c r="U132" s="1420"/>
      <c r="V132" s="1420"/>
      <c r="W132" s="1420"/>
      <c r="X132" s="1420"/>
      <c r="Y132" s="1420"/>
      <c r="Z132" s="1420"/>
      <c r="AA132" s="1420"/>
      <c r="AB132" s="1420"/>
      <c r="AC132" s="1420"/>
      <c r="AD132" s="1420"/>
      <c r="AE132" s="1420"/>
      <c r="AF132" s="1420"/>
      <c r="AG132" s="1420"/>
      <c r="AH132" s="1420"/>
      <c r="AI132" s="1420"/>
      <c r="AJ132" s="1420"/>
      <c r="AK132" s="1420"/>
      <c r="AL132" s="1420"/>
      <c r="AM132" s="1420"/>
      <c r="AN132" s="1420"/>
      <c r="AO132" s="1420"/>
      <c r="AP132" s="1420"/>
      <c r="AQ132" s="1420"/>
      <c r="AR132" s="1420"/>
      <c r="AS132" s="1420"/>
      <c r="AT132" s="1420"/>
      <c r="AU132" s="1420"/>
      <c r="AV132" s="1420"/>
      <c r="AW132" s="1420"/>
      <c r="AX132" s="1420"/>
      <c r="AY132" s="1420"/>
      <c r="AZ132" s="1420"/>
      <c r="BA132" s="1420"/>
      <c r="BB132" s="1420"/>
      <c r="BC132" s="1420"/>
      <c r="BD132" s="1420"/>
      <c r="BE132" s="1420"/>
      <c r="BF132" s="1420"/>
      <c r="BG132" s="1420"/>
      <c r="BH132" s="1420"/>
      <c r="BI132" s="1420"/>
      <c r="BJ132" s="1420"/>
      <c r="BK132" s="1420"/>
      <c r="BL132" s="1420"/>
      <c r="BM132" s="1420"/>
    </row>
    <row r="133" spans="1:65" x14ac:dyDescent="0.3">
      <c r="A133" s="56"/>
      <c r="B133" s="1420"/>
      <c r="C133" s="1420"/>
      <c r="D133" s="1420"/>
      <c r="E133" s="1420"/>
      <c r="F133" s="1420"/>
      <c r="G133" s="1420"/>
      <c r="H133" s="1420"/>
      <c r="I133" s="1420"/>
      <c r="J133" s="1420"/>
      <c r="K133" s="1420"/>
      <c r="L133" s="1420"/>
      <c r="M133" s="1420"/>
      <c r="N133" s="1420"/>
      <c r="O133" s="1420"/>
      <c r="P133" s="1420"/>
      <c r="Q133" s="1420"/>
      <c r="R133" s="1420"/>
      <c r="S133" s="1420"/>
      <c r="T133" s="1420"/>
      <c r="U133" s="1420"/>
      <c r="V133" s="1420"/>
      <c r="W133" s="1420"/>
      <c r="X133" s="1420"/>
      <c r="Y133" s="1420"/>
      <c r="Z133" s="1420"/>
      <c r="AA133" s="1420"/>
      <c r="AB133" s="1420"/>
      <c r="AC133" s="1420"/>
      <c r="AD133" s="1420"/>
      <c r="AE133" s="1420"/>
      <c r="AF133" s="1420"/>
      <c r="AG133" s="1420"/>
      <c r="AH133" s="1420"/>
      <c r="AI133" s="1420"/>
      <c r="AJ133" s="1420"/>
      <c r="AK133" s="1420"/>
      <c r="AL133" s="1420"/>
      <c r="AM133" s="1420"/>
      <c r="AN133" s="1420"/>
      <c r="AO133" s="1420"/>
      <c r="AP133" s="1420"/>
      <c r="AQ133" s="1420"/>
      <c r="AR133" s="1420"/>
      <c r="AS133" s="1420"/>
      <c r="AT133" s="1420"/>
      <c r="AU133" s="1420"/>
      <c r="AV133" s="1420"/>
      <c r="AW133" s="1420"/>
      <c r="AX133" s="1420"/>
      <c r="AY133" s="1420"/>
      <c r="AZ133" s="1420"/>
      <c r="BA133" s="1420"/>
      <c r="BB133" s="1420"/>
      <c r="BC133" s="1420"/>
      <c r="BD133" s="1420"/>
      <c r="BE133" s="1420"/>
      <c r="BF133" s="1420"/>
      <c r="BG133" s="1420"/>
      <c r="BH133" s="1420"/>
      <c r="BI133" s="1420"/>
      <c r="BJ133" s="1420"/>
      <c r="BK133" s="1420"/>
      <c r="BL133" s="1420"/>
      <c r="BM133" s="1420"/>
    </row>
    <row r="134" spans="1:65" x14ac:dyDescent="0.3">
      <c r="A134" s="56"/>
      <c r="B134" s="1420"/>
      <c r="C134" s="1420"/>
      <c r="D134" s="1420"/>
      <c r="E134" s="1420"/>
      <c r="F134" s="1420"/>
      <c r="G134" s="1420"/>
      <c r="H134" s="1420"/>
      <c r="I134" s="1420"/>
      <c r="J134" s="1420"/>
      <c r="K134" s="1420"/>
      <c r="L134" s="1420"/>
      <c r="M134" s="1420"/>
      <c r="N134" s="1420"/>
      <c r="O134" s="1420"/>
      <c r="P134" s="1420"/>
      <c r="Q134" s="1420"/>
      <c r="R134" s="1420"/>
      <c r="S134" s="1420"/>
      <c r="T134" s="1420"/>
      <c r="U134" s="1420"/>
      <c r="V134" s="1420"/>
      <c r="W134" s="1420"/>
      <c r="X134" s="1420"/>
      <c r="Y134" s="1420"/>
      <c r="Z134" s="1420"/>
      <c r="AA134" s="1420"/>
      <c r="AB134" s="1420"/>
      <c r="AC134" s="1420"/>
      <c r="AD134" s="1420"/>
      <c r="AE134" s="1420"/>
      <c r="AF134" s="1420"/>
      <c r="AG134" s="1420"/>
      <c r="AH134" s="1420"/>
      <c r="AI134" s="1420"/>
      <c r="AJ134" s="1420"/>
      <c r="AK134" s="1420"/>
      <c r="AL134" s="1420"/>
      <c r="AM134" s="1420"/>
      <c r="AN134" s="1420"/>
      <c r="AO134" s="1420"/>
      <c r="AP134" s="1420"/>
      <c r="AQ134" s="1420"/>
      <c r="AR134" s="1420"/>
      <c r="AS134" s="1420"/>
      <c r="AT134" s="1420"/>
      <c r="AU134" s="1420"/>
      <c r="AV134" s="1420"/>
      <c r="AW134" s="1420"/>
      <c r="AX134" s="1420"/>
      <c r="AY134" s="1420"/>
      <c r="AZ134" s="1420"/>
      <c r="BA134" s="1420"/>
      <c r="BB134" s="1420"/>
      <c r="BC134" s="1420"/>
      <c r="BD134" s="1420"/>
      <c r="BE134" s="1420"/>
      <c r="BF134" s="1420"/>
      <c r="BG134" s="1420"/>
      <c r="BH134" s="1420"/>
      <c r="BI134" s="1420"/>
      <c r="BJ134" s="1420"/>
      <c r="BK134" s="1420"/>
      <c r="BL134" s="1420"/>
      <c r="BM134" s="1420"/>
    </row>
    <row r="135" spans="1:65" x14ac:dyDescent="0.3">
      <c r="A135" s="56"/>
      <c r="B135" s="1420"/>
      <c r="C135" s="1420"/>
      <c r="D135" s="1420"/>
      <c r="E135" s="1420"/>
      <c r="F135" s="1420"/>
      <c r="G135" s="1420"/>
      <c r="H135" s="1420"/>
      <c r="I135" s="1420"/>
      <c r="J135" s="1420"/>
      <c r="K135" s="1420"/>
      <c r="L135" s="1420"/>
      <c r="M135" s="1420"/>
      <c r="N135" s="1420"/>
      <c r="O135" s="1420"/>
      <c r="P135" s="1420"/>
      <c r="Q135" s="1420"/>
      <c r="R135" s="1420"/>
      <c r="S135" s="1420"/>
      <c r="T135" s="1420"/>
      <c r="U135" s="1420"/>
      <c r="V135" s="1420"/>
      <c r="W135" s="1420"/>
      <c r="X135" s="1420"/>
      <c r="Y135" s="1420"/>
      <c r="Z135" s="1420"/>
      <c r="AA135" s="1420"/>
      <c r="AB135" s="1420"/>
      <c r="AC135" s="1420"/>
      <c r="AD135" s="1420"/>
      <c r="AE135" s="1420"/>
      <c r="AF135" s="1420"/>
      <c r="AG135" s="1420"/>
      <c r="AH135" s="1420"/>
      <c r="AI135" s="1420"/>
      <c r="AJ135" s="1420"/>
      <c r="AK135" s="1420"/>
      <c r="AL135" s="1420"/>
      <c r="AM135" s="1420"/>
      <c r="AN135" s="1420"/>
      <c r="AO135" s="1420"/>
      <c r="AP135" s="1420"/>
      <c r="AQ135" s="1420"/>
      <c r="AR135" s="1420"/>
      <c r="AS135" s="1420"/>
      <c r="AT135" s="1420"/>
      <c r="AU135" s="1420"/>
      <c r="AV135" s="1420"/>
      <c r="AW135" s="1420"/>
      <c r="AX135" s="1420"/>
      <c r="AY135" s="1420"/>
      <c r="AZ135" s="1420"/>
      <c r="BA135" s="1420"/>
      <c r="BB135" s="1420"/>
      <c r="BC135" s="1420"/>
      <c r="BD135" s="1420"/>
      <c r="BE135" s="1420"/>
      <c r="BF135" s="1420"/>
      <c r="BG135" s="1420"/>
      <c r="BH135" s="1420"/>
      <c r="BI135" s="1420"/>
      <c r="BJ135" s="1420"/>
      <c r="BK135" s="1420"/>
      <c r="BL135" s="1420"/>
      <c r="BM135" s="1420"/>
    </row>
    <row r="136" spans="1:65" x14ac:dyDescent="0.3">
      <c r="A136" s="56"/>
      <c r="B136" s="1420"/>
      <c r="C136" s="1420"/>
      <c r="D136" s="1420"/>
      <c r="E136" s="1420"/>
      <c r="F136" s="1420"/>
      <c r="G136" s="1420"/>
      <c r="H136" s="1420"/>
      <c r="I136" s="1420"/>
      <c r="J136" s="1420"/>
      <c r="K136" s="1420"/>
      <c r="L136" s="1420"/>
      <c r="M136" s="1420"/>
      <c r="N136" s="1420"/>
      <c r="O136" s="1420"/>
      <c r="P136" s="1420"/>
      <c r="Q136" s="1420"/>
      <c r="R136" s="1420"/>
      <c r="S136" s="1420"/>
      <c r="T136" s="1420"/>
      <c r="U136" s="1420"/>
      <c r="V136" s="1420"/>
      <c r="W136" s="1420"/>
      <c r="X136" s="1420"/>
      <c r="Y136" s="1420"/>
      <c r="Z136" s="1420"/>
      <c r="AA136" s="1420"/>
      <c r="AB136" s="1420"/>
      <c r="AC136" s="1420"/>
      <c r="AD136" s="1420"/>
      <c r="AE136" s="1420"/>
      <c r="AF136" s="1420"/>
      <c r="AG136" s="1420"/>
      <c r="AH136" s="1420"/>
      <c r="AI136" s="1420"/>
      <c r="AJ136" s="1420"/>
      <c r="AK136" s="1420"/>
      <c r="AL136" s="1420"/>
      <c r="AM136" s="1420"/>
      <c r="AN136" s="1420"/>
      <c r="AO136" s="1420"/>
      <c r="AP136" s="1420"/>
      <c r="AQ136" s="1420"/>
      <c r="AR136" s="1420"/>
      <c r="AS136" s="1420"/>
      <c r="AT136" s="1420"/>
      <c r="AU136" s="1420"/>
      <c r="AV136" s="1420"/>
      <c r="AW136" s="1420"/>
      <c r="AX136" s="1420"/>
      <c r="AY136" s="1420"/>
      <c r="AZ136" s="1420"/>
      <c r="BA136" s="1420"/>
      <c r="BB136" s="1420"/>
      <c r="BC136" s="1420"/>
      <c r="BD136" s="1420"/>
      <c r="BE136" s="1420"/>
      <c r="BF136" s="1420"/>
      <c r="BG136" s="1420"/>
      <c r="BH136" s="1420"/>
      <c r="BI136" s="1420"/>
      <c r="BJ136" s="1420"/>
      <c r="BK136" s="1420"/>
      <c r="BL136" s="1420"/>
      <c r="BM136" s="1420"/>
    </row>
    <row r="137" spans="1:65" x14ac:dyDescent="0.3">
      <c r="A137" s="56"/>
      <c r="B137" s="1420"/>
      <c r="C137" s="1420"/>
      <c r="D137" s="1420"/>
      <c r="E137" s="1420"/>
      <c r="F137" s="1420"/>
      <c r="G137" s="1420"/>
      <c r="H137" s="1420"/>
      <c r="I137" s="1420"/>
      <c r="J137" s="1420"/>
      <c r="K137" s="1420"/>
      <c r="L137" s="1420"/>
      <c r="M137" s="1420"/>
      <c r="N137" s="1420"/>
      <c r="O137" s="1420"/>
      <c r="P137" s="1420"/>
      <c r="Q137" s="1420"/>
      <c r="R137" s="1420"/>
      <c r="S137" s="1420"/>
      <c r="T137" s="1420"/>
      <c r="U137" s="1420"/>
      <c r="V137" s="1420"/>
      <c r="W137" s="1420"/>
      <c r="X137" s="1420"/>
      <c r="Y137" s="1420"/>
      <c r="Z137" s="1420"/>
      <c r="AA137" s="1420"/>
      <c r="AB137" s="1420"/>
      <c r="AC137" s="1420"/>
      <c r="AD137" s="1420"/>
      <c r="AE137" s="1420"/>
      <c r="AF137" s="1420"/>
      <c r="AG137" s="1420"/>
      <c r="AH137" s="1420"/>
      <c r="AI137" s="1420"/>
      <c r="AJ137" s="1420"/>
      <c r="AK137" s="1420"/>
      <c r="AL137" s="1420"/>
      <c r="AM137" s="1420"/>
      <c r="AN137" s="1420"/>
      <c r="AO137" s="1420"/>
      <c r="AP137" s="1420"/>
      <c r="AQ137" s="1420"/>
      <c r="AR137" s="1420"/>
      <c r="AS137" s="1420"/>
      <c r="AT137" s="1420"/>
      <c r="AU137" s="1420"/>
      <c r="AV137" s="1420"/>
      <c r="AW137" s="1420"/>
      <c r="AX137" s="1420"/>
      <c r="AY137" s="1420"/>
      <c r="AZ137" s="1420"/>
      <c r="BA137" s="1420"/>
      <c r="BB137" s="1420"/>
      <c r="BC137" s="1420"/>
      <c r="BD137" s="1420"/>
      <c r="BE137" s="1420"/>
      <c r="BF137" s="1420"/>
      <c r="BG137" s="1420"/>
      <c r="BH137" s="1420"/>
      <c r="BI137" s="1420"/>
      <c r="BJ137" s="1420"/>
      <c r="BK137" s="1420"/>
      <c r="BL137" s="1420"/>
      <c r="BM137" s="1420"/>
    </row>
    <row r="138" spans="1:65" x14ac:dyDescent="0.3">
      <c r="A138" s="56"/>
      <c r="B138" s="1420"/>
      <c r="C138" s="1420"/>
      <c r="D138" s="1420"/>
      <c r="E138" s="1420"/>
      <c r="F138" s="1420"/>
      <c r="G138" s="1420"/>
      <c r="H138" s="1420"/>
      <c r="I138" s="1420"/>
      <c r="J138" s="1420"/>
      <c r="K138" s="1420"/>
      <c r="L138" s="1420"/>
      <c r="M138" s="1420"/>
      <c r="N138" s="1420"/>
      <c r="O138" s="1420"/>
      <c r="P138" s="1420"/>
      <c r="Q138" s="1420"/>
      <c r="R138" s="1420"/>
      <c r="S138" s="1420"/>
      <c r="T138" s="1420"/>
      <c r="U138" s="1420"/>
      <c r="V138" s="1420"/>
      <c r="W138" s="1420"/>
      <c r="X138" s="1420"/>
      <c r="Y138" s="1420"/>
      <c r="Z138" s="1420"/>
      <c r="AA138" s="1420"/>
      <c r="AB138" s="1420"/>
      <c r="AC138" s="1420"/>
      <c r="AD138" s="1420"/>
      <c r="AE138" s="1420"/>
      <c r="AF138" s="1420"/>
      <c r="AG138" s="1420"/>
      <c r="AH138" s="1420"/>
      <c r="AI138" s="1420"/>
      <c r="AJ138" s="1420"/>
      <c r="AK138" s="1420"/>
      <c r="AL138" s="1420"/>
      <c r="AM138" s="1420"/>
      <c r="AN138" s="1420"/>
      <c r="AO138" s="1420"/>
      <c r="AP138" s="1420"/>
      <c r="AQ138" s="1420"/>
      <c r="AR138" s="1420"/>
      <c r="AS138" s="1420"/>
      <c r="AT138" s="1420"/>
      <c r="AU138" s="1420"/>
      <c r="AV138" s="1420"/>
      <c r="AW138" s="1420"/>
      <c r="AX138" s="1420"/>
      <c r="AY138" s="1420"/>
      <c r="AZ138" s="1420"/>
      <c r="BA138" s="1420"/>
      <c r="BB138" s="1420"/>
      <c r="BC138" s="1420"/>
      <c r="BD138" s="1420"/>
      <c r="BE138" s="1420"/>
      <c r="BF138" s="1420"/>
      <c r="BG138" s="1420"/>
      <c r="BH138" s="1420"/>
      <c r="BI138" s="1420"/>
      <c r="BJ138" s="1420"/>
      <c r="BK138" s="1420"/>
      <c r="BL138" s="1420"/>
      <c r="BM138" s="1420"/>
    </row>
    <row r="139" spans="1:65" x14ac:dyDescent="0.3">
      <c r="A139" s="56"/>
      <c r="B139" s="1420"/>
      <c r="C139" s="1420"/>
      <c r="D139" s="1420"/>
      <c r="E139" s="1420"/>
      <c r="F139" s="1420"/>
      <c r="G139" s="1420"/>
      <c r="H139" s="1420"/>
      <c r="I139" s="1420"/>
      <c r="J139" s="1420"/>
      <c r="K139" s="1420"/>
      <c r="L139" s="1420"/>
      <c r="M139" s="1420"/>
      <c r="N139" s="1420"/>
      <c r="O139" s="1420"/>
      <c r="P139" s="1420"/>
      <c r="Q139" s="1420"/>
      <c r="R139" s="1420"/>
      <c r="S139" s="1420"/>
      <c r="T139" s="1420"/>
      <c r="U139" s="1420"/>
      <c r="V139" s="1420"/>
      <c r="W139" s="1420"/>
      <c r="X139" s="1420"/>
      <c r="Y139" s="1420"/>
      <c r="Z139" s="1420"/>
      <c r="AA139" s="1420"/>
      <c r="AB139" s="1420"/>
      <c r="AC139" s="1420"/>
      <c r="AD139" s="1420"/>
      <c r="AE139" s="1420"/>
      <c r="AF139" s="1420"/>
      <c r="AG139" s="1420"/>
      <c r="AH139" s="1420"/>
      <c r="AI139" s="1420"/>
      <c r="AJ139" s="1420"/>
      <c r="AK139" s="1420"/>
      <c r="AL139" s="1420"/>
      <c r="AM139" s="1420"/>
      <c r="AN139" s="1420"/>
      <c r="AO139" s="1420"/>
      <c r="AP139" s="1420"/>
      <c r="AQ139" s="1420"/>
      <c r="AR139" s="1420"/>
      <c r="AS139" s="1420"/>
      <c r="AT139" s="1420"/>
      <c r="AU139" s="1420"/>
      <c r="AV139" s="1420"/>
      <c r="AW139" s="1420"/>
      <c r="AX139" s="1420"/>
      <c r="AY139" s="1420"/>
      <c r="AZ139" s="1420"/>
      <c r="BA139" s="1420"/>
      <c r="BB139" s="1420"/>
      <c r="BC139" s="1420"/>
      <c r="BD139" s="1420"/>
      <c r="BE139" s="1420"/>
      <c r="BF139" s="1420"/>
      <c r="BG139" s="1420"/>
      <c r="BH139" s="1420"/>
      <c r="BI139" s="1420"/>
      <c r="BJ139" s="1420"/>
      <c r="BK139" s="1420"/>
      <c r="BL139" s="1420"/>
      <c r="BM139" s="1420"/>
    </row>
    <row r="140" spans="1:65" x14ac:dyDescent="0.3">
      <c r="A140" s="56"/>
      <c r="B140" s="1420"/>
      <c r="C140" s="1420"/>
      <c r="D140" s="1420"/>
      <c r="E140" s="1420"/>
      <c r="F140" s="1420"/>
      <c r="G140" s="1420"/>
      <c r="H140" s="1420"/>
      <c r="I140" s="1420"/>
      <c r="J140" s="1420"/>
      <c r="K140" s="1420"/>
      <c r="L140" s="1420"/>
      <c r="M140" s="1420"/>
      <c r="N140" s="1420"/>
      <c r="O140" s="1420"/>
      <c r="P140" s="1420"/>
      <c r="Q140" s="1420"/>
      <c r="R140" s="1420"/>
      <c r="S140" s="1420"/>
      <c r="T140" s="1420"/>
      <c r="U140" s="1420"/>
      <c r="V140" s="1420"/>
      <c r="W140" s="1420"/>
      <c r="X140" s="1420"/>
      <c r="Y140" s="1420"/>
      <c r="Z140" s="1420"/>
      <c r="AA140" s="1420"/>
      <c r="AB140" s="1420"/>
      <c r="AC140" s="1420"/>
      <c r="AD140" s="1420"/>
      <c r="AE140" s="1420"/>
      <c r="AF140" s="1420"/>
      <c r="AG140" s="1420"/>
      <c r="AH140" s="1420"/>
      <c r="AI140" s="1420"/>
      <c r="AJ140" s="1420"/>
      <c r="AK140" s="1420"/>
      <c r="AL140" s="1420"/>
      <c r="AM140" s="1420"/>
      <c r="AN140" s="1420"/>
      <c r="AO140" s="1420"/>
      <c r="AP140" s="1420"/>
      <c r="AQ140" s="1420"/>
      <c r="AR140" s="1420"/>
      <c r="AS140" s="1420"/>
      <c r="AT140" s="1420"/>
      <c r="AU140" s="1420"/>
      <c r="AV140" s="1420"/>
      <c r="AW140" s="1420"/>
      <c r="AX140" s="1420"/>
      <c r="AY140" s="1420"/>
      <c r="AZ140" s="1420"/>
      <c r="BA140" s="1420"/>
      <c r="BB140" s="1420"/>
      <c r="BC140" s="1420"/>
      <c r="BD140" s="1420"/>
      <c r="BE140" s="1420"/>
      <c r="BF140" s="1420"/>
      <c r="BG140" s="1420"/>
      <c r="BH140" s="1420"/>
      <c r="BI140" s="1420"/>
      <c r="BJ140" s="1420"/>
      <c r="BK140" s="1420"/>
      <c r="BL140" s="1420"/>
      <c r="BM140" s="1420"/>
    </row>
    <row r="141" spans="1:65" x14ac:dyDescent="0.3">
      <c r="A141" s="56"/>
      <c r="B141" s="1420"/>
      <c r="C141" s="1420"/>
      <c r="D141" s="1420"/>
      <c r="E141" s="1420"/>
      <c r="F141" s="1420"/>
      <c r="G141" s="1420"/>
      <c r="H141" s="1420"/>
      <c r="I141" s="1420"/>
      <c r="J141" s="1420"/>
      <c r="K141" s="1420"/>
      <c r="L141" s="1420"/>
      <c r="M141" s="1420"/>
      <c r="N141" s="1420"/>
      <c r="O141" s="1420"/>
      <c r="P141" s="1420"/>
      <c r="Q141" s="1420"/>
      <c r="R141" s="1420"/>
      <c r="S141" s="1420"/>
      <c r="T141" s="1420"/>
      <c r="U141" s="1420"/>
      <c r="V141" s="1420"/>
      <c r="W141" s="1420"/>
      <c r="X141" s="1420"/>
      <c r="Y141" s="1420"/>
      <c r="Z141" s="1420"/>
      <c r="AA141" s="1420"/>
      <c r="AB141" s="1420"/>
      <c r="AC141" s="1420"/>
      <c r="AD141" s="1420"/>
      <c r="AE141" s="1420"/>
      <c r="AF141" s="1420"/>
      <c r="AG141" s="1420"/>
      <c r="AH141" s="1420"/>
      <c r="AI141" s="1420"/>
      <c r="AJ141" s="1420"/>
      <c r="AK141" s="1420"/>
      <c r="AL141" s="1420"/>
      <c r="AM141" s="1420"/>
      <c r="AN141" s="1420"/>
      <c r="AO141" s="1420"/>
      <c r="AP141" s="1420"/>
      <c r="AQ141" s="1420"/>
      <c r="AR141" s="1420"/>
      <c r="AS141" s="1420"/>
      <c r="AT141" s="1420"/>
      <c r="AU141" s="1420"/>
      <c r="AV141" s="1420"/>
      <c r="AW141" s="1420"/>
      <c r="AX141" s="1420"/>
      <c r="AY141" s="1420"/>
      <c r="AZ141" s="1420"/>
      <c r="BA141" s="1420"/>
      <c r="BB141" s="1420"/>
      <c r="BC141" s="1420"/>
      <c r="BD141" s="1420"/>
      <c r="BE141" s="1420"/>
      <c r="BF141" s="1420"/>
      <c r="BG141" s="1420"/>
      <c r="BH141" s="1420"/>
      <c r="BI141" s="1420"/>
      <c r="BJ141" s="1420"/>
      <c r="BK141" s="1420"/>
      <c r="BL141" s="1420"/>
      <c r="BM141" s="1420"/>
    </row>
    <row r="142" spans="1:65" x14ac:dyDescent="0.3">
      <c r="A142" s="56"/>
      <c r="B142" s="1420"/>
      <c r="C142" s="1420"/>
      <c r="D142" s="1420"/>
      <c r="E142" s="1420"/>
      <c r="F142" s="1420"/>
      <c r="G142" s="1420"/>
      <c r="H142" s="1420"/>
      <c r="I142" s="1420"/>
      <c r="J142" s="1420"/>
      <c r="K142" s="1420"/>
      <c r="L142" s="1420"/>
      <c r="M142" s="1420"/>
      <c r="N142" s="1420"/>
      <c r="O142" s="1420"/>
      <c r="P142" s="1420"/>
      <c r="Q142" s="1420"/>
      <c r="R142" s="1420"/>
      <c r="S142" s="1420"/>
      <c r="T142" s="1420"/>
      <c r="U142" s="1420"/>
      <c r="V142" s="1420"/>
      <c r="W142" s="1420"/>
      <c r="X142" s="1420"/>
      <c r="Y142" s="1420"/>
      <c r="Z142" s="1420"/>
      <c r="AA142" s="1420"/>
      <c r="AB142" s="1420"/>
      <c r="AC142" s="1420"/>
      <c r="AD142" s="1420"/>
      <c r="AE142" s="1420"/>
      <c r="AF142" s="1420"/>
      <c r="AG142" s="1420"/>
      <c r="AH142" s="1420"/>
      <c r="AI142" s="1420"/>
      <c r="AJ142" s="1420"/>
      <c r="AK142" s="1420"/>
      <c r="AL142" s="1420"/>
      <c r="AM142" s="1420"/>
      <c r="AN142" s="1420"/>
      <c r="AO142" s="1420"/>
      <c r="AP142" s="1420"/>
      <c r="AQ142" s="1420"/>
      <c r="AR142" s="1420"/>
      <c r="AS142" s="1420"/>
      <c r="AT142" s="1420"/>
      <c r="AU142" s="1420"/>
      <c r="AV142" s="1420"/>
      <c r="AW142" s="1420"/>
      <c r="AX142" s="1420"/>
      <c r="AY142" s="1420"/>
      <c r="AZ142" s="1420"/>
      <c r="BA142" s="1420"/>
      <c r="BB142" s="1420"/>
      <c r="BC142" s="1420"/>
      <c r="BD142" s="1420"/>
      <c r="BE142" s="1420"/>
      <c r="BF142" s="1420"/>
      <c r="BG142" s="1420"/>
      <c r="BH142" s="1420"/>
      <c r="BI142" s="1420"/>
      <c r="BJ142" s="1420"/>
      <c r="BK142" s="1420"/>
      <c r="BL142" s="1420"/>
      <c r="BM142" s="1420"/>
    </row>
    <row r="143" spans="1:65" x14ac:dyDescent="0.3">
      <c r="A143" s="56"/>
      <c r="B143" s="1420"/>
      <c r="C143" s="1420"/>
      <c r="D143" s="1420"/>
      <c r="E143" s="1420"/>
      <c r="F143" s="1420"/>
      <c r="G143" s="1420"/>
      <c r="H143" s="1420"/>
      <c r="I143" s="1420"/>
      <c r="J143" s="1420"/>
      <c r="K143" s="1420"/>
      <c r="L143" s="1420"/>
      <c r="M143" s="1420"/>
      <c r="N143" s="1420"/>
      <c r="O143" s="1420"/>
      <c r="P143" s="1420"/>
      <c r="Q143" s="1420"/>
      <c r="R143" s="1420"/>
      <c r="S143" s="1420"/>
      <c r="T143" s="1420"/>
      <c r="U143" s="1420"/>
      <c r="V143" s="1420"/>
      <c r="W143" s="1420"/>
      <c r="X143" s="1420"/>
      <c r="Y143" s="1420"/>
      <c r="Z143" s="1420"/>
      <c r="AA143" s="1420"/>
      <c r="AB143" s="1420"/>
      <c r="AC143" s="1420"/>
      <c r="AD143" s="1420"/>
      <c r="AE143" s="1420"/>
      <c r="AF143" s="1420"/>
      <c r="AG143" s="1420"/>
      <c r="AH143" s="1420"/>
      <c r="AI143" s="1420"/>
      <c r="AJ143" s="1420"/>
      <c r="AK143" s="1420"/>
      <c r="AL143" s="1420"/>
      <c r="AM143" s="1420"/>
      <c r="AN143" s="1420"/>
      <c r="AO143" s="1420"/>
      <c r="AP143" s="1420"/>
      <c r="AQ143" s="1420"/>
      <c r="AR143" s="1420"/>
      <c r="AS143" s="1420"/>
      <c r="AT143" s="1420"/>
      <c r="AU143" s="1420"/>
      <c r="AV143" s="1420"/>
      <c r="AW143" s="1420"/>
      <c r="AX143" s="1420"/>
      <c r="AY143" s="1420"/>
      <c r="AZ143" s="1420"/>
      <c r="BA143" s="1420"/>
      <c r="BB143" s="1420"/>
      <c r="BC143" s="1420"/>
      <c r="BD143" s="1420"/>
      <c r="BE143" s="1420"/>
      <c r="BF143" s="1420"/>
      <c r="BG143" s="1420"/>
      <c r="BH143" s="1420"/>
      <c r="BI143" s="1420"/>
      <c r="BJ143" s="1420"/>
      <c r="BK143" s="1420"/>
      <c r="BL143" s="1420"/>
      <c r="BM143" s="1420"/>
    </row>
    <row r="144" spans="1:65" x14ac:dyDescent="0.3">
      <c r="A144" s="56"/>
      <c r="B144" s="1420"/>
      <c r="C144" s="1420"/>
      <c r="D144" s="1420"/>
      <c r="E144" s="1420"/>
      <c r="F144" s="1420"/>
      <c r="G144" s="1420"/>
      <c r="H144" s="1420"/>
      <c r="I144" s="1420"/>
      <c r="J144" s="1420"/>
      <c r="K144" s="1420"/>
      <c r="L144" s="1420"/>
      <c r="M144" s="1420"/>
      <c r="N144" s="1420"/>
      <c r="O144" s="1420"/>
      <c r="P144" s="1420"/>
      <c r="Q144" s="1420"/>
      <c r="R144" s="1420"/>
      <c r="S144" s="1420"/>
      <c r="T144" s="1420"/>
      <c r="U144" s="1420"/>
      <c r="V144" s="1420"/>
      <c r="W144" s="1420"/>
      <c r="X144" s="1420"/>
      <c r="Y144" s="1420"/>
      <c r="Z144" s="1420"/>
      <c r="AA144" s="1420"/>
      <c r="AB144" s="1420"/>
      <c r="AC144" s="1420"/>
      <c r="AD144" s="1420"/>
      <c r="AE144" s="1420"/>
      <c r="AF144" s="1420"/>
      <c r="AG144" s="1420"/>
      <c r="AH144" s="1420"/>
      <c r="AI144" s="1420"/>
      <c r="AJ144" s="1420"/>
      <c r="AK144" s="1420"/>
      <c r="AL144" s="1420"/>
      <c r="AM144" s="1420"/>
      <c r="AN144" s="1420"/>
      <c r="AO144" s="1420"/>
      <c r="AP144" s="1420"/>
      <c r="AQ144" s="1420"/>
      <c r="AR144" s="1420"/>
      <c r="AS144" s="1420"/>
      <c r="AT144" s="1420"/>
      <c r="AU144" s="1420"/>
      <c r="AV144" s="1420"/>
      <c r="AW144" s="1420"/>
      <c r="AX144" s="1420"/>
      <c r="AY144" s="1420"/>
      <c r="AZ144" s="1420"/>
      <c r="BA144" s="1420"/>
      <c r="BB144" s="1420"/>
      <c r="BC144" s="1420"/>
      <c r="BD144" s="1420"/>
      <c r="BE144" s="1420"/>
      <c r="BF144" s="1420"/>
      <c r="BG144" s="1420"/>
      <c r="BH144" s="1420"/>
      <c r="BI144" s="1420"/>
      <c r="BJ144" s="1420"/>
      <c r="BK144" s="1420"/>
      <c r="BL144" s="1420"/>
      <c r="BM144" s="1420"/>
    </row>
    <row r="145" spans="1:65" x14ac:dyDescent="0.3">
      <c r="A145" s="56"/>
      <c r="B145" s="1420"/>
      <c r="C145" s="1420"/>
      <c r="D145" s="1420"/>
      <c r="E145" s="1420"/>
      <c r="F145" s="1420"/>
      <c r="G145" s="1420"/>
      <c r="H145" s="1420"/>
      <c r="I145" s="1420"/>
      <c r="J145" s="1420"/>
      <c r="K145" s="1420"/>
      <c r="L145" s="1420"/>
      <c r="M145" s="1420"/>
      <c r="N145" s="1420"/>
      <c r="O145" s="1420"/>
      <c r="P145" s="1420"/>
      <c r="Q145" s="1420"/>
      <c r="R145" s="1420"/>
      <c r="S145" s="1420"/>
      <c r="T145" s="1420"/>
      <c r="U145" s="1420"/>
      <c r="V145" s="1420"/>
      <c r="W145" s="1420"/>
      <c r="X145" s="1420"/>
      <c r="Y145" s="1420"/>
      <c r="Z145" s="1420"/>
      <c r="AA145" s="1420"/>
      <c r="AB145" s="1420"/>
      <c r="AC145" s="1420"/>
      <c r="AD145" s="1420"/>
      <c r="AE145" s="1420"/>
      <c r="AF145" s="1420"/>
      <c r="AG145" s="1420"/>
      <c r="AH145" s="1420"/>
      <c r="AI145" s="1420"/>
      <c r="AJ145" s="1420"/>
      <c r="AK145" s="1420"/>
      <c r="AL145" s="1420"/>
      <c r="AM145" s="1420"/>
      <c r="AN145" s="1420"/>
      <c r="AO145" s="1420"/>
      <c r="AP145" s="1420"/>
      <c r="AQ145" s="1420"/>
      <c r="AR145" s="1420"/>
      <c r="AS145" s="1420"/>
      <c r="AT145" s="1420"/>
      <c r="AU145" s="1420"/>
      <c r="AV145" s="1420"/>
      <c r="AW145" s="1420"/>
      <c r="AX145" s="1420"/>
      <c r="AY145" s="1420"/>
      <c r="AZ145" s="1420"/>
      <c r="BA145" s="1420"/>
      <c r="BB145" s="1420"/>
      <c r="BC145" s="1420"/>
      <c r="BD145" s="1420"/>
      <c r="BE145" s="1420"/>
      <c r="BF145" s="1420"/>
      <c r="BG145" s="1420"/>
      <c r="BH145" s="1420"/>
      <c r="BI145" s="1420"/>
      <c r="BJ145" s="1420"/>
      <c r="BK145" s="1420"/>
      <c r="BL145" s="1420"/>
      <c r="BM145" s="1420"/>
    </row>
    <row r="146" spans="1:65" x14ac:dyDescent="0.3">
      <c r="A146" s="56"/>
      <c r="B146" s="1420"/>
      <c r="C146" s="1420"/>
      <c r="D146" s="1420"/>
      <c r="E146" s="1420"/>
      <c r="F146" s="1420"/>
      <c r="G146" s="1420"/>
      <c r="H146" s="1420"/>
      <c r="I146" s="1420"/>
      <c r="J146" s="1420"/>
      <c r="K146" s="1420"/>
      <c r="L146" s="1420"/>
      <c r="M146" s="1420"/>
      <c r="N146" s="1420"/>
      <c r="O146" s="1420"/>
      <c r="P146" s="1420"/>
      <c r="Q146" s="1420"/>
      <c r="R146" s="1420"/>
      <c r="S146" s="1420"/>
      <c r="T146" s="1420"/>
      <c r="U146" s="1420"/>
      <c r="V146" s="1420"/>
      <c r="W146" s="1420"/>
      <c r="X146" s="1420"/>
      <c r="Y146" s="1420"/>
      <c r="Z146" s="1420"/>
      <c r="AA146" s="1420"/>
      <c r="AB146" s="1420"/>
      <c r="AC146" s="1420"/>
      <c r="AD146" s="1420"/>
      <c r="AE146" s="1420"/>
      <c r="AF146" s="1420"/>
      <c r="AG146" s="1420"/>
      <c r="AH146" s="1420"/>
      <c r="AI146" s="1420"/>
      <c r="AJ146" s="1420"/>
      <c r="AK146" s="1420"/>
      <c r="AL146" s="1420"/>
      <c r="AM146" s="1420"/>
      <c r="AN146" s="1420"/>
      <c r="AO146" s="1420"/>
      <c r="AP146" s="1420"/>
      <c r="AQ146" s="1420"/>
      <c r="AR146" s="1420"/>
      <c r="AS146" s="1420"/>
      <c r="AT146" s="1420"/>
      <c r="AU146" s="1420"/>
      <c r="AV146" s="1420"/>
      <c r="AW146" s="1420"/>
      <c r="AX146" s="1420"/>
      <c r="AY146" s="1420"/>
      <c r="AZ146" s="1420"/>
      <c r="BA146" s="1420"/>
      <c r="BB146" s="1420"/>
      <c r="BC146" s="1420"/>
      <c r="BD146" s="1420"/>
      <c r="BE146" s="1420"/>
      <c r="BF146" s="1420"/>
      <c r="BG146" s="1420"/>
      <c r="BH146" s="1420"/>
      <c r="BI146" s="1420"/>
      <c r="BJ146" s="1420"/>
      <c r="BK146" s="1420"/>
      <c r="BL146" s="1420"/>
      <c r="BM146" s="1420"/>
    </row>
    <row r="147" spans="1:65" x14ac:dyDescent="0.3">
      <c r="A147" s="56"/>
      <c r="B147" s="1420"/>
      <c r="C147" s="1420"/>
      <c r="D147" s="1420"/>
      <c r="E147" s="1420"/>
      <c r="F147" s="1420"/>
      <c r="G147" s="1420"/>
      <c r="H147" s="1420"/>
      <c r="I147" s="1420"/>
      <c r="J147" s="1420"/>
      <c r="K147" s="1420"/>
      <c r="L147" s="1420"/>
      <c r="M147" s="1420"/>
      <c r="N147" s="1420"/>
      <c r="O147" s="1420"/>
      <c r="P147" s="1420"/>
      <c r="Q147" s="1420"/>
      <c r="R147" s="1420"/>
      <c r="S147" s="1420"/>
      <c r="T147" s="1420"/>
      <c r="U147" s="1420"/>
      <c r="V147" s="1420"/>
      <c r="W147" s="1420"/>
      <c r="X147" s="1420"/>
      <c r="Y147" s="1420"/>
      <c r="Z147" s="1420"/>
      <c r="AA147" s="1420"/>
      <c r="AB147" s="1420"/>
      <c r="AC147" s="1420"/>
      <c r="AD147" s="1420"/>
      <c r="AE147" s="1420"/>
      <c r="AF147" s="1420"/>
      <c r="AG147" s="1420"/>
      <c r="AH147" s="1420"/>
      <c r="AI147" s="1420"/>
      <c r="AJ147" s="1420"/>
      <c r="AK147" s="1420"/>
      <c r="AL147" s="1420"/>
      <c r="AM147" s="1420"/>
      <c r="AN147" s="1420"/>
      <c r="AO147" s="1420"/>
      <c r="AP147" s="1420"/>
      <c r="AQ147" s="1420"/>
      <c r="AR147" s="1420"/>
      <c r="AS147" s="1420"/>
      <c r="AT147" s="1420"/>
      <c r="AU147" s="1420"/>
      <c r="AV147" s="1420"/>
      <c r="AW147" s="1420"/>
      <c r="AX147" s="1420"/>
      <c r="AY147" s="1420"/>
      <c r="AZ147" s="1420"/>
      <c r="BA147" s="1420"/>
      <c r="BB147" s="1420"/>
      <c r="BC147" s="1420"/>
      <c r="BD147" s="1420"/>
      <c r="BE147" s="1420"/>
      <c r="BF147" s="1420"/>
      <c r="BG147" s="1420"/>
      <c r="BH147" s="1420"/>
      <c r="BI147" s="1420"/>
      <c r="BJ147" s="1420"/>
      <c r="BK147" s="1420"/>
      <c r="BL147" s="1420"/>
      <c r="BM147" s="1420"/>
    </row>
    <row r="148" spans="1:65" x14ac:dyDescent="0.3">
      <c r="A148" s="56"/>
      <c r="B148" s="1420"/>
      <c r="C148" s="1420"/>
      <c r="D148" s="1420"/>
      <c r="E148" s="1420"/>
      <c r="F148" s="1420"/>
      <c r="G148" s="1420"/>
      <c r="H148" s="1420"/>
      <c r="I148" s="1420"/>
      <c r="J148" s="1420"/>
      <c r="K148" s="1420"/>
      <c r="L148" s="1420"/>
      <c r="M148" s="1420"/>
      <c r="N148" s="1420"/>
      <c r="O148" s="1420"/>
      <c r="P148" s="1420"/>
      <c r="Q148" s="1420"/>
      <c r="R148" s="1420"/>
      <c r="S148" s="1420"/>
      <c r="T148" s="1420"/>
      <c r="U148" s="1420"/>
      <c r="V148" s="1420"/>
      <c r="W148" s="1420"/>
      <c r="X148" s="1420"/>
      <c r="Y148" s="1420"/>
      <c r="Z148" s="1420"/>
      <c r="AA148" s="1420"/>
      <c r="AB148" s="1420"/>
      <c r="AC148" s="1420"/>
      <c r="AD148" s="1420"/>
      <c r="AE148" s="1420"/>
      <c r="AF148" s="1420"/>
      <c r="AG148" s="1420"/>
      <c r="AH148" s="1420"/>
      <c r="AI148" s="1420"/>
      <c r="AJ148" s="1420"/>
      <c r="AK148" s="1420"/>
      <c r="AL148" s="1420"/>
      <c r="AM148" s="1420"/>
      <c r="AN148" s="1420"/>
      <c r="AO148" s="1420"/>
      <c r="AP148" s="1420"/>
      <c r="AQ148" s="1420"/>
      <c r="AR148" s="1420"/>
      <c r="AS148" s="1420"/>
      <c r="AT148" s="1420"/>
      <c r="AU148" s="1420"/>
      <c r="AV148" s="1420"/>
      <c r="AW148" s="1420"/>
      <c r="AX148" s="1420"/>
      <c r="AY148" s="1420"/>
      <c r="AZ148" s="1420"/>
      <c r="BA148" s="1420"/>
      <c r="BB148" s="1420"/>
      <c r="BC148" s="1420"/>
      <c r="BD148" s="1420"/>
      <c r="BE148" s="1420"/>
      <c r="BF148" s="1420"/>
      <c r="BG148" s="1420"/>
      <c r="BH148" s="1420"/>
      <c r="BI148" s="1420"/>
      <c r="BJ148" s="1420"/>
      <c r="BK148" s="1420"/>
      <c r="BL148" s="1420"/>
      <c r="BM148" s="1420"/>
    </row>
    <row r="149" spans="1:65" x14ac:dyDescent="0.3">
      <c r="A149" s="56"/>
      <c r="B149" s="1420"/>
      <c r="C149" s="1420"/>
      <c r="D149" s="1420"/>
      <c r="E149" s="1420"/>
      <c r="F149" s="1420"/>
      <c r="G149" s="1420"/>
      <c r="H149" s="1420"/>
      <c r="I149" s="1420"/>
      <c r="J149" s="1420"/>
      <c r="K149" s="1420"/>
      <c r="L149" s="1420"/>
      <c r="M149" s="1420"/>
      <c r="N149" s="1420"/>
      <c r="O149" s="1420"/>
      <c r="P149" s="1420"/>
      <c r="Q149" s="1420"/>
      <c r="R149" s="1420"/>
      <c r="S149" s="1420"/>
      <c r="T149" s="1420"/>
      <c r="U149" s="1420"/>
      <c r="V149" s="1420"/>
      <c r="W149" s="1420"/>
      <c r="X149" s="1420"/>
      <c r="Y149" s="1420"/>
      <c r="Z149" s="1420"/>
      <c r="AA149" s="1420"/>
      <c r="AB149" s="1420"/>
      <c r="AC149" s="1420"/>
      <c r="AD149" s="1420"/>
      <c r="AE149" s="1420"/>
      <c r="AF149" s="1420"/>
      <c r="AG149" s="1420"/>
      <c r="AH149" s="1420"/>
      <c r="AI149" s="1420"/>
      <c r="AJ149" s="1420"/>
      <c r="AK149" s="1420"/>
      <c r="AL149" s="1420"/>
      <c r="AM149" s="1420"/>
      <c r="AN149" s="1420"/>
      <c r="AO149" s="1420"/>
      <c r="AP149" s="1420"/>
      <c r="AQ149" s="1420"/>
      <c r="AR149" s="1420"/>
      <c r="AS149" s="1420"/>
      <c r="AT149" s="1420"/>
      <c r="AU149" s="1420"/>
      <c r="AV149" s="1420"/>
      <c r="AW149" s="1420"/>
      <c r="AX149" s="1420"/>
      <c r="AY149" s="1420"/>
      <c r="AZ149" s="1420"/>
      <c r="BA149" s="1420"/>
      <c r="BB149" s="1420"/>
      <c r="BC149" s="1420"/>
      <c r="BD149" s="1420"/>
      <c r="BE149" s="1420"/>
      <c r="BF149" s="1420"/>
      <c r="BG149" s="1420"/>
      <c r="BH149" s="1420"/>
      <c r="BI149" s="1420"/>
      <c r="BJ149" s="1420"/>
      <c r="BK149" s="1420"/>
      <c r="BL149" s="1420"/>
      <c r="BM149" s="1420"/>
    </row>
    <row r="150" spans="1:65" x14ac:dyDescent="0.3">
      <c r="A150" s="56"/>
      <c r="B150" s="1420"/>
      <c r="C150" s="1420"/>
      <c r="D150" s="1420"/>
      <c r="E150" s="1420"/>
      <c r="F150" s="1420"/>
      <c r="G150" s="1420"/>
      <c r="H150" s="1420"/>
      <c r="I150" s="1420"/>
      <c r="J150" s="1420"/>
      <c r="K150" s="1420"/>
      <c r="L150" s="1420"/>
      <c r="M150" s="1420"/>
      <c r="N150" s="1420"/>
      <c r="O150" s="1420"/>
      <c r="P150" s="1420"/>
      <c r="Q150" s="1420"/>
      <c r="R150" s="1420"/>
      <c r="S150" s="1420"/>
      <c r="T150" s="1420"/>
      <c r="U150" s="1420"/>
      <c r="V150" s="1420"/>
      <c r="W150" s="1420"/>
      <c r="X150" s="1420"/>
      <c r="Y150" s="1420"/>
      <c r="Z150" s="1420"/>
      <c r="AA150" s="1420"/>
      <c r="AB150" s="1420"/>
      <c r="AC150" s="1420"/>
      <c r="AD150" s="1420"/>
      <c r="AE150" s="1420"/>
      <c r="AF150" s="1420"/>
      <c r="AG150" s="1420"/>
      <c r="AH150" s="1420"/>
      <c r="AI150" s="1420"/>
      <c r="AJ150" s="1420"/>
      <c r="AK150" s="1420"/>
      <c r="AL150" s="1420"/>
      <c r="AM150" s="1420"/>
      <c r="AN150" s="1420"/>
      <c r="AO150" s="1420"/>
      <c r="AP150" s="1420"/>
      <c r="AQ150" s="1420"/>
      <c r="AR150" s="1420"/>
      <c r="AS150" s="1420"/>
      <c r="AT150" s="1420"/>
      <c r="AU150" s="1420"/>
      <c r="AV150" s="1420"/>
      <c r="AW150" s="1420"/>
      <c r="AX150" s="1420"/>
      <c r="AY150" s="1420"/>
      <c r="AZ150" s="1420"/>
      <c r="BA150" s="1420"/>
      <c r="BB150" s="1420"/>
      <c r="BC150" s="1420"/>
      <c r="BD150" s="1420"/>
      <c r="BE150" s="1420"/>
      <c r="BF150" s="1420"/>
      <c r="BG150" s="1420"/>
      <c r="BH150" s="1420"/>
      <c r="BI150" s="1420"/>
      <c r="BJ150" s="1420"/>
      <c r="BK150" s="1420"/>
      <c r="BL150" s="1420"/>
      <c r="BM150" s="1420"/>
    </row>
    <row r="151" spans="1:65" x14ac:dyDescent="0.3">
      <c r="A151" s="56"/>
      <c r="B151" s="1420"/>
      <c r="C151" s="1420"/>
      <c r="D151" s="1420"/>
      <c r="E151" s="1420"/>
      <c r="F151" s="1420"/>
      <c r="G151" s="1420"/>
      <c r="H151" s="1420"/>
      <c r="I151" s="1420"/>
      <c r="J151" s="1420"/>
      <c r="K151" s="1420"/>
      <c r="L151" s="1420"/>
      <c r="M151" s="1420"/>
      <c r="N151" s="1420"/>
      <c r="O151" s="1420"/>
      <c r="P151" s="1420"/>
      <c r="Q151" s="1420"/>
      <c r="R151" s="1420"/>
      <c r="S151" s="1420"/>
      <c r="T151" s="1420"/>
      <c r="U151" s="1420"/>
      <c r="V151" s="1420"/>
      <c r="W151" s="1420"/>
      <c r="X151" s="1420"/>
      <c r="Y151" s="1420"/>
      <c r="Z151" s="1420"/>
      <c r="AA151" s="1420"/>
      <c r="AB151" s="1420"/>
      <c r="AC151" s="1420"/>
      <c r="AD151" s="1420"/>
      <c r="AE151" s="1420"/>
      <c r="AF151" s="1420"/>
      <c r="AG151" s="1420"/>
      <c r="AH151" s="1420"/>
      <c r="AI151" s="1420"/>
      <c r="AJ151" s="1420"/>
      <c r="AK151" s="1420"/>
      <c r="AL151" s="1420"/>
      <c r="AM151" s="1420"/>
      <c r="AN151" s="1420"/>
      <c r="AO151" s="1420"/>
      <c r="AP151" s="1420"/>
      <c r="AQ151" s="1420"/>
      <c r="AR151" s="1420"/>
      <c r="AS151" s="1420"/>
      <c r="AT151" s="1420"/>
      <c r="AU151" s="1420"/>
      <c r="AV151" s="1420"/>
      <c r="AW151" s="1420"/>
      <c r="AX151" s="1420"/>
      <c r="AY151" s="1420"/>
      <c r="AZ151" s="1420"/>
      <c r="BA151" s="1420"/>
      <c r="BB151" s="1420"/>
      <c r="BC151" s="1420"/>
      <c r="BD151" s="1420"/>
      <c r="BE151" s="1420"/>
      <c r="BF151" s="1420"/>
      <c r="BG151" s="1420"/>
      <c r="BH151" s="1420"/>
      <c r="BI151" s="1420"/>
      <c r="BJ151" s="1420"/>
      <c r="BK151" s="1420"/>
      <c r="BL151" s="1420"/>
      <c r="BM151" s="1420"/>
    </row>
    <row r="152" spans="1:65" x14ac:dyDescent="0.3">
      <c r="A152" s="56"/>
      <c r="B152" s="1420"/>
      <c r="C152" s="1420"/>
      <c r="D152" s="1420"/>
      <c r="E152" s="1420"/>
      <c r="F152" s="1420"/>
      <c r="G152" s="1420"/>
      <c r="H152" s="1420"/>
      <c r="I152" s="1420"/>
      <c r="J152" s="1420"/>
      <c r="K152" s="1420"/>
      <c r="L152" s="1420"/>
      <c r="M152" s="1420"/>
      <c r="N152" s="1420"/>
      <c r="O152" s="1420"/>
      <c r="P152" s="1420"/>
      <c r="Q152" s="1420"/>
      <c r="R152" s="1420"/>
      <c r="S152" s="1420"/>
      <c r="T152" s="1420"/>
      <c r="U152" s="1420"/>
      <c r="V152" s="1420"/>
      <c r="W152" s="1420"/>
      <c r="X152" s="1420"/>
      <c r="Y152" s="1420"/>
      <c r="Z152" s="1420"/>
      <c r="AA152" s="1420"/>
      <c r="AB152" s="1420"/>
      <c r="AC152" s="1420"/>
      <c r="AD152" s="1420"/>
      <c r="AE152" s="1420"/>
      <c r="AF152" s="1420"/>
      <c r="AG152" s="1420"/>
      <c r="AH152" s="1420"/>
      <c r="AI152" s="1420"/>
      <c r="AJ152" s="1420"/>
      <c r="AK152" s="1420"/>
      <c r="AL152" s="1420"/>
      <c r="AM152" s="1420"/>
      <c r="AN152" s="1420"/>
      <c r="AO152" s="1420"/>
      <c r="AP152" s="1420"/>
      <c r="AQ152" s="1420"/>
      <c r="AR152" s="1420"/>
      <c r="AS152" s="1420"/>
      <c r="AT152" s="1420"/>
      <c r="AU152" s="1420"/>
      <c r="AV152" s="1420"/>
      <c r="AW152" s="1420"/>
      <c r="AX152" s="1420"/>
      <c r="AY152" s="1420"/>
      <c r="AZ152" s="1420"/>
      <c r="BA152" s="1420"/>
      <c r="BB152" s="1420"/>
      <c r="BC152" s="1420"/>
      <c r="BD152" s="1420"/>
      <c r="BE152" s="1420"/>
      <c r="BF152" s="1420"/>
      <c r="BG152" s="1420"/>
      <c r="BH152" s="1420"/>
      <c r="BI152" s="1420"/>
      <c r="BJ152" s="1420"/>
      <c r="BK152" s="1420"/>
      <c r="BL152" s="1420"/>
      <c r="BM152" s="1420"/>
    </row>
    <row r="153" spans="1:65" x14ac:dyDescent="0.3">
      <c r="A153" s="56"/>
      <c r="B153" s="1420"/>
      <c r="C153" s="1420"/>
      <c r="D153" s="1420"/>
      <c r="E153" s="1420"/>
      <c r="F153" s="1420"/>
      <c r="G153" s="1420"/>
      <c r="H153" s="1420"/>
      <c r="I153" s="1420"/>
      <c r="J153" s="1420"/>
      <c r="K153" s="1420"/>
      <c r="L153" s="1420"/>
      <c r="M153" s="1420"/>
      <c r="N153" s="1420"/>
      <c r="O153" s="1420"/>
      <c r="P153" s="1420"/>
      <c r="Q153" s="1420"/>
      <c r="R153" s="1420"/>
      <c r="S153" s="1420"/>
      <c r="T153" s="1420"/>
      <c r="U153" s="1420"/>
      <c r="V153" s="1420"/>
      <c r="W153" s="1420"/>
      <c r="X153" s="1420"/>
      <c r="Y153" s="1420"/>
      <c r="Z153" s="1420"/>
      <c r="AA153" s="1420"/>
      <c r="AB153" s="1420"/>
      <c r="AC153" s="1420"/>
      <c r="AD153" s="1420"/>
      <c r="AE153" s="1420"/>
      <c r="AF153" s="1420"/>
      <c r="AG153" s="1420"/>
      <c r="AH153" s="1420"/>
      <c r="AI153" s="1420"/>
      <c r="AJ153" s="1420"/>
      <c r="AK153" s="1420"/>
      <c r="AL153" s="1420"/>
      <c r="AM153" s="1420"/>
      <c r="AN153" s="1420"/>
      <c r="AO153" s="1420"/>
      <c r="AP153" s="1420"/>
      <c r="AQ153" s="1420"/>
      <c r="AR153" s="1420"/>
      <c r="AS153" s="1420"/>
      <c r="AT153" s="1420"/>
      <c r="AU153" s="1420"/>
      <c r="AV153" s="1420"/>
      <c r="AW153" s="1420"/>
      <c r="AX153" s="1420"/>
      <c r="AY153" s="1420"/>
      <c r="AZ153" s="1420"/>
      <c r="BA153" s="1420"/>
      <c r="BB153" s="1420"/>
      <c r="BC153" s="1420"/>
      <c r="BD153" s="1420"/>
      <c r="BE153" s="1420"/>
      <c r="BF153" s="1420"/>
      <c r="BG153" s="1420"/>
      <c r="BH153" s="1420"/>
      <c r="BI153" s="1420"/>
      <c r="BJ153" s="1420"/>
      <c r="BK153" s="1420"/>
      <c r="BL153" s="1420"/>
      <c r="BM153" s="1420"/>
    </row>
    <row r="154" spans="1:65" x14ac:dyDescent="0.3">
      <c r="A154" s="56"/>
      <c r="B154" s="1420"/>
      <c r="C154" s="1420"/>
      <c r="D154" s="1420"/>
      <c r="E154" s="1420"/>
      <c r="F154" s="1420"/>
      <c r="G154" s="1420"/>
      <c r="H154" s="1420"/>
      <c r="I154" s="1420"/>
      <c r="J154" s="1420"/>
      <c r="K154" s="1420"/>
      <c r="L154" s="1420"/>
      <c r="M154" s="1420"/>
      <c r="N154" s="1420"/>
      <c r="O154" s="1420"/>
      <c r="P154" s="1420"/>
      <c r="Q154" s="1420"/>
      <c r="R154" s="1420"/>
      <c r="S154" s="1420"/>
      <c r="T154" s="1420"/>
      <c r="U154" s="1420"/>
      <c r="V154" s="1420"/>
      <c r="W154" s="1420"/>
      <c r="X154" s="1420"/>
      <c r="Y154" s="1420"/>
      <c r="Z154" s="1420"/>
      <c r="AA154" s="1420"/>
      <c r="AB154" s="1420"/>
      <c r="AC154" s="1420"/>
      <c r="AD154" s="1420"/>
      <c r="AE154" s="1420"/>
      <c r="AF154" s="1420"/>
      <c r="AG154" s="1420"/>
      <c r="AH154" s="1420"/>
      <c r="AI154" s="1420"/>
      <c r="AJ154" s="1420"/>
      <c r="AK154" s="1420"/>
      <c r="AL154" s="1420"/>
      <c r="AM154" s="1420"/>
      <c r="AN154" s="1420"/>
      <c r="AO154" s="1420"/>
      <c r="AP154" s="1420"/>
      <c r="AQ154" s="1420"/>
      <c r="AR154" s="1420"/>
      <c r="AS154" s="1420"/>
      <c r="AT154" s="1420"/>
      <c r="AU154" s="1420"/>
      <c r="AV154" s="1420"/>
      <c r="AW154" s="1420"/>
      <c r="AX154" s="1420"/>
      <c r="AY154" s="1420"/>
      <c r="AZ154" s="1420"/>
      <c r="BA154" s="1420"/>
      <c r="BB154" s="1420"/>
      <c r="BC154" s="1420"/>
      <c r="BD154" s="1420"/>
      <c r="BE154" s="1420"/>
      <c r="BF154" s="1420"/>
      <c r="BG154" s="1420"/>
      <c r="BH154" s="1420"/>
      <c r="BI154" s="1420"/>
      <c r="BJ154" s="1420"/>
      <c r="BK154" s="1420"/>
      <c r="BL154" s="1420"/>
      <c r="BM154" s="1420"/>
    </row>
    <row r="155" spans="1:65" x14ac:dyDescent="0.3">
      <c r="A155" s="56"/>
      <c r="B155" s="1420"/>
      <c r="C155" s="1420"/>
      <c r="D155" s="1420"/>
      <c r="E155" s="1420"/>
      <c r="F155" s="1420"/>
      <c r="G155" s="1420"/>
      <c r="H155" s="1420"/>
      <c r="I155" s="1420"/>
      <c r="J155" s="1420"/>
      <c r="K155" s="1420"/>
      <c r="L155" s="1420"/>
      <c r="M155" s="1420"/>
      <c r="N155" s="1420"/>
      <c r="O155" s="1420"/>
      <c r="P155" s="1420"/>
      <c r="Q155" s="1420"/>
      <c r="R155" s="1420"/>
      <c r="S155" s="1420"/>
      <c r="T155" s="1420"/>
      <c r="U155" s="1420"/>
      <c r="V155" s="1420"/>
      <c r="W155" s="1420"/>
      <c r="X155" s="1420"/>
      <c r="Y155" s="1420"/>
      <c r="Z155" s="1420"/>
      <c r="AA155" s="1420"/>
      <c r="AB155" s="1420"/>
      <c r="AC155" s="1420"/>
      <c r="AD155" s="1420"/>
      <c r="AE155" s="1420"/>
      <c r="AF155" s="1420"/>
      <c r="AG155" s="1420"/>
      <c r="AH155" s="1420"/>
      <c r="AI155" s="1420"/>
      <c r="AJ155" s="1420"/>
      <c r="AK155" s="1420"/>
      <c r="AL155" s="1420"/>
      <c r="AM155" s="1420"/>
      <c r="AN155" s="1420"/>
      <c r="AO155" s="1420"/>
      <c r="AP155" s="1420"/>
      <c r="AQ155" s="1420"/>
      <c r="AR155" s="1420"/>
      <c r="AS155" s="1420"/>
      <c r="AT155" s="1420"/>
      <c r="AU155" s="1420"/>
      <c r="AV155" s="1420"/>
      <c r="AW155" s="1420"/>
      <c r="AX155" s="1420"/>
      <c r="AY155" s="1420"/>
      <c r="AZ155" s="1420"/>
      <c r="BA155" s="1420"/>
      <c r="BB155" s="1420"/>
      <c r="BC155" s="1420"/>
      <c r="BD155" s="1420"/>
      <c r="BE155" s="1420"/>
      <c r="BF155" s="1420"/>
      <c r="BG155" s="1420"/>
      <c r="BH155" s="1420"/>
      <c r="BI155" s="1420"/>
      <c r="BJ155" s="1420"/>
      <c r="BK155" s="1420"/>
      <c r="BL155" s="1420"/>
      <c r="BM155" s="1420"/>
    </row>
  </sheetData>
  <mergeCells count="46">
    <mergeCell ref="AF5:AM5"/>
    <mergeCell ref="AN5:AO5"/>
    <mergeCell ref="B6:B7"/>
    <mergeCell ref="C6:C7"/>
    <mergeCell ref="B5:C5"/>
    <mergeCell ref="D5:I6"/>
    <mergeCell ref="Y5:AD6"/>
    <mergeCell ref="S6:S7"/>
    <mergeCell ref="T6:T7"/>
    <mergeCell ref="U5:U7"/>
    <mergeCell ref="V5:V7"/>
    <mergeCell ref="S5:T5"/>
    <mergeCell ref="W5:X5"/>
    <mergeCell ref="W6:W7"/>
    <mergeCell ref="AT5:AY6"/>
    <mergeCell ref="AZ5:AZ7"/>
    <mergeCell ref="BA5:BH5"/>
    <mergeCell ref="BI5:BJ5"/>
    <mergeCell ref="J5:J7"/>
    <mergeCell ref="X6:X7"/>
    <mergeCell ref="AF6:AI6"/>
    <mergeCell ref="AJ6:AM6"/>
    <mergeCell ref="K6:N6"/>
    <mergeCell ref="O6:R6"/>
    <mergeCell ref="K5:R5"/>
    <mergeCell ref="AO6:AO7"/>
    <mergeCell ref="AP5:AP7"/>
    <mergeCell ref="AQ5:AQ7"/>
    <mergeCell ref="AE5:AE7"/>
    <mergeCell ref="AN6:AN7"/>
    <mergeCell ref="BM5:BM7"/>
    <mergeCell ref="BN5:BQ9"/>
    <mergeCell ref="AR3:BL4"/>
    <mergeCell ref="A1:BL2"/>
    <mergeCell ref="BK5:BK7"/>
    <mergeCell ref="BL5:BL7"/>
    <mergeCell ref="AR6:AR7"/>
    <mergeCell ref="AS6:AS7"/>
    <mergeCell ref="BA6:BD6"/>
    <mergeCell ref="BE6:BH6"/>
    <mergeCell ref="BI6:BI7"/>
    <mergeCell ref="BJ6:BJ7"/>
    <mergeCell ref="B3:V4"/>
    <mergeCell ref="A3:A7"/>
    <mergeCell ref="W3:AQ4"/>
    <mergeCell ref="AR5:AS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947" t="s">
        <v>471</v>
      </c>
      <c r="R4" s="1948"/>
      <c r="S4" s="1948"/>
      <c r="T4" s="1949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950"/>
      <c r="R5" s="1951"/>
      <c r="S5" s="1951"/>
      <c r="T5" s="1952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22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973" t="s">
        <v>0</v>
      </c>
      <c r="B4" s="1975" t="s">
        <v>50</v>
      </c>
      <c r="C4" s="1975"/>
      <c r="D4" s="1975"/>
      <c r="E4" s="1975"/>
      <c r="F4" s="99"/>
      <c r="G4" s="54"/>
      <c r="H4" s="54"/>
      <c r="I4" s="104"/>
      <c r="J4" s="104"/>
      <c r="K4" s="104"/>
      <c r="L4" s="1961" t="s">
        <v>238</v>
      </c>
      <c r="M4" s="1959"/>
      <c r="N4" s="1960"/>
      <c r="O4" s="1961" t="s">
        <v>234</v>
      </c>
      <c r="P4" s="1959"/>
      <c r="Q4" s="1960"/>
      <c r="R4" s="1961" t="s">
        <v>235</v>
      </c>
      <c r="S4" s="1959"/>
      <c r="T4" s="1960"/>
      <c r="U4" s="1961" t="s">
        <v>236</v>
      </c>
      <c r="V4" s="1959"/>
      <c r="W4" s="1960"/>
      <c r="X4" s="1961" t="s">
        <v>237</v>
      </c>
      <c r="Y4" s="1959"/>
      <c r="Z4" s="1960"/>
      <c r="AA4" s="1961" t="s">
        <v>51</v>
      </c>
      <c r="AB4" s="1959"/>
      <c r="AC4" s="1960"/>
      <c r="AD4" s="1961" t="s">
        <v>52</v>
      </c>
      <c r="AE4" s="1959"/>
      <c r="AF4" s="1960"/>
      <c r="AG4" s="1953">
        <v>0.83333333333333337</v>
      </c>
      <c r="AH4" s="1959"/>
      <c r="AI4" s="1960"/>
      <c r="AJ4" s="1953">
        <v>0.91666666666666663</v>
      </c>
      <c r="AK4" s="1954"/>
      <c r="AL4" s="1955"/>
      <c r="AM4" s="1956">
        <v>0</v>
      </c>
      <c r="AN4" s="1957"/>
      <c r="AO4" s="1958"/>
      <c r="AP4" s="1953">
        <v>8.3333333333333329E-2</v>
      </c>
      <c r="AQ4" s="1954"/>
      <c r="AR4" s="1955"/>
      <c r="AS4" s="1953">
        <v>0.16666666666666666</v>
      </c>
      <c r="AT4" s="1954"/>
      <c r="AU4" s="1955"/>
      <c r="AV4" s="59" t="s">
        <v>53</v>
      </c>
      <c r="AW4" s="44"/>
    </row>
    <row r="5" spans="1:49" x14ac:dyDescent="0.3">
      <c r="A5" s="1973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979">
        <v>46147</v>
      </c>
      <c r="B6" s="1974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988" t="s">
        <v>230</v>
      </c>
      <c r="AW6" s="1989"/>
    </row>
    <row r="7" spans="1:49" x14ac:dyDescent="0.3">
      <c r="A7" s="1979"/>
      <c r="B7" s="1963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988"/>
      <c r="AW7" s="1990"/>
    </row>
    <row r="8" spans="1:49" x14ac:dyDescent="0.3">
      <c r="A8" s="1979"/>
      <c r="B8" s="1963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988"/>
      <c r="AW8" s="1990"/>
    </row>
    <row r="9" spans="1:49" ht="15" thickBot="1" x14ac:dyDescent="0.35">
      <c r="A9" s="1974"/>
      <c r="B9" s="1963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989"/>
      <c r="AW9" s="1991"/>
    </row>
    <row r="10" spans="1:49" x14ac:dyDescent="0.3">
      <c r="A10" s="1976">
        <v>46148</v>
      </c>
      <c r="B10" s="1962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992" t="s">
        <v>239</v>
      </c>
      <c r="AW10" s="1995" t="s">
        <v>229</v>
      </c>
    </row>
    <row r="11" spans="1:49" x14ac:dyDescent="0.3">
      <c r="A11" s="1977"/>
      <c r="B11" s="1963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993"/>
      <c r="AW11" s="1996"/>
    </row>
    <row r="12" spans="1:49" x14ac:dyDescent="0.3">
      <c r="A12" s="1977"/>
      <c r="B12" s="1963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993"/>
      <c r="AW12" s="1996"/>
    </row>
    <row r="13" spans="1:49" ht="15" thickBot="1" x14ac:dyDescent="0.35">
      <c r="A13" s="1978"/>
      <c r="B13" s="1963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994"/>
      <c r="AW13" s="1997"/>
    </row>
    <row r="14" spans="1:49" ht="15" thickBot="1" x14ac:dyDescent="0.35">
      <c r="A14" s="1976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992" t="s">
        <v>240</v>
      </c>
      <c r="AW14" s="1998"/>
    </row>
    <row r="15" spans="1:49" x14ac:dyDescent="0.3">
      <c r="A15" s="1977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993"/>
      <c r="AW15" s="1999"/>
    </row>
    <row r="16" spans="1:49" x14ac:dyDescent="0.3">
      <c r="A16" s="1977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993"/>
      <c r="AW16" s="1999"/>
    </row>
    <row r="17" spans="1:49" ht="15" thickBot="1" x14ac:dyDescent="0.35">
      <c r="A17" s="1978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93"/>
      <c r="AW17" s="2000"/>
    </row>
    <row r="18" spans="1:49" x14ac:dyDescent="0.3">
      <c r="A18" s="1980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987"/>
    </row>
    <row r="19" spans="1:49" x14ac:dyDescent="0.3">
      <c r="A19" s="1979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986"/>
    </row>
    <row r="20" spans="1:49" x14ac:dyDescent="0.3">
      <c r="A20" s="1979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986"/>
    </row>
    <row r="21" spans="1:49" x14ac:dyDescent="0.3">
      <c r="A21" s="1979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986"/>
    </row>
    <row r="22" spans="1:49" x14ac:dyDescent="0.3">
      <c r="A22" s="1979">
        <v>46151</v>
      </c>
      <c r="B22" s="51"/>
      <c r="C22" s="49"/>
      <c r="D22" s="1964"/>
      <c r="E22" s="1970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986"/>
    </row>
    <row r="23" spans="1:49" x14ac:dyDescent="0.3">
      <c r="A23" s="1979"/>
      <c r="B23" s="52"/>
      <c r="C23" s="49"/>
      <c r="D23" s="1965"/>
      <c r="E23" s="1971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986"/>
    </row>
    <row r="24" spans="1:49" x14ac:dyDescent="0.3">
      <c r="A24" s="1979"/>
      <c r="B24" s="52"/>
      <c r="C24" s="49"/>
      <c r="D24" s="1965"/>
      <c r="E24" s="1971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986"/>
    </row>
    <row r="25" spans="1:49" ht="15" thickBot="1" x14ac:dyDescent="0.35">
      <c r="A25" s="1979"/>
      <c r="B25" s="53"/>
      <c r="C25" s="49"/>
      <c r="D25" s="1966"/>
      <c r="E25" s="1972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984"/>
    </row>
    <row r="26" spans="1:49" x14ac:dyDescent="0.3">
      <c r="A26" s="1979">
        <v>46152</v>
      </c>
      <c r="B26" s="51"/>
      <c r="C26" s="49"/>
      <c r="D26" s="1964"/>
      <c r="E26" s="1970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987"/>
      <c r="AW26" s="1987"/>
    </row>
    <row r="27" spans="1:49" x14ac:dyDescent="0.3">
      <c r="A27" s="1979"/>
      <c r="B27" s="52"/>
      <c r="C27" s="49"/>
      <c r="D27" s="1965"/>
      <c r="E27" s="1971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986"/>
      <c r="AW27" s="1986"/>
    </row>
    <row r="28" spans="1:49" x14ac:dyDescent="0.3">
      <c r="A28" s="1979"/>
      <c r="B28" s="52"/>
      <c r="C28" s="49"/>
      <c r="D28" s="1965"/>
      <c r="E28" s="1971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986"/>
      <c r="AW28" s="1986"/>
    </row>
    <row r="29" spans="1:49" x14ac:dyDescent="0.3">
      <c r="A29" s="1979"/>
      <c r="B29" s="53"/>
      <c r="C29" s="49"/>
      <c r="D29" s="1966"/>
      <c r="E29" s="1972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986"/>
      <c r="AW29" s="1986"/>
    </row>
    <row r="30" spans="1:49" x14ac:dyDescent="0.3">
      <c r="A30" s="1979">
        <v>46153</v>
      </c>
      <c r="B30" s="51"/>
      <c r="C30" s="49"/>
      <c r="D30" s="1964"/>
      <c r="E30" s="1970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986"/>
      <c r="AW30" s="1986"/>
    </row>
    <row r="31" spans="1:49" x14ac:dyDescent="0.3">
      <c r="A31" s="1979"/>
      <c r="B31" s="52"/>
      <c r="C31" s="49"/>
      <c r="D31" s="1965"/>
      <c r="E31" s="1971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986"/>
      <c r="AW31" s="1986"/>
    </row>
    <row r="32" spans="1:49" x14ac:dyDescent="0.3">
      <c r="A32" s="1979"/>
      <c r="B32" s="52"/>
      <c r="C32" s="49"/>
      <c r="D32" s="1965"/>
      <c r="E32" s="1971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986"/>
      <c r="AW32" s="1986"/>
    </row>
    <row r="33" spans="1:49" x14ac:dyDescent="0.3">
      <c r="A33" s="1979"/>
      <c r="B33" s="53"/>
      <c r="C33" s="49"/>
      <c r="D33" s="1966"/>
      <c r="E33" s="1972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984"/>
      <c r="AW33" s="1984"/>
    </row>
    <row r="34" spans="1:49" x14ac:dyDescent="0.3">
      <c r="A34" s="1979">
        <v>46154</v>
      </c>
      <c r="B34" s="51"/>
      <c r="C34" s="49"/>
      <c r="D34" s="1964"/>
      <c r="E34" s="1970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987"/>
      <c r="AW34" s="1987"/>
    </row>
    <row r="35" spans="1:49" x14ac:dyDescent="0.3">
      <c r="A35" s="1979"/>
      <c r="B35" s="52"/>
      <c r="C35" s="49"/>
      <c r="D35" s="1965"/>
      <c r="E35" s="1971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986"/>
      <c r="AW35" s="1986"/>
    </row>
    <row r="36" spans="1:49" x14ac:dyDescent="0.3">
      <c r="A36" s="1979"/>
      <c r="B36" s="52"/>
      <c r="C36" s="49"/>
      <c r="D36" s="1965"/>
      <c r="E36" s="1971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986"/>
      <c r="AW36" s="1986"/>
    </row>
    <row r="37" spans="1:49" x14ac:dyDescent="0.3">
      <c r="A37" s="1979"/>
      <c r="B37" s="53"/>
      <c r="C37" s="49"/>
      <c r="D37" s="1966"/>
      <c r="E37" s="1972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986"/>
      <c r="AW37" s="1986"/>
    </row>
    <row r="38" spans="1:49" x14ac:dyDescent="0.3">
      <c r="A38" s="1979">
        <v>46155</v>
      </c>
      <c r="B38" s="51"/>
      <c r="C38" s="49"/>
      <c r="D38" s="1964"/>
      <c r="E38" s="1970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986"/>
      <c r="AW38" s="1986"/>
    </row>
    <row r="39" spans="1:49" x14ac:dyDescent="0.3">
      <c r="A39" s="1979"/>
      <c r="B39" s="52"/>
      <c r="C39" s="49"/>
      <c r="D39" s="1965"/>
      <c r="E39" s="1971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986"/>
      <c r="AW39" s="1986"/>
    </row>
    <row r="40" spans="1:49" x14ac:dyDescent="0.3">
      <c r="A40" s="1979"/>
      <c r="B40" s="52"/>
      <c r="C40" s="49"/>
      <c r="D40" s="1965"/>
      <c r="E40" s="1971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986"/>
      <c r="AW40" s="1986"/>
    </row>
    <row r="41" spans="1:49" x14ac:dyDescent="0.3">
      <c r="A41" s="1979"/>
      <c r="B41" s="53"/>
      <c r="C41" s="49"/>
      <c r="D41" s="1966"/>
      <c r="E41" s="1972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984"/>
      <c r="AW41" s="1984"/>
    </row>
    <row r="42" spans="1:49" x14ac:dyDescent="0.3">
      <c r="A42" s="1979">
        <v>46156</v>
      </c>
      <c r="B42" s="51"/>
      <c r="C42" s="49"/>
      <c r="D42" s="1964"/>
      <c r="E42" s="1970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987"/>
      <c r="AW42" s="1987"/>
    </row>
    <row r="43" spans="1:49" x14ac:dyDescent="0.3">
      <c r="A43" s="1979"/>
      <c r="B43" s="52"/>
      <c r="C43" s="49"/>
      <c r="D43" s="1965"/>
      <c r="E43" s="1971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986"/>
      <c r="AW43" s="1986"/>
    </row>
    <row r="44" spans="1:49" x14ac:dyDescent="0.3">
      <c r="A44" s="1979"/>
      <c r="B44" s="52"/>
      <c r="C44" s="49"/>
      <c r="D44" s="1965"/>
      <c r="E44" s="1971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986"/>
      <c r="AW44" s="1986"/>
    </row>
    <row r="45" spans="1:49" x14ac:dyDescent="0.3">
      <c r="A45" s="1979"/>
      <c r="B45" s="53"/>
      <c r="C45" s="49"/>
      <c r="D45" s="1966"/>
      <c r="E45" s="1972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986"/>
      <c r="AW45" s="1986"/>
    </row>
    <row r="46" spans="1:49" x14ac:dyDescent="0.3">
      <c r="A46" s="1979">
        <v>46157</v>
      </c>
      <c r="B46" s="51"/>
      <c r="C46" s="49"/>
      <c r="D46" s="1967" t="s">
        <v>157</v>
      </c>
      <c r="E46" s="1970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986"/>
      <c r="AW46" s="1986"/>
    </row>
    <row r="47" spans="1:49" x14ac:dyDescent="0.3">
      <c r="A47" s="1979"/>
      <c r="B47" s="52"/>
      <c r="C47" s="49"/>
      <c r="D47" s="1968"/>
      <c r="E47" s="1971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986"/>
      <c r="AW47" s="1986"/>
    </row>
    <row r="48" spans="1:49" x14ac:dyDescent="0.3">
      <c r="A48" s="1979"/>
      <c r="B48" s="52"/>
      <c r="C48" s="49"/>
      <c r="D48" s="1968"/>
      <c r="E48" s="1971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986"/>
      <c r="AW48" s="1986"/>
    </row>
    <row r="49" spans="1:49" x14ac:dyDescent="0.3">
      <c r="A49" s="1979"/>
      <c r="B49" s="53"/>
      <c r="C49" s="49"/>
      <c r="D49" s="1969"/>
      <c r="E49" s="1972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984"/>
      <c r="AW49" s="1984"/>
    </row>
    <row r="50" spans="1:49" x14ac:dyDescent="0.3">
      <c r="A50" s="1979">
        <v>46158</v>
      </c>
      <c r="B50" s="51"/>
      <c r="C50" s="49"/>
      <c r="D50" s="1964"/>
      <c r="E50" s="1970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987"/>
      <c r="AW50" s="1987"/>
    </row>
    <row r="51" spans="1:49" x14ac:dyDescent="0.3">
      <c r="A51" s="1979"/>
      <c r="B51" s="52"/>
      <c r="C51" s="49"/>
      <c r="D51" s="1965"/>
      <c r="E51" s="1971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986"/>
      <c r="AW51" s="1986"/>
    </row>
    <row r="52" spans="1:49" x14ac:dyDescent="0.3">
      <c r="A52" s="1979"/>
      <c r="B52" s="52"/>
      <c r="C52" s="49"/>
      <c r="D52" s="1965"/>
      <c r="E52" s="1971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986"/>
      <c r="AW52" s="1986"/>
    </row>
    <row r="53" spans="1:49" x14ac:dyDescent="0.3">
      <c r="A53" s="1979"/>
      <c r="B53" s="53"/>
      <c r="C53" s="49"/>
      <c r="D53" s="1966"/>
      <c r="E53" s="1972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986"/>
      <c r="AW53" s="1986"/>
    </row>
    <row r="54" spans="1:49" x14ac:dyDescent="0.3">
      <c r="A54" s="1979">
        <v>46159</v>
      </c>
      <c r="B54" s="51"/>
      <c r="C54" s="49"/>
      <c r="D54" s="97"/>
      <c r="E54" s="1981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986"/>
      <c r="AW54" s="1986"/>
    </row>
    <row r="55" spans="1:49" x14ac:dyDescent="0.3">
      <c r="A55" s="1979"/>
      <c r="B55" s="52"/>
      <c r="C55" s="49"/>
      <c r="D55" s="97"/>
      <c r="E55" s="1982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986"/>
      <c r="AW55" s="1986"/>
    </row>
    <row r="56" spans="1:49" x14ac:dyDescent="0.3">
      <c r="A56" s="1979"/>
      <c r="B56" s="52"/>
      <c r="C56" s="49"/>
      <c r="D56" s="97"/>
      <c r="E56" s="1982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986"/>
      <c r="AW56" s="1986"/>
    </row>
    <row r="57" spans="1:49" x14ac:dyDescent="0.3">
      <c r="A57" s="1979"/>
      <c r="B57" s="53"/>
      <c r="C57" s="49"/>
      <c r="D57" s="97"/>
      <c r="E57" s="1983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984"/>
      <c r="AW57" s="1984"/>
    </row>
    <row r="58" spans="1:49" x14ac:dyDescent="0.3">
      <c r="A58" s="1979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987"/>
      <c r="AW58" s="1987"/>
    </row>
    <row r="59" spans="1:49" x14ac:dyDescent="0.3">
      <c r="A59" s="1979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986"/>
      <c r="AW59" s="1986"/>
    </row>
    <row r="60" spans="1:49" x14ac:dyDescent="0.3">
      <c r="A60" s="1979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986"/>
      <c r="AW60" s="1986"/>
    </row>
    <row r="61" spans="1:49" x14ac:dyDescent="0.3">
      <c r="A61" s="1979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986"/>
      <c r="AW61" s="1986"/>
    </row>
    <row r="62" spans="1:49" x14ac:dyDescent="0.3">
      <c r="A62" s="1979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986"/>
      <c r="AW62" s="1986"/>
    </row>
    <row r="63" spans="1:49" x14ac:dyDescent="0.3">
      <c r="A63" s="1979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986"/>
      <c r="AW63" s="1986"/>
    </row>
    <row r="64" spans="1:49" x14ac:dyDescent="0.3">
      <c r="A64" s="1979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986"/>
      <c r="AW64" s="1986"/>
    </row>
    <row r="65" spans="1:49" x14ac:dyDescent="0.3">
      <c r="A65" s="1979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984"/>
      <c r="AW65" s="1984"/>
    </row>
    <row r="66" spans="1:49" x14ac:dyDescent="0.3">
      <c r="A66" s="1979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987"/>
      <c r="AW66" s="1987"/>
    </row>
    <row r="67" spans="1:49" x14ac:dyDescent="0.3">
      <c r="A67" s="1979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986"/>
      <c r="AW67" s="1986"/>
    </row>
    <row r="68" spans="1:49" x14ac:dyDescent="0.3">
      <c r="A68" s="1979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986"/>
      <c r="AW68" s="1986"/>
    </row>
    <row r="69" spans="1:49" x14ac:dyDescent="0.3">
      <c r="A69" s="1979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986"/>
      <c r="AW69" s="1986"/>
    </row>
    <row r="70" spans="1:49" x14ac:dyDescent="0.3">
      <c r="A70" s="1979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986"/>
      <c r="AW70" s="1986"/>
    </row>
    <row r="71" spans="1:49" x14ac:dyDescent="0.3">
      <c r="A71" s="1979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986"/>
      <c r="AW71" s="1986"/>
    </row>
    <row r="72" spans="1:49" x14ac:dyDescent="0.3">
      <c r="A72" s="1979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986"/>
      <c r="AW72" s="1986"/>
    </row>
    <row r="73" spans="1:49" x14ac:dyDescent="0.3">
      <c r="A73" s="1979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984"/>
      <c r="AW73" s="1984"/>
    </row>
    <row r="74" spans="1:49" x14ac:dyDescent="0.3">
      <c r="A74" s="1979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987"/>
      <c r="AW74" s="1987"/>
    </row>
    <row r="75" spans="1:49" x14ac:dyDescent="0.3">
      <c r="A75" s="1979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986"/>
      <c r="AW75" s="1986"/>
    </row>
    <row r="76" spans="1:49" x14ac:dyDescent="0.3">
      <c r="A76" s="1979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986"/>
      <c r="AW76" s="1986"/>
    </row>
    <row r="77" spans="1:49" x14ac:dyDescent="0.3">
      <c r="A77" s="1979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986"/>
      <c r="AW77" s="1986"/>
    </row>
    <row r="78" spans="1:49" x14ac:dyDescent="0.3">
      <c r="A78" s="1979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986"/>
      <c r="AW78" s="1986"/>
    </row>
    <row r="79" spans="1:49" x14ac:dyDescent="0.3">
      <c r="A79" s="1979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986"/>
      <c r="AW79" s="1986"/>
    </row>
    <row r="80" spans="1:49" x14ac:dyDescent="0.3">
      <c r="A80" s="1979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986"/>
      <c r="AW80" s="1986"/>
    </row>
    <row r="81" spans="1:49" x14ac:dyDescent="0.3">
      <c r="A81" s="1979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984"/>
      <c r="AW81" s="1984"/>
    </row>
    <row r="82" spans="1:49" x14ac:dyDescent="0.3">
      <c r="A82" s="1979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987"/>
      <c r="AW82" s="1987"/>
    </row>
    <row r="83" spans="1:49" x14ac:dyDescent="0.3">
      <c r="A83" s="1979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986"/>
      <c r="AW83" s="1986"/>
    </row>
    <row r="84" spans="1:49" x14ac:dyDescent="0.3">
      <c r="A84" s="1979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986"/>
      <c r="AW84" s="1986"/>
    </row>
    <row r="85" spans="1:49" x14ac:dyDescent="0.3">
      <c r="A85" s="1979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986"/>
      <c r="AW85" s="1986"/>
    </row>
    <row r="86" spans="1:49" x14ac:dyDescent="0.3">
      <c r="A86" s="1979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986"/>
      <c r="AW86" s="1986"/>
    </row>
    <row r="87" spans="1:49" x14ac:dyDescent="0.3">
      <c r="A87" s="1979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986"/>
      <c r="AW87" s="1986"/>
    </row>
    <row r="88" spans="1:49" x14ac:dyDescent="0.3">
      <c r="A88" s="1979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986"/>
      <c r="AW88" s="1986"/>
    </row>
    <row r="89" spans="1:49" x14ac:dyDescent="0.3">
      <c r="A89" s="1979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984"/>
      <c r="AW89" s="1984"/>
    </row>
    <row r="90" spans="1:49" x14ac:dyDescent="0.3">
      <c r="A90" s="1979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987"/>
      <c r="AW90" s="1987"/>
    </row>
    <row r="91" spans="1:49" x14ac:dyDescent="0.3">
      <c r="A91" s="1979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986"/>
      <c r="AW91" s="1986"/>
    </row>
    <row r="92" spans="1:49" x14ac:dyDescent="0.3">
      <c r="A92" s="1979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986"/>
      <c r="AW92" s="1986"/>
    </row>
    <row r="93" spans="1:49" x14ac:dyDescent="0.3">
      <c r="A93" s="1979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986"/>
      <c r="AW93" s="1986"/>
    </row>
    <row r="94" spans="1:49" x14ac:dyDescent="0.3">
      <c r="A94" s="1979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986"/>
      <c r="AW94" s="1986"/>
    </row>
    <row r="95" spans="1:49" x14ac:dyDescent="0.3">
      <c r="A95" s="1979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986"/>
      <c r="AW95" s="1986"/>
    </row>
    <row r="96" spans="1:49" x14ac:dyDescent="0.3">
      <c r="A96" s="1979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986"/>
      <c r="AW96" s="1986"/>
    </row>
    <row r="97" spans="1:49" x14ac:dyDescent="0.3">
      <c r="A97" s="1979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984"/>
      <c r="AW97" s="1984"/>
    </row>
    <row r="98" spans="1:49" x14ac:dyDescent="0.3">
      <c r="A98" s="1979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987"/>
      <c r="AW98" s="1987"/>
    </row>
    <row r="99" spans="1:49" x14ac:dyDescent="0.3">
      <c r="A99" s="1979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986"/>
      <c r="AW99" s="1986"/>
    </row>
    <row r="100" spans="1:49" x14ac:dyDescent="0.3">
      <c r="A100" s="1979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986"/>
      <c r="AW100" s="1986"/>
    </row>
    <row r="101" spans="1:49" x14ac:dyDescent="0.3">
      <c r="A101" s="1979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986"/>
      <c r="AW101" s="1986"/>
    </row>
    <row r="102" spans="1:49" x14ac:dyDescent="0.3">
      <c r="A102" s="1979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986"/>
      <c r="AW102" s="1986"/>
    </row>
    <row r="103" spans="1:49" x14ac:dyDescent="0.3">
      <c r="A103" s="1979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986"/>
      <c r="AW103" s="1986"/>
    </row>
    <row r="104" spans="1:49" x14ac:dyDescent="0.3">
      <c r="A104" s="1979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986"/>
      <c r="AW104" s="1986"/>
    </row>
    <row r="105" spans="1:49" x14ac:dyDescent="0.3">
      <c r="A105" s="1979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984"/>
      <c r="AW105" s="1984"/>
    </row>
    <row r="106" spans="1:49" x14ac:dyDescent="0.3">
      <c r="A106" s="1979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987"/>
      <c r="AW106" s="1987"/>
    </row>
    <row r="107" spans="1:49" x14ac:dyDescent="0.3">
      <c r="A107" s="1979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986"/>
      <c r="AW107" s="1986"/>
    </row>
    <row r="108" spans="1:49" x14ac:dyDescent="0.3">
      <c r="A108" s="1979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986"/>
      <c r="AW108" s="1986"/>
    </row>
    <row r="109" spans="1:49" x14ac:dyDescent="0.3">
      <c r="A109" s="1979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986"/>
      <c r="AW109" s="1986"/>
    </row>
    <row r="110" spans="1:49" x14ac:dyDescent="0.3">
      <c r="A110" s="1979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986"/>
      <c r="AW110" s="1986"/>
    </row>
    <row r="111" spans="1:49" x14ac:dyDescent="0.3">
      <c r="A111" s="1979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986"/>
      <c r="AW111" s="1986"/>
    </row>
    <row r="112" spans="1:49" x14ac:dyDescent="0.3">
      <c r="A112" s="1979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986"/>
      <c r="AW112" s="1986"/>
    </row>
    <row r="113" spans="1:49" x14ac:dyDescent="0.3">
      <c r="A113" s="1979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984"/>
      <c r="AW113" s="1984"/>
    </row>
    <row r="114" spans="1:49" x14ac:dyDescent="0.3">
      <c r="A114" s="1979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987"/>
      <c r="AW114" s="1987"/>
    </row>
    <row r="115" spans="1:49" x14ac:dyDescent="0.3">
      <c r="A115" s="1979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986"/>
      <c r="AW115" s="1986"/>
    </row>
    <row r="116" spans="1:49" x14ac:dyDescent="0.3">
      <c r="A116" s="1979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986"/>
      <c r="AW116" s="1986"/>
    </row>
    <row r="117" spans="1:49" x14ac:dyDescent="0.3">
      <c r="A117" s="1979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986"/>
      <c r="AW117" s="1986"/>
    </row>
    <row r="118" spans="1:49" x14ac:dyDescent="0.3">
      <c r="A118" s="1979">
        <v>46175</v>
      </c>
      <c r="B118" s="51"/>
      <c r="C118" s="49"/>
      <c r="D118" s="1964"/>
      <c r="E118" s="1970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986"/>
      <c r="AW118" s="1986"/>
    </row>
    <row r="119" spans="1:49" x14ac:dyDescent="0.3">
      <c r="A119" s="1979"/>
      <c r="B119" s="52"/>
      <c r="C119" s="49"/>
      <c r="D119" s="1965"/>
      <c r="E119" s="1971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986"/>
      <c r="AW119" s="1986"/>
    </row>
    <row r="120" spans="1:49" x14ac:dyDescent="0.3">
      <c r="A120" s="1979"/>
      <c r="B120" s="52"/>
      <c r="C120" s="49"/>
      <c r="D120" s="1965"/>
      <c r="E120" s="1971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986"/>
      <c r="AW120" s="1986"/>
    </row>
    <row r="121" spans="1:49" x14ac:dyDescent="0.3">
      <c r="A121" s="1979"/>
      <c r="B121" s="53"/>
      <c r="C121" s="49"/>
      <c r="D121" s="1966"/>
      <c r="E121" s="1972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984"/>
      <c r="AW121" s="1984"/>
    </row>
    <row r="122" spans="1:49" x14ac:dyDescent="0.3">
      <c r="A122" s="1979">
        <v>46176</v>
      </c>
      <c r="B122" s="51"/>
      <c r="C122" s="49"/>
      <c r="D122" s="1964"/>
      <c r="E122" s="1970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987"/>
      <c r="AW122" s="1987"/>
    </row>
    <row r="123" spans="1:49" x14ac:dyDescent="0.3">
      <c r="A123" s="1979"/>
      <c r="B123" s="52"/>
      <c r="C123" s="49"/>
      <c r="D123" s="1965"/>
      <c r="E123" s="1971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986"/>
      <c r="AW123" s="1986"/>
    </row>
    <row r="124" spans="1:49" x14ac:dyDescent="0.3">
      <c r="A124" s="1979"/>
      <c r="B124" s="52"/>
      <c r="C124" s="49"/>
      <c r="D124" s="1965"/>
      <c r="E124" s="1971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986"/>
      <c r="AW124" s="1986"/>
    </row>
    <row r="125" spans="1:49" x14ac:dyDescent="0.3">
      <c r="A125" s="1979"/>
      <c r="B125" s="53"/>
      <c r="C125" s="49"/>
      <c r="D125" s="1966"/>
      <c r="E125" s="1972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986"/>
      <c r="AW125" s="1986"/>
    </row>
    <row r="126" spans="1:49" x14ac:dyDescent="0.3">
      <c r="A126" s="1979">
        <v>46177</v>
      </c>
      <c r="B126" s="51"/>
      <c r="C126" s="49"/>
      <c r="D126" s="1964"/>
      <c r="E126" s="1970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986"/>
      <c r="AW126" s="1986"/>
    </row>
    <row r="127" spans="1:49" x14ac:dyDescent="0.3">
      <c r="A127" s="1979"/>
      <c r="B127" s="52"/>
      <c r="C127" s="49"/>
      <c r="D127" s="1965"/>
      <c r="E127" s="1971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986"/>
      <c r="AW127" s="1986"/>
    </row>
    <row r="128" spans="1:49" x14ac:dyDescent="0.3">
      <c r="A128" s="1979"/>
      <c r="B128" s="52"/>
      <c r="C128" s="49"/>
      <c r="D128" s="1965"/>
      <c r="E128" s="1971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986"/>
      <c r="AW128" s="1986"/>
    </row>
    <row r="129" spans="1:49" x14ac:dyDescent="0.3">
      <c r="A129" s="1979"/>
      <c r="B129" s="53"/>
      <c r="C129" s="49"/>
      <c r="D129" s="1966"/>
      <c r="E129" s="1972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984"/>
      <c r="AW129" s="1984"/>
    </row>
    <row r="130" spans="1:49" x14ac:dyDescent="0.3">
      <c r="A130" s="18"/>
      <c r="B130" s="18"/>
      <c r="C130" s="18"/>
      <c r="D130" s="1979"/>
      <c r="E130" s="1985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987"/>
      <c r="AW130" s="1987"/>
    </row>
    <row r="131" spans="1:49" x14ac:dyDescent="0.3">
      <c r="A131" s="18"/>
      <c r="B131" s="18"/>
      <c r="C131" s="18"/>
      <c r="D131" s="1984"/>
      <c r="E131" s="1986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986"/>
      <c r="AW131" s="1986"/>
    </row>
    <row r="132" spans="1:49" x14ac:dyDescent="0.3">
      <c r="A132" s="18"/>
      <c r="B132" s="18"/>
      <c r="C132" s="18"/>
      <c r="D132" s="1984"/>
      <c r="E132" s="1986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986"/>
      <c r="AW132" s="1986"/>
    </row>
    <row r="133" spans="1:49" x14ac:dyDescent="0.3">
      <c r="A133" s="18"/>
      <c r="B133" s="18"/>
      <c r="C133" s="18"/>
      <c r="D133" s="1984"/>
      <c r="E133" s="1986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986"/>
      <c r="AW133" s="1986"/>
    </row>
    <row r="134" spans="1:49" x14ac:dyDescent="0.3">
      <c r="A134" s="18"/>
      <c r="B134" s="18"/>
      <c r="C134" s="18"/>
      <c r="D134" s="1984"/>
      <c r="E134" s="1986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986"/>
      <c r="AW134" s="1986"/>
    </row>
    <row r="135" spans="1:49" x14ac:dyDescent="0.3">
      <c r="A135" s="18"/>
      <c r="B135" s="18"/>
      <c r="C135" s="18"/>
      <c r="D135" s="1984"/>
      <c r="E135" s="1986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986"/>
      <c r="AW135" s="1986"/>
    </row>
    <row r="136" spans="1:49" x14ac:dyDescent="0.3">
      <c r="A136" s="18"/>
      <c r="B136" s="18"/>
      <c r="C136" s="18"/>
      <c r="D136" s="1984"/>
      <c r="E136" s="1986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986"/>
      <c r="AW136" s="1986"/>
    </row>
    <row r="137" spans="1:49" x14ac:dyDescent="0.3">
      <c r="A137" s="18"/>
      <c r="B137" s="18"/>
      <c r="C137" s="18"/>
      <c r="D137" s="1984"/>
      <c r="E137" s="1984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984"/>
      <c r="AW137" s="1984"/>
    </row>
    <row r="138" spans="1:49" x14ac:dyDescent="0.3">
      <c r="A138" s="18"/>
      <c r="B138" s="18"/>
      <c r="C138" s="18"/>
      <c r="D138" s="1979"/>
      <c r="E138" s="1985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987"/>
      <c r="AW138" s="1987"/>
    </row>
    <row r="139" spans="1:49" x14ac:dyDescent="0.3">
      <c r="A139" s="18"/>
      <c r="B139" s="18"/>
      <c r="C139" s="18"/>
      <c r="D139" s="1984"/>
      <c r="E139" s="1986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986"/>
      <c r="AW139" s="1986"/>
    </row>
    <row r="140" spans="1:49" x14ac:dyDescent="0.3">
      <c r="A140" s="18"/>
      <c r="B140" s="18"/>
      <c r="C140" s="18"/>
      <c r="D140" s="1984"/>
      <c r="E140" s="1986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986"/>
      <c r="AW140" s="1986"/>
    </row>
    <row r="141" spans="1:49" x14ac:dyDescent="0.3">
      <c r="A141" s="18"/>
      <c r="B141" s="18"/>
      <c r="C141" s="18"/>
      <c r="D141" s="1984"/>
      <c r="E141" s="1986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986"/>
      <c r="AW141" s="1986"/>
    </row>
    <row r="142" spans="1:49" x14ac:dyDescent="0.3">
      <c r="A142" s="18"/>
      <c r="B142" s="18"/>
      <c r="C142" s="18"/>
      <c r="D142" s="1984"/>
      <c r="E142" s="1986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986"/>
      <c r="AW142" s="1986"/>
    </row>
    <row r="143" spans="1:49" x14ac:dyDescent="0.3">
      <c r="A143" s="18"/>
      <c r="B143" s="18"/>
      <c r="C143" s="18"/>
      <c r="D143" s="1984"/>
      <c r="E143" s="1986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986"/>
      <c r="AW143" s="1986"/>
    </row>
    <row r="144" spans="1:49" x14ac:dyDescent="0.3">
      <c r="A144" s="18"/>
      <c r="B144" s="18"/>
      <c r="C144" s="18"/>
      <c r="D144" s="1984"/>
      <c r="E144" s="1986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986"/>
      <c r="AW144" s="1986"/>
    </row>
    <row r="145" spans="1:49" x14ac:dyDescent="0.3">
      <c r="A145" s="18"/>
      <c r="B145" s="18"/>
      <c r="C145" s="18"/>
      <c r="D145" s="1984"/>
      <c r="E145" s="1984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984"/>
      <c r="AW145" s="1984"/>
    </row>
    <row r="146" spans="1:49" x14ac:dyDescent="0.3">
      <c r="A146" s="18"/>
      <c r="B146" s="18"/>
      <c r="C146" s="18"/>
      <c r="D146" s="1979"/>
      <c r="E146" s="1985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987"/>
      <c r="AW146" s="1987"/>
    </row>
    <row r="147" spans="1:49" x14ac:dyDescent="0.3">
      <c r="A147" s="18"/>
      <c r="B147" s="18"/>
      <c r="C147" s="18"/>
      <c r="D147" s="1984"/>
      <c r="E147" s="1986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986"/>
      <c r="AW147" s="1986"/>
    </row>
    <row r="148" spans="1:49" x14ac:dyDescent="0.3">
      <c r="A148" s="18"/>
      <c r="B148" s="18"/>
      <c r="C148" s="18"/>
      <c r="D148" s="1984"/>
      <c r="E148" s="1986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986"/>
      <c r="AW148" s="1986"/>
    </row>
    <row r="149" spans="1:49" x14ac:dyDescent="0.3">
      <c r="A149" s="18"/>
      <c r="B149" s="18"/>
      <c r="C149" s="18"/>
      <c r="D149" s="1984"/>
      <c r="E149" s="1986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986"/>
      <c r="AW149" s="1986"/>
    </row>
    <row r="150" spans="1:49" x14ac:dyDescent="0.3">
      <c r="A150" s="18"/>
      <c r="B150" s="18"/>
      <c r="C150" s="18"/>
      <c r="D150" s="1984"/>
      <c r="E150" s="1986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986"/>
      <c r="AW150" s="1986"/>
    </row>
    <row r="151" spans="1:49" x14ac:dyDescent="0.3">
      <c r="A151" s="18"/>
      <c r="B151" s="18"/>
      <c r="C151" s="18"/>
      <c r="D151" s="1984"/>
      <c r="E151" s="1986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986"/>
      <c r="AW151" s="1986"/>
    </row>
    <row r="152" spans="1:49" x14ac:dyDescent="0.3">
      <c r="A152" s="18"/>
      <c r="B152" s="18"/>
      <c r="C152" s="18"/>
      <c r="D152" s="1984"/>
      <c r="E152" s="1986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986"/>
      <c r="AW152" s="1986"/>
    </row>
    <row r="153" spans="1:49" x14ac:dyDescent="0.3">
      <c r="A153" s="18"/>
      <c r="B153" s="18"/>
      <c r="C153" s="18"/>
      <c r="D153" s="1984"/>
      <c r="E153" s="1984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984"/>
      <c r="AW153" s="1984"/>
    </row>
    <row r="154" spans="1:49" x14ac:dyDescent="0.3">
      <c r="A154" s="18"/>
      <c r="B154" s="18"/>
      <c r="C154" s="18"/>
      <c r="D154" s="1979"/>
      <c r="E154" s="1985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987"/>
      <c r="AW154" s="1987"/>
    </row>
    <row r="155" spans="1:49" x14ac:dyDescent="0.3">
      <c r="A155" s="18"/>
      <c r="B155" s="18"/>
      <c r="C155" s="18"/>
      <c r="D155" s="1984"/>
      <c r="E155" s="1986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986"/>
      <c r="AW155" s="1986"/>
    </row>
    <row r="156" spans="1:49" x14ac:dyDescent="0.3">
      <c r="A156" s="18"/>
      <c r="B156" s="18"/>
      <c r="C156" s="18"/>
      <c r="D156" s="1984"/>
      <c r="E156" s="1986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986"/>
      <c r="AW156" s="1986"/>
    </row>
    <row r="157" spans="1:49" x14ac:dyDescent="0.3">
      <c r="A157" s="18"/>
      <c r="B157" s="18"/>
      <c r="C157" s="18"/>
      <c r="D157" s="1984"/>
      <c r="E157" s="1986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986"/>
      <c r="AW157" s="1986"/>
    </row>
    <row r="158" spans="1:49" x14ac:dyDescent="0.3">
      <c r="A158" s="18"/>
      <c r="B158" s="18"/>
      <c r="C158" s="18"/>
      <c r="D158" s="1984"/>
      <c r="E158" s="1986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986"/>
      <c r="AW158" s="1986"/>
    </row>
    <row r="159" spans="1:49" x14ac:dyDescent="0.3">
      <c r="A159" s="18"/>
      <c r="B159" s="18"/>
      <c r="C159" s="18"/>
      <c r="D159" s="1984"/>
      <c r="E159" s="1986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986"/>
      <c r="AW159" s="1986"/>
    </row>
    <row r="160" spans="1:49" x14ac:dyDescent="0.3">
      <c r="A160" s="18"/>
      <c r="B160" s="18"/>
      <c r="C160" s="18"/>
      <c r="D160" s="1984"/>
      <c r="E160" s="1986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986"/>
      <c r="AW160" s="1986"/>
    </row>
    <row r="161" spans="1:49" x14ac:dyDescent="0.3">
      <c r="A161" s="18"/>
      <c r="B161" s="18"/>
      <c r="C161" s="18"/>
      <c r="D161" s="1984"/>
      <c r="E161" s="1984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984"/>
      <c r="AW161" s="1984"/>
    </row>
    <row r="162" spans="1:49" x14ac:dyDescent="0.3">
      <c r="A162" s="18"/>
      <c r="B162" s="18"/>
      <c r="C162" s="18"/>
      <c r="D162" s="1979"/>
      <c r="E162" s="1985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987"/>
      <c r="AW162" s="1987"/>
    </row>
    <row r="163" spans="1:49" x14ac:dyDescent="0.3">
      <c r="A163" s="18"/>
      <c r="B163" s="18"/>
      <c r="C163" s="18"/>
      <c r="D163" s="1984"/>
      <c r="E163" s="1986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986"/>
      <c r="AW163" s="1986"/>
    </row>
    <row r="164" spans="1:49" x14ac:dyDescent="0.3">
      <c r="A164" s="18"/>
      <c r="B164" s="18"/>
      <c r="C164" s="18"/>
      <c r="D164" s="1984"/>
      <c r="E164" s="1986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986"/>
      <c r="AW164" s="1986"/>
    </row>
    <row r="165" spans="1:49" x14ac:dyDescent="0.3">
      <c r="A165" s="18"/>
      <c r="B165" s="18"/>
      <c r="C165" s="18"/>
      <c r="D165" s="1984"/>
      <c r="E165" s="1986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986"/>
      <c r="AW165" s="1986"/>
    </row>
    <row r="166" spans="1:49" x14ac:dyDescent="0.3">
      <c r="A166" s="18"/>
      <c r="B166" s="18"/>
      <c r="C166" s="18"/>
      <c r="D166" s="1984"/>
      <c r="E166" s="1986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986"/>
      <c r="AW166" s="1986"/>
    </row>
    <row r="167" spans="1:49" x14ac:dyDescent="0.3">
      <c r="A167" s="18"/>
      <c r="B167" s="18"/>
      <c r="C167" s="18"/>
      <c r="D167" s="1984"/>
      <c r="E167" s="1986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986"/>
      <c r="AW167" s="1986"/>
    </row>
    <row r="168" spans="1:49" x14ac:dyDescent="0.3">
      <c r="A168" s="18"/>
      <c r="B168" s="18"/>
      <c r="C168" s="18"/>
      <c r="D168" s="1984"/>
      <c r="E168" s="1986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986"/>
      <c r="AW168" s="1986"/>
    </row>
    <row r="169" spans="1:49" x14ac:dyDescent="0.3">
      <c r="A169" s="18"/>
      <c r="B169" s="18"/>
      <c r="C169" s="18"/>
      <c r="D169" s="1984"/>
      <c r="E169" s="1984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984"/>
      <c r="AW169" s="1984"/>
    </row>
    <row r="170" spans="1:49" x14ac:dyDescent="0.3">
      <c r="A170" s="18"/>
      <c r="B170" s="18"/>
      <c r="C170" s="18"/>
      <c r="D170" s="1979"/>
      <c r="E170" s="1985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987"/>
      <c r="AW170" s="1987"/>
    </row>
    <row r="171" spans="1:49" x14ac:dyDescent="0.3">
      <c r="A171" s="18"/>
      <c r="B171" s="18"/>
      <c r="C171" s="18"/>
      <c r="D171" s="1984"/>
      <c r="E171" s="1986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986"/>
      <c r="AW171" s="1986"/>
    </row>
    <row r="172" spans="1:49" x14ac:dyDescent="0.3">
      <c r="A172" s="18"/>
      <c r="B172" s="18"/>
      <c r="C172" s="18"/>
      <c r="D172" s="1984"/>
      <c r="E172" s="1986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986"/>
      <c r="AW172" s="1986"/>
    </row>
    <row r="173" spans="1:49" x14ac:dyDescent="0.3">
      <c r="A173" s="18"/>
      <c r="B173" s="18"/>
      <c r="C173" s="18"/>
      <c r="D173" s="1984"/>
      <c r="E173" s="1986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986"/>
      <c r="AW173" s="1986"/>
    </row>
    <row r="174" spans="1:49" x14ac:dyDescent="0.3">
      <c r="A174" s="18"/>
      <c r="B174" s="18"/>
      <c r="C174" s="18"/>
      <c r="D174" s="1984"/>
      <c r="E174" s="1986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986"/>
      <c r="AW174" s="1986"/>
    </row>
    <row r="175" spans="1:49" x14ac:dyDescent="0.3">
      <c r="A175" s="18"/>
      <c r="B175" s="18"/>
      <c r="C175" s="18"/>
      <c r="D175" s="1984"/>
      <c r="E175" s="1986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986"/>
      <c r="AW175" s="1986"/>
    </row>
    <row r="176" spans="1:49" x14ac:dyDescent="0.3">
      <c r="A176" s="18"/>
      <c r="B176" s="18"/>
      <c r="C176" s="18"/>
      <c r="D176" s="1984"/>
      <c r="E176" s="1986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986"/>
      <c r="AW176" s="1986"/>
    </row>
    <row r="177" spans="1:49" x14ac:dyDescent="0.3">
      <c r="A177" s="18"/>
      <c r="B177" s="18"/>
      <c r="C177" s="18"/>
      <c r="D177" s="1984"/>
      <c r="E177" s="1984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984"/>
      <c r="AW177" s="1984"/>
    </row>
    <row r="178" spans="1:49" x14ac:dyDescent="0.3">
      <c r="A178" s="18"/>
      <c r="B178" s="18"/>
      <c r="C178" s="18"/>
      <c r="D178" s="1979"/>
      <c r="E178" s="1985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987"/>
      <c r="AW178" s="1987"/>
    </row>
    <row r="179" spans="1:49" x14ac:dyDescent="0.3">
      <c r="A179" s="18"/>
      <c r="B179" s="18"/>
      <c r="C179" s="18"/>
      <c r="D179" s="1984"/>
      <c r="E179" s="1986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986"/>
      <c r="AW179" s="1986"/>
    </row>
    <row r="180" spans="1:49" x14ac:dyDescent="0.3">
      <c r="A180" s="18"/>
      <c r="B180" s="18"/>
      <c r="C180" s="18"/>
      <c r="D180" s="1984"/>
      <c r="E180" s="1986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986"/>
      <c r="AW180" s="1986"/>
    </row>
    <row r="181" spans="1:49" x14ac:dyDescent="0.3">
      <c r="A181" s="18"/>
      <c r="B181" s="18"/>
      <c r="C181" s="18"/>
      <c r="D181" s="1984"/>
      <c r="E181" s="1986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986"/>
      <c r="AW181" s="1986"/>
    </row>
    <row r="182" spans="1:49" x14ac:dyDescent="0.3">
      <c r="A182" s="18"/>
      <c r="B182" s="18"/>
      <c r="C182" s="18"/>
      <c r="D182" s="1984"/>
      <c r="E182" s="1986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986"/>
      <c r="AW182" s="1986"/>
    </row>
    <row r="183" spans="1:49" x14ac:dyDescent="0.3">
      <c r="A183" s="18"/>
      <c r="B183" s="18"/>
      <c r="C183" s="18"/>
      <c r="D183" s="1984"/>
      <c r="E183" s="1986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986"/>
      <c r="AW183" s="1986"/>
    </row>
    <row r="184" spans="1:49" x14ac:dyDescent="0.3">
      <c r="A184" s="18"/>
      <c r="B184" s="18"/>
      <c r="C184" s="18"/>
      <c r="D184" s="1984"/>
      <c r="E184" s="1986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986"/>
      <c r="AW184" s="1986"/>
    </row>
    <row r="185" spans="1:49" x14ac:dyDescent="0.3">
      <c r="A185" s="18"/>
      <c r="B185" s="18"/>
      <c r="C185" s="18"/>
      <c r="D185" s="1984"/>
      <c r="E185" s="1984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984"/>
      <c r="AW185" s="1984"/>
    </row>
    <row r="186" spans="1:49" x14ac:dyDescent="0.3">
      <c r="A186" s="18"/>
      <c r="B186" s="18"/>
      <c r="C186" s="18"/>
      <c r="D186" s="1979"/>
      <c r="E186" s="1985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987"/>
      <c r="AW186" s="1987"/>
    </row>
    <row r="187" spans="1:49" x14ac:dyDescent="0.3">
      <c r="A187" s="18"/>
      <c r="B187" s="18"/>
      <c r="C187" s="18"/>
      <c r="D187" s="1984"/>
      <c r="E187" s="1986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986"/>
      <c r="AW187" s="1986"/>
    </row>
    <row r="188" spans="1:49" x14ac:dyDescent="0.3">
      <c r="A188" s="18"/>
      <c r="B188" s="18"/>
      <c r="C188" s="18"/>
      <c r="D188" s="1984"/>
      <c r="E188" s="1986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986"/>
      <c r="AW188" s="1986"/>
    </row>
    <row r="189" spans="1:49" x14ac:dyDescent="0.3">
      <c r="A189" s="18"/>
      <c r="B189" s="18"/>
      <c r="C189" s="18"/>
      <c r="D189" s="1984"/>
      <c r="E189" s="1986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986"/>
      <c r="AW189" s="1986"/>
    </row>
    <row r="190" spans="1:49" x14ac:dyDescent="0.3">
      <c r="A190" s="18"/>
      <c r="B190" s="18"/>
      <c r="C190" s="18"/>
      <c r="D190" s="1984"/>
      <c r="E190" s="1986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986"/>
      <c r="AW190" s="1986"/>
    </row>
    <row r="191" spans="1:49" x14ac:dyDescent="0.3">
      <c r="A191" s="18"/>
      <c r="B191" s="18"/>
      <c r="C191" s="18"/>
      <c r="D191" s="1984"/>
      <c r="E191" s="1986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986"/>
      <c r="AW191" s="1986"/>
    </row>
    <row r="192" spans="1:49" x14ac:dyDescent="0.3">
      <c r="A192" s="18"/>
      <c r="B192" s="18"/>
      <c r="C192" s="18"/>
      <c r="D192" s="1984"/>
      <c r="E192" s="1986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986"/>
      <c r="AW192" s="1986"/>
    </row>
    <row r="193" spans="1:49" x14ac:dyDescent="0.3">
      <c r="A193" s="18"/>
      <c r="B193" s="18"/>
      <c r="C193" s="18"/>
      <c r="D193" s="1984"/>
      <c r="E193" s="1984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984"/>
      <c r="AW193" s="1984"/>
    </row>
    <row r="194" spans="1:49" x14ac:dyDescent="0.3">
      <c r="A194" s="18"/>
      <c r="B194" s="18"/>
      <c r="C194" s="18"/>
      <c r="D194" s="1979"/>
      <c r="E194" s="1985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987"/>
      <c r="AW194" s="1987"/>
    </row>
    <row r="195" spans="1:49" x14ac:dyDescent="0.3">
      <c r="A195" s="18"/>
      <c r="B195" s="18"/>
      <c r="C195" s="18"/>
      <c r="D195" s="1984"/>
      <c r="E195" s="1986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986"/>
      <c r="AW195" s="1986"/>
    </row>
    <row r="196" spans="1:49" x14ac:dyDescent="0.3">
      <c r="A196" s="18"/>
      <c r="B196" s="18"/>
      <c r="C196" s="18"/>
      <c r="D196" s="1984"/>
      <c r="E196" s="1986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986"/>
      <c r="AW196" s="1986"/>
    </row>
    <row r="197" spans="1:49" x14ac:dyDescent="0.3">
      <c r="A197" s="18"/>
      <c r="B197" s="18"/>
      <c r="C197" s="18"/>
      <c r="D197" s="1984"/>
      <c r="E197" s="1986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986"/>
      <c r="AW197" s="1986"/>
    </row>
    <row r="198" spans="1:49" x14ac:dyDescent="0.3">
      <c r="A198" s="18"/>
      <c r="B198" s="18"/>
      <c r="C198" s="18"/>
      <c r="D198" s="1984"/>
      <c r="E198" s="1986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986"/>
      <c r="AW198" s="1986"/>
    </row>
    <row r="199" spans="1:49" x14ac:dyDescent="0.3">
      <c r="A199" s="18"/>
      <c r="B199" s="18"/>
      <c r="C199" s="18"/>
      <c r="D199" s="1984"/>
      <c r="E199" s="1986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986"/>
      <c r="AW199" s="1986"/>
    </row>
    <row r="200" spans="1:49" x14ac:dyDescent="0.3">
      <c r="A200" s="18"/>
      <c r="B200" s="18"/>
      <c r="C200" s="18"/>
      <c r="D200" s="1984"/>
      <c r="E200" s="1986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986"/>
      <c r="AW200" s="1986"/>
    </row>
    <row r="201" spans="1:49" x14ac:dyDescent="0.3">
      <c r="A201" s="18"/>
      <c r="B201" s="18"/>
      <c r="C201" s="18"/>
      <c r="D201" s="1984"/>
      <c r="E201" s="1984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984"/>
      <c r="AW201" s="1984"/>
    </row>
    <row r="202" spans="1:49" x14ac:dyDescent="0.3">
      <c r="A202" s="18"/>
      <c r="B202" s="18"/>
      <c r="C202" s="18"/>
      <c r="D202" s="1979"/>
      <c r="E202" s="1985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987"/>
      <c r="AW202" s="1987"/>
    </row>
    <row r="203" spans="1:49" x14ac:dyDescent="0.3">
      <c r="A203" s="18"/>
      <c r="B203" s="18"/>
      <c r="C203" s="18"/>
      <c r="D203" s="1984"/>
      <c r="E203" s="1986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986"/>
      <c r="AW203" s="1986"/>
    </row>
    <row r="204" spans="1:49" x14ac:dyDescent="0.3">
      <c r="A204" s="18"/>
      <c r="B204" s="18"/>
      <c r="C204" s="18"/>
      <c r="D204" s="1984"/>
      <c r="E204" s="1986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986"/>
      <c r="AW204" s="1986"/>
    </row>
    <row r="205" spans="1:49" x14ac:dyDescent="0.3">
      <c r="A205" s="18"/>
      <c r="B205" s="18"/>
      <c r="C205" s="18"/>
      <c r="D205" s="1984"/>
      <c r="E205" s="1986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986"/>
      <c r="AW205" s="1986"/>
    </row>
    <row r="206" spans="1:49" x14ac:dyDescent="0.3">
      <c r="A206" s="18"/>
      <c r="B206" s="18"/>
      <c r="C206" s="18"/>
      <c r="D206" s="1984"/>
      <c r="E206" s="1986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986"/>
      <c r="AW206" s="1986"/>
    </row>
    <row r="207" spans="1:49" x14ac:dyDescent="0.3">
      <c r="A207" s="18"/>
      <c r="B207" s="18"/>
      <c r="C207" s="18"/>
      <c r="D207" s="1984"/>
      <c r="E207" s="1986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986"/>
      <c r="AW207" s="1986"/>
    </row>
    <row r="208" spans="1:49" x14ac:dyDescent="0.3">
      <c r="A208" s="18"/>
      <c r="B208" s="18"/>
      <c r="C208" s="18"/>
      <c r="D208" s="1984"/>
      <c r="E208" s="1986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986"/>
      <c r="AW208" s="1986"/>
    </row>
    <row r="209" spans="1:49" x14ac:dyDescent="0.3">
      <c r="A209" s="18"/>
      <c r="B209" s="18"/>
      <c r="C209" s="18"/>
      <c r="D209" s="1984"/>
      <c r="E209" s="1984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984"/>
      <c r="AW209" s="1984"/>
    </row>
    <row r="210" spans="1:49" x14ac:dyDescent="0.3">
      <c r="A210" s="18"/>
      <c r="B210" s="18"/>
      <c r="C210" s="18"/>
      <c r="D210" s="1979"/>
      <c r="E210" s="1985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987"/>
      <c r="AW210" s="1987"/>
    </row>
    <row r="211" spans="1:49" x14ac:dyDescent="0.3">
      <c r="A211" s="18"/>
      <c r="B211" s="18"/>
      <c r="C211" s="18"/>
      <c r="D211" s="1984"/>
      <c r="E211" s="1986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986"/>
      <c r="AW211" s="1986"/>
    </row>
    <row r="212" spans="1:49" x14ac:dyDescent="0.3">
      <c r="A212" s="18"/>
      <c r="B212" s="18"/>
      <c r="C212" s="18"/>
      <c r="D212" s="1984"/>
      <c r="E212" s="1986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986"/>
      <c r="AW212" s="1986"/>
    </row>
    <row r="213" spans="1:49" x14ac:dyDescent="0.3">
      <c r="A213" s="18"/>
      <c r="B213" s="18"/>
      <c r="C213" s="18"/>
      <c r="D213" s="1984"/>
      <c r="E213" s="1986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986"/>
      <c r="AW213" s="1986"/>
    </row>
    <row r="214" spans="1:49" x14ac:dyDescent="0.3">
      <c r="A214" s="18"/>
      <c r="B214" s="18"/>
      <c r="C214" s="18"/>
      <c r="D214" s="1984"/>
      <c r="E214" s="1986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986"/>
      <c r="AW214" s="1986"/>
    </row>
    <row r="215" spans="1:49" x14ac:dyDescent="0.3">
      <c r="A215" s="18"/>
      <c r="B215" s="18"/>
      <c r="C215" s="18"/>
      <c r="D215" s="1984"/>
      <c r="E215" s="1986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986"/>
      <c r="AW215" s="1986"/>
    </row>
    <row r="216" spans="1:49" x14ac:dyDescent="0.3">
      <c r="A216" s="18"/>
      <c r="B216" s="18"/>
      <c r="C216" s="18"/>
      <c r="D216" s="1984"/>
      <c r="E216" s="1986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986"/>
      <c r="AW216" s="1986"/>
    </row>
    <row r="217" spans="1:49" x14ac:dyDescent="0.3">
      <c r="A217" s="18"/>
      <c r="B217" s="18"/>
      <c r="C217" s="18"/>
      <c r="D217" s="1984"/>
      <c r="E217" s="1984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984"/>
      <c r="AW217" s="1984"/>
    </row>
    <row r="218" spans="1:49" x14ac:dyDescent="0.3">
      <c r="A218" s="18"/>
      <c r="B218" s="18"/>
      <c r="C218" s="18"/>
      <c r="D218" s="1979"/>
      <c r="E218" s="1985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987"/>
      <c r="AW218" s="1987"/>
    </row>
    <row r="219" spans="1:49" x14ac:dyDescent="0.3">
      <c r="A219" s="18"/>
      <c r="B219" s="18"/>
      <c r="C219" s="18"/>
      <c r="D219" s="1984"/>
      <c r="E219" s="1986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986"/>
      <c r="AW219" s="1986"/>
    </row>
    <row r="220" spans="1:49" x14ac:dyDescent="0.3">
      <c r="A220" s="18"/>
      <c r="B220" s="18"/>
      <c r="C220" s="18"/>
      <c r="D220" s="1984"/>
      <c r="E220" s="1986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986"/>
      <c r="AW220" s="1986"/>
    </row>
    <row r="221" spans="1:49" x14ac:dyDescent="0.3">
      <c r="A221" s="18"/>
      <c r="B221" s="18"/>
      <c r="C221" s="18"/>
      <c r="D221" s="1984"/>
      <c r="E221" s="1986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986"/>
      <c r="AW221" s="1986"/>
    </row>
    <row r="222" spans="1:49" x14ac:dyDescent="0.3">
      <c r="A222" s="18"/>
      <c r="B222" s="18"/>
      <c r="C222" s="18"/>
      <c r="D222" s="1984"/>
      <c r="E222" s="1986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986"/>
      <c r="AW222" s="1986"/>
    </row>
    <row r="223" spans="1:49" x14ac:dyDescent="0.3">
      <c r="A223" s="18"/>
      <c r="B223" s="18"/>
      <c r="C223" s="18"/>
      <c r="D223" s="1984"/>
      <c r="E223" s="1986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986"/>
      <c r="AW223" s="1986"/>
    </row>
    <row r="224" spans="1:49" x14ac:dyDescent="0.3">
      <c r="A224" s="18"/>
      <c r="B224" s="18"/>
      <c r="C224" s="18"/>
      <c r="D224" s="1984"/>
      <c r="E224" s="1986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986"/>
      <c r="AW224" s="1986"/>
    </row>
    <row r="225" spans="1:49" x14ac:dyDescent="0.3">
      <c r="A225" s="18"/>
      <c r="B225" s="18"/>
      <c r="C225" s="18"/>
      <c r="D225" s="1984"/>
      <c r="E225" s="1984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984"/>
      <c r="AW225" s="1984"/>
    </row>
    <row r="226" spans="1:49" x14ac:dyDescent="0.3">
      <c r="A226" s="18"/>
      <c r="B226" s="18"/>
      <c r="C226" s="18"/>
      <c r="D226" s="1979"/>
      <c r="E226" s="1985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987"/>
      <c r="AW226" s="1987"/>
    </row>
    <row r="227" spans="1:49" x14ac:dyDescent="0.3">
      <c r="A227" s="18"/>
      <c r="B227" s="18"/>
      <c r="C227" s="18"/>
      <c r="D227" s="1984"/>
      <c r="E227" s="1986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986"/>
      <c r="AW227" s="1986"/>
    </row>
    <row r="228" spans="1:49" x14ac:dyDescent="0.3">
      <c r="A228" s="18"/>
      <c r="B228" s="18"/>
      <c r="C228" s="18"/>
      <c r="D228" s="1984"/>
      <c r="E228" s="1986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986"/>
      <c r="AW228" s="1986"/>
    </row>
    <row r="229" spans="1:49" x14ac:dyDescent="0.3">
      <c r="A229" s="18"/>
      <c r="B229" s="18"/>
      <c r="C229" s="18"/>
      <c r="D229" s="1984"/>
      <c r="E229" s="1986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986"/>
      <c r="AW229" s="1986"/>
    </row>
    <row r="230" spans="1:49" x14ac:dyDescent="0.3">
      <c r="A230" s="18"/>
      <c r="B230" s="18"/>
      <c r="C230" s="18"/>
      <c r="D230" s="1984"/>
      <c r="E230" s="1986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986"/>
      <c r="AW230" s="1986"/>
    </row>
    <row r="231" spans="1:49" x14ac:dyDescent="0.3">
      <c r="A231" s="18"/>
      <c r="B231" s="18"/>
      <c r="C231" s="18"/>
      <c r="D231" s="1984"/>
      <c r="E231" s="1986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986"/>
      <c r="AW231" s="1986"/>
    </row>
    <row r="232" spans="1:49" x14ac:dyDescent="0.3">
      <c r="A232" s="18"/>
      <c r="B232" s="18"/>
      <c r="C232" s="18"/>
      <c r="D232" s="1984"/>
      <c r="E232" s="1986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986"/>
      <c r="AW232" s="1986"/>
    </row>
    <row r="233" spans="1:49" x14ac:dyDescent="0.3">
      <c r="A233" s="18"/>
      <c r="B233" s="18"/>
      <c r="C233" s="18"/>
      <c r="D233" s="1984"/>
      <c r="E233" s="1984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984"/>
      <c r="AW233" s="1984"/>
    </row>
    <row r="234" spans="1:49" x14ac:dyDescent="0.3">
      <c r="A234" s="18"/>
      <c r="B234" s="18"/>
      <c r="C234" s="18"/>
      <c r="D234" s="1979"/>
      <c r="E234" s="1985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987"/>
      <c r="AW234" s="1987"/>
    </row>
    <row r="235" spans="1:49" x14ac:dyDescent="0.3">
      <c r="A235" s="18"/>
      <c r="B235" s="18"/>
      <c r="C235" s="18"/>
      <c r="D235" s="1984"/>
      <c r="E235" s="1986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986"/>
      <c r="AW235" s="1986"/>
    </row>
    <row r="236" spans="1:49" x14ac:dyDescent="0.3">
      <c r="A236" s="18"/>
      <c r="B236" s="18"/>
      <c r="C236" s="18"/>
      <c r="D236" s="1984"/>
      <c r="E236" s="1986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986"/>
      <c r="AW236" s="1986"/>
    </row>
    <row r="237" spans="1:49" x14ac:dyDescent="0.3">
      <c r="A237" s="18"/>
      <c r="B237" s="18"/>
      <c r="C237" s="18"/>
      <c r="D237" s="1984"/>
      <c r="E237" s="1986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986"/>
      <c r="AW237" s="1986"/>
    </row>
    <row r="238" spans="1:49" x14ac:dyDescent="0.3">
      <c r="A238" s="18"/>
      <c r="B238" s="18"/>
      <c r="C238" s="18"/>
      <c r="D238" s="1984"/>
      <c r="E238" s="1986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986"/>
      <c r="AW238" s="1986"/>
    </row>
    <row r="239" spans="1:49" x14ac:dyDescent="0.3">
      <c r="A239" s="18"/>
      <c r="B239" s="18"/>
      <c r="C239" s="18"/>
      <c r="D239" s="1984"/>
      <c r="E239" s="1986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986"/>
      <c r="AW239" s="1986"/>
    </row>
    <row r="240" spans="1:49" x14ac:dyDescent="0.3">
      <c r="A240" s="18"/>
      <c r="B240" s="18"/>
      <c r="C240" s="18"/>
      <c r="D240" s="1984"/>
      <c r="E240" s="1986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986"/>
      <c r="AW240" s="1986"/>
    </row>
    <row r="241" spans="1:49" x14ac:dyDescent="0.3">
      <c r="A241" s="18"/>
      <c r="B241" s="18"/>
      <c r="C241" s="18"/>
      <c r="D241" s="1984"/>
      <c r="E241" s="1984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984"/>
      <c r="AW241" s="1984"/>
    </row>
    <row r="242" spans="1:49" x14ac:dyDescent="0.3">
      <c r="A242" s="18"/>
      <c r="B242" s="18"/>
      <c r="C242" s="18"/>
      <c r="D242" s="1979"/>
      <c r="E242" s="1985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987"/>
      <c r="AW242" s="1987"/>
    </row>
    <row r="243" spans="1:49" x14ac:dyDescent="0.3">
      <c r="A243" s="18"/>
      <c r="B243" s="18"/>
      <c r="C243" s="18"/>
      <c r="D243" s="1984"/>
      <c r="E243" s="1986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986"/>
      <c r="AW243" s="1986"/>
    </row>
    <row r="244" spans="1:49" x14ac:dyDescent="0.3">
      <c r="A244" s="18"/>
      <c r="B244" s="18"/>
      <c r="C244" s="18"/>
      <c r="D244" s="1984"/>
      <c r="E244" s="1986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986"/>
      <c r="AW244" s="1986"/>
    </row>
    <row r="245" spans="1:49" x14ac:dyDescent="0.3">
      <c r="A245" s="18"/>
      <c r="B245" s="18"/>
      <c r="C245" s="18"/>
      <c r="D245" s="1984"/>
      <c r="E245" s="1986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986"/>
      <c r="AW245" s="1986"/>
    </row>
    <row r="246" spans="1:49" x14ac:dyDescent="0.3">
      <c r="A246" s="18"/>
      <c r="B246" s="18"/>
      <c r="C246" s="18"/>
      <c r="D246" s="1984"/>
      <c r="E246" s="1986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986"/>
      <c r="AW246" s="1986"/>
    </row>
    <row r="247" spans="1:49" x14ac:dyDescent="0.3">
      <c r="A247" s="18"/>
      <c r="B247" s="18"/>
      <c r="C247" s="18"/>
      <c r="D247" s="1984"/>
      <c r="E247" s="1986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986"/>
      <c r="AW247" s="1986"/>
    </row>
    <row r="248" spans="1:49" x14ac:dyDescent="0.3">
      <c r="A248" s="18"/>
      <c r="B248" s="18"/>
      <c r="C248" s="18"/>
      <c r="D248" s="1984"/>
      <c r="E248" s="1986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986"/>
      <c r="AW248" s="1986"/>
    </row>
    <row r="249" spans="1:49" x14ac:dyDescent="0.3">
      <c r="A249" s="18"/>
      <c r="B249" s="18"/>
      <c r="C249" s="18"/>
      <c r="D249" s="1984"/>
      <c r="E249" s="1984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984"/>
      <c r="AW249" s="1984"/>
    </row>
    <row r="250" spans="1:49" x14ac:dyDescent="0.3">
      <c r="A250" s="18"/>
      <c r="B250" s="18"/>
      <c r="C250" s="18"/>
      <c r="D250" s="1979"/>
      <c r="E250" s="1985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987"/>
      <c r="AW250" s="1987"/>
    </row>
    <row r="251" spans="1:49" x14ac:dyDescent="0.3">
      <c r="A251" s="18"/>
      <c r="B251" s="18"/>
      <c r="C251" s="18"/>
      <c r="D251" s="1984"/>
      <c r="E251" s="1986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986"/>
      <c r="AW251" s="1986"/>
    </row>
    <row r="252" spans="1:49" x14ac:dyDescent="0.3">
      <c r="A252" s="18"/>
      <c r="B252" s="18"/>
      <c r="C252" s="18"/>
      <c r="D252" s="1984"/>
      <c r="E252" s="1986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986"/>
      <c r="AW252" s="1986"/>
    </row>
    <row r="253" spans="1:49" x14ac:dyDescent="0.3">
      <c r="A253" s="18"/>
      <c r="B253" s="18"/>
      <c r="C253" s="18"/>
      <c r="D253" s="1984"/>
      <c r="E253" s="1986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986"/>
      <c r="AW253" s="1986"/>
    </row>
    <row r="254" spans="1:49" x14ac:dyDescent="0.3">
      <c r="A254" s="18"/>
      <c r="B254" s="18"/>
      <c r="C254" s="18"/>
      <c r="D254" s="1984"/>
      <c r="E254" s="1986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986"/>
      <c r="AW254" s="1986"/>
    </row>
    <row r="255" spans="1:49" x14ac:dyDescent="0.3">
      <c r="A255" s="18"/>
      <c r="B255" s="18"/>
      <c r="C255" s="18"/>
      <c r="D255" s="1984"/>
      <c r="E255" s="1986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986"/>
      <c r="AW255" s="1986"/>
    </row>
    <row r="256" spans="1:49" x14ac:dyDescent="0.3">
      <c r="A256" s="18"/>
      <c r="B256" s="18"/>
      <c r="C256" s="18"/>
      <c r="D256" s="1984"/>
      <c r="E256" s="1986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986"/>
      <c r="AW256" s="1986"/>
    </row>
    <row r="257" spans="1:49" x14ac:dyDescent="0.3">
      <c r="A257" s="18"/>
      <c r="B257" s="18"/>
      <c r="C257" s="18"/>
      <c r="D257" s="1984"/>
      <c r="E257" s="1984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984"/>
      <c r="AW257" s="1984"/>
    </row>
    <row r="258" spans="1:49" x14ac:dyDescent="0.3">
      <c r="A258" s="18"/>
      <c r="B258" s="18"/>
      <c r="C258" s="18"/>
      <c r="D258" s="1979"/>
      <c r="E258" s="1985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987"/>
      <c r="AW258" s="1987"/>
    </row>
    <row r="259" spans="1:49" x14ac:dyDescent="0.3">
      <c r="A259" s="18"/>
      <c r="B259" s="18"/>
      <c r="C259" s="18"/>
      <c r="D259" s="1984"/>
      <c r="E259" s="1986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986"/>
      <c r="AW259" s="1986"/>
    </row>
    <row r="260" spans="1:49" x14ac:dyDescent="0.3">
      <c r="A260" s="18"/>
      <c r="B260" s="18"/>
      <c r="C260" s="18"/>
      <c r="D260" s="1984"/>
      <c r="E260" s="1986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986"/>
      <c r="AW260" s="1986"/>
    </row>
    <row r="261" spans="1:49" x14ac:dyDescent="0.3">
      <c r="A261" s="18"/>
      <c r="B261" s="18"/>
      <c r="C261" s="18"/>
      <c r="D261" s="1984"/>
      <c r="E261" s="1986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986"/>
      <c r="AW261" s="1986"/>
    </row>
    <row r="262" spans="1:49" x14ac:dyDescent="0.3">
      <c r="A262" s="18"/>
      <c r="B262" s="18"/>
      <c r="C262" s="18"/>
      <c r="D262" s="1984"/>
      <c r="E262" s="1986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986"/>
      <c r="AW262" s="1986"/>
    </row>
    <row r="263" spans="1:49" x14ac:dyDescent="0.3">
      <c r="A263" s="18"/>
      <c r="B263" s="18"/>
      <c r="C263" s="18"/>
      <c r="D263" s="1984"/>
      <c r="E263" s="1986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986"/>
      <c r="AW263" s="1986"/>
    </row>
    <row r="264" spans="1:49" x14ac:dyDescent="0.3">
      <c r="A264" s="18"/>
      <c r="B264" s="18"/>
      <c r="C264" s="18"/>
      <c r="D264" s="1984"/>
      <c r="E264" s="1986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986"/>
      <c r="AW264" s="1986"/>
    </row>
    <row r="265" spans="1:49" x14ac:dyDescent="0.3">
      <c r="A265" s="18"/>
      <c r="B265" s="18"/>
      <c r="C265" s="18"/>
      <c r="D265" s="1984"/>
      <c r="E265" s="1984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984"/>
      <c r="AW265" s="1984"/>
    </row>
    <row r="266" spans="1:49" x14ac:dyDescent="0.3">
      <c r="A266" s="18"/>
      <c r="B266" s="18"/>
      <c r="C266" s="18"/>
      <c r="D266" s="1979"/>
      <c r="E266" s="1985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987"/>
      <c r="AW266" s="1987"/>
    </row>
    <row r="267" spans="1:49" x14ac:dyDescent="0.3">
      <c r="A267" s="18"/>
      <c r="B267" s="18"/>
      <c r="C267" s="18"/>
      <c r="D267" s="1984"/>
      <c r="E267" s="1986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986"/>
      <c r="AW267" s="1986"/>
    </row>
    <row r="268" spans="1:49" x14ac:dyDescent="0.3">
      <c r="A268" s="18"/>
      <c r="B268" s="18"/>
      <c r="C268" s="18"/>
      <c r="D268" s="1984"/>
      <c r="E268" s="1986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986"/>
      <c r="AW268" s="1986"/>
    </row>
    <row r="269" spans="1:49" x14ac:dyDescent="0.3">
      <c r="A269" s="18"/>
      <c r="B269" s="18"/>
      <c r="C269" s="18"/>
      <c r="D269" s="1984"/>
      <c r="E269" s="1986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986"/>
      <c r="AW269" s="1986"/>
    </row>
    <row r="270" spans="1:49" x14ac:dyDescent="0.3">
      <c r="A270" s="18"/>
      <c r="B270" s="18"/>
      <c r="C270" s="18"/>
      <c r="D270" s="1984"/>
      <c r="E270" s="1986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986"/>
      <c r="AW270" s="1986"/>
    </row>
    <row r="271" spans="1:49" x14ac:dyDescent="0.3">
      <c r="A271" s="18"/>
      <c r="B271" s="18"/>
      <c r="C271" s="18"/>
      <c r="D271" s="1984"/>
      <c r="E271" s="1986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986"/>
      <c r="AW271" s="1986"/>
    </row>
    <row r="272" spans="1:49" x14ac:dyDescent="0.3">
      <c r="A272" s="18"/>
      <c r="B272" s="18"/>
      <c r="C272" s="18"/>
      <c r="D272" s="1984"/>
      <c r="E272" s="1986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986"/>
      <c r="AW272" s="1986"/>
    </row>
    <row r="273" spans="1:49" x14ac:dyDescent="0.3">
      <c r="A273" s="18"/>
      <c r="B273" s="18"/>
      <c r="C273" s="18"/>
      <c r="D273" s="1984"/>
      <c r="E273" s="1984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984"/>
      <c r="AW273" s="1984"/>
    </row>
    <row r="274" spans="1:49" x14ac:dyDescent="0.3">
      <c r="A274" s="18"/>
      <c r="B274" s="18"/>
      <c r="C274" s="18"/>
      <c r="D274" s="1979"/>
      <c r="E274" s="1985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987"/>
      <c r="AW274" s="1987"/>
    </row>
    <row r="275" spans="1:49" x14ac:dyDescent="0.3">
      <c r="A275" s="18"/>
      <c r="B275" s="18"/>
      <c r="C275" s="18"/>
      <c r="D275" s="1984"/>
      <c r="E275" s="1986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986"/>
      <c r="AW275" s="1986"/>
    </row>
    <row r="276" spans="1:49" x14ac:dyDescent="0.3">
      <c r="A276" s="18"/>
      <c r="B276" s="18"/>
      <c r="C276" s="18"/>
      <c r="D276" s="1984"/>
      <c r="E276" s="1986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986"/>
      <c r="AW276" s="1986"/>
    </row>
    <row r="277" spans="1:49" x14ac:dyDescent="0.3">
      <c r="A277" s="18"/>
      <c r="B277" s="18"/>
      <c r="C277" s="18"/>
      <c r="D277" s="1984"/>
      <c r="E277" s="1986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986"/>
      <c r="AW277" s="1986"/>
    </row>
    <row r="278" spans="1:49" x14ac:dyDescent="0.3">
      <c r="A278" s="18"/>
      <c r="B278" s="18"/>
      <c r="C278" s="18"/>
      <c r="D278" s="1984"/>
      <c r="E278" s="1986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986"/>
      <c r="AW278" s="1986"/>
    </row>
    <row r="279" spans="1:49" x14ac:dyDescent="0.3">
      <c r="A279" s="18"/>
      <c r="B279" s="18"/>
      <c r="C279" s="18"/>
      <c r="D279" s="1984"/>
      <c r="E279" s="1986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986"/>
      <c r="AW279" s="1986"/>
    </row>
    <row r="280" spans="1:49" x14ac:dyDescent="0.3">
      <c r="A280" s="18"/>
      <c r="B280" s="18"/>
      <c r="C280" s="18"/>
      <c r="D280" s="1984"/>
      <c r="E280" s="1986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986"/>
      <c r="AW280" s="1986"/>
    </row>
    <row r="281" spans="1:49" x14ac:dyDescent="0.3">
      <c r="A281" s="18"/>
      <c r="B281" s="18"/>
      <c r="C281" s="18"/>
      <c r="D281" s="1984"/>
      <c r="E281" s="1984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984"/>
      <c r="AW281" s="1984"/>
    </row>
    <row r="282" spans="1:49" x14ac:dyDescent="0.3">
      <c r="A282" s="18"/>
      <c r="B282" s="18"/>
      <c r="C282" s="18"/>
      <c r="D282" s="1979"/>
      <c r="E282" s="1985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987"/>
      <c r="AW282" s="1987"/>
    </row>
    <row r="283" spans="1:49" x14ac:dyDescent="0.3">
      <c r="A283" s="18"/>
      <c r="B283" s="18"/>
      <c r="C283" s="18"/>
      <c r="D283" s="1984"/>
      <c r="E283" s="1986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986"/>
      <c r="AW283" s="1986"/>
    </row>
    <row r="284" spans="1:49" x14ac:dyDescent="0.3">
      <c r="A284" s="18"/>
      <c r="B284" s="18"/>
      <c r="C284" s="18"/>
      <c r="D284" s="1984"/>
      <c r="E284" s="1986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986"/>
      <c r="AW284" s="1986"/>
    </row>
    <row r="285" spans="1:49" x14ac:dyDescent="0.3">
      <c r="A285" s="18"/>
      <c r="B285" s="18"/>
      <c r="C285" s="18"/>
      <c r="D285" s="1984"/>
      <c r="E285" s="1986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986"/>
      <c r="AW285" s="1986"/>
    </row>
    <row r="286" spans="1:49" x14ac:dyDescent="0.3">
      <c r="A286" s="18"/>
      <c r="B286" s="18"/>
      <c r="C286" s="18"/>
      <c r="D286" s="1984"/>
      <c r="E286" s="1986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986"/>
      <c r="AW286" s="1986"/>
    </row>
    <row r="287" spans="1:49" x14ac:dyDescent="0.3">
      <c r="A287" s="18"/>
      <c r="B287" s="18"/>
      <c r="C287" s="18"/>
      <c r="D287" s="1984"/>
      <c r="E287" s="1986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986"/>
      <c r="AW287" s="1986"/>
    </row>
    <row r="288" spans="1:49" x14ac:dyDescent="0.3">
      <c r="A288" s="18"/>
      <c r="B288" s="18"/>
      <c r="C288" s="18"/>
      <c r="D288" s="1984"/>
      <c r="E288" s="1986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986"/>
      <c r="AW288" s="1986"/>
    </row>
    <row r="289" spans="1:49" x14ac:dyDescent="0.3">
      <c r="A289" s="18"/>
      <c r="B289" s="18"/>
      <c r="C289" s="18"/>
      <c r="D289" s="1984"/>
      <c r="E289" s="1984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984"/>
      <c r="AW289" s="1984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2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2001" t="s">
        <v>71</v>
      </c>
      <c r="E1" s="2001"/>
      <c r="F1" s="2001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4.3935485154156542</v>
      </c>
    </row>
  </sheetData>
  <mergeCells count="1">
    <mergeCell ref="D1:F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W1" zoomScale="69" zoomScaleNormal="80" workbookViewId="0">
      <pane ySplit="4" topLeftCell="A5" activePane="bottomLeft" state="frozen"/>
      <selection pane="bottomLeft" activeCell="AV22" sqref="AU22:AV2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580" t="s">
        <v>585</v>
      </c>
      <c r="I2" s="1580"/>
      <c r="J2" s="1580"/>
      <c r="K2" s="1580"/>
      <c r="O2" s="1">
        <f>720+180</f>
        <v>900</v>
      </c>
    </row>
    <row r="4" spans="1:33" ht="29.4" thickBot="1" x14ac:dyDescent="0.35">
      <c r="A4" s="585" t="s">
        <v>542</v>
      </c>
      <c r="B4" s="1671" t="s">
        <v>0</v>
      </c>
      <c r="C4" s="1673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2045">
        <v>1</v>
      </c>
      <c r="B5" s="1554">
        <v>46265</v>
      </c>
      <c r="C5" s="1555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2004">
        <f>SUM(M5:M6)</f>
        <v>74.069659139999999</v>
      </c>
      <c r="O5" s="461">
        <f t="shared" ref="O5:O11" si="1">M5/((720-R5)/60)</f>
        <v>2.8865657961661344</v>
      </c>
      <c r="P5" s="1563">
        <f>'Milling Down Time Hours'!Q5</f>
        <v>22.433333333333334</v>
      </c>
      <c r="Q5" s="483"/>
      <c r="R5" s="466">
        <f>'Milling Down Time Hours'!P5</f>
        <v>94</v>
      </c>
      <c r="S5" s="2004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2045"/>
      <c r="B6" s="1556"/>
      <c r="C6" s="1557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2005"/>
      <c r="O6" s="461">
        <f t="shared" si="1"/>
        <v>3.6627629999999995</v>
      </c>
      <c r="P6" s="2024"/>
      <c r="Q6" s="524"/>
      <c r="R6" s="466">
        <v>0</v>
      </c>
      <c r="S6" s="2008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2045"/>
      <c r="B7" s="1554">
        <v>46266</v>
      </c>
      <c r="C7" s="1555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2004">
        <f>SUM(M7:M8)</f>
        <v>218.24394086000001</v>
      </c>
      <c r="O7" s="461">
        <f t="shared" si="1"/>
        <v>8.6932442900719415</v>
      </c>
      <c r="P7" s="2022">
        <f>'Milling Down Time Hours'!Q6</f>
        <v>22.9</v>
      </c>
      <c r="Q7" s="504"/>
      <c r="R7" s="466">
        <v>25</v>
      </c>
      <c r="S7" s="2008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2045"/>
      <c r="B8" s="1556"/>
      <c r="C8" s="1557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2005"/>
      <c r="O8" s="461">
        <f t="shared" si="1"/>
        <v>10.387086406480119</v>
      </c>
      <c r="P8" s="2023"/>
      <c r="Q8" s="504"/>
      <c r="R8" s="466">
        <v>41</v>
      </c>
      <c r="S8" s="2005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2046">
        <v>2</v>
      </c>
      <c r="B9" s="1547">
        <v>46267</v>
      </c>
      <c r="C9" s="1548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2013">
        <f>SUM(M9:M10)</f>
        <v>209.804</v>
      </c>
      <c r="O9" s="477">
        <f t="shared" si="1"/>
        <v>10.565099999999999</v>
      </c>
      <c r="P9" s="2006">
        <f>'Milling Down Time Hours'!Q7</f>
        <v>22</v>
      </c>
      <c r="Q9" s="492"/>
      <c r="R9" s="471">
        <f>'Milling Down Time Hours'!P7</f>
        <v>120.00000000000001</v>
      </c>
      <c r="S9" s="2013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2046"/>
      <c r="B10" s="1549"/>
      <c r="C10" s="1550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2015"/>
      <c r="O10" s="477">
        <f t="shared" si="1"/>
        <v>8.6794166666666666</v>
      </c>
      <c r="P10" s="2007"/>
      <c r="Q10" s="492"/>
      <c r="R10" s="471">
        <v>0</v>
      </c>
      <c r="S10" s="2014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2046"/>
      <c r="B11" s="1547">
        <v>46268</v>
      </c>
      <c r="C11" s="1548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2013">
        <f>SUM(M11:M12)</f>
        <v>90.338150000000013</v>
      </c>
      <c r="O11" s="477">
        <f t="shared" si="1"/>
        <v>8.2125590909090924</v>
      </c>
      <c r="P11" s="2016">
        <f>'Milling Down Time Hours'!Q8</f>
        <v>23</v>
      </c>
      <c r="Q11" s="529"/>
      <c r="R11" s="492">
        <v>60</v>
      </c>
      <c r="S11" s="2014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2046"/>
      <c r="B12" s="1549"/>
      <c r="C12" s="1550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2015"/>
      <c r="O12" s="477"/>
      <c r="P12" s="2017"/>
      <c r="Q12" s="531"/>
      <c r="R12" s="490">
        <v>720</v>
      </c>
      <c r="S12" s="1562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2046"/>
      <c r="B13" s="1547">
        <v>46269</v>
      </c>
      <c r="C13" s="1548"/>
      <c r="D13" s="2025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2006">
        <f>'Milling Down Time Hours'!Q9</f>
        <v>0</v>
      </c>
      <c r="Q13" s="514"/>
      <c r="R13" s="2006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2046"/>
      <c r="B14" s="2002"/>
      <c r="C14" s="2003"/>
      <c r="D14" s="2026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2018"/>
      <c r="Q14" s="492"/>
      <c r="R14" s="2019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2011">
        <v>46270</v>
      </c>
      <c r="C15" s="2012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2047">
        <v>3</v>
      </c>
      <c r="B16" s="1568">
        <v>46270</v>
      </c>
      <c r="C16" s="1568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63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2047"/>
      <c r="B17" s="1568">
        <v>46271</v>
      </c>
      <c r="C17" s="1568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2027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64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2047"/>
      <c r="B18" s="1568"/>
      <c r="C18" s="1568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2027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64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2047"/>
      <c r="B19" s="1556">
        <v>46272</v>
      </c>
      <c r="C19" s="1557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2028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65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2046">
        <v>4</v>
      </c>
      <c r="B20" s="2009">
        <v>46272</v>
      </c>
      <c r="C20" s="2010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65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545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2046"/>
      <c r="B21" s="1547">
        <v>46273</v>
      </c>
      <c r="C21" s="1548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2013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545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2046"/>
      <c r="B22" s="1549"/>
      <c r="C22" s="1550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2029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545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2046"/>
      <c r="B23" s="1547">
        <v>46274</v>
      </c>
      <c r="C23" s="1548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545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526">
        <v>46274</v>
      </c>
      <c r="C24" s="1527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2045">
        <v>5</v>
      </c>
      <c r="B25" s="1554">
        <v>46275</v>
      </c>
      <c r="C25" s="1555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540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540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customHeight="1" thickBot="1" x14ac:dyDescent="0.35">
      <c r="A26" s="2045"/>
      <c r="B26" s="1556"/>
      <c r="C26" s="1557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541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540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2045"/>
      <c r="B27" s="1554">
        <v>46276</v>
      </c>
      <c r="C27" s="1555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63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540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749">
        <v>46276</v>
      </c>
      <c r="C28" s="1749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2008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46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2046">
        <v>6</v>
      </c>
      <c r="B29" s="2002">
        <v>46276</v>
      </c>
      <c r="C29" s="2003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2014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2046"/>
      <c r="B30" s="1547">
        <v>46277</v>
      </c>
      <c r="C30" s="1548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2013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2014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2046"/>
      <c r="B31" s="1549"/>
      <c r="C31" s="1550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2015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62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511">
        <v>46278</v>
      </c>
      <c r="C32" s="1512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24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526"/>
      <c r="C33" s="1527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25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54">
        <v>46279</v>
      </c>
      <c r="C34" s="1555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2004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56"/>
      <c r="C35" s="1557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2005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54">
        <v>46280</v>
      </c>
      <c r="C36" s="1555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56"/>
      <c r="C37" s="1557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54">
        <v>46281</v>
      </c>
      <c r="C38" s="1555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56"/>
      <c r="C39" s="1557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2030"/>
      <c r="U39" s="2030"/>
      <c r="V39" s="2032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511">
        <v>46282</v>
      </c>
      <c r="C40" s="1512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2031"/>
      <c r="U40" s="2031"/>
      <c r="V40" s="2033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526"/>
      <c r="C41" s="1527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511">
        <v>46283</v>
      </c>
      <c r="C42" s="1512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526"/>
      <c r="C43" s="1527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511">
        <v>46284</v>
      </c>
      <c r="C44" s="1512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526"/>
      <c r="C45" s="1527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511">
        <v>46285</v>
      </c>
      <c r="C46" s="1512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526"/>
      <c r="C47" s="1527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2034"/>
      <c r="U47" s="2034"/>
      <c r="V47" s="2020"/>
      <c r="W47" s="159"/>
      <c r="X47" s="154"/>
      <c r="Y47" s="154"/>
    </row>
    <row r="48" spans="1:32" ht="15" thickBot="1" x14ac:dyDescent="0.35">
      <c r="B48" s="1511">
        <v>46286</v>
      </c>
      <c r="C48" s="1512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2035"/>
      <c r="U48" s="2035"/>
      <c r="V48" s="2021"/>
      <c r="W48" s="159"/>
      <c r="X48" s="154"/>
      <c r="Y48" s="154"/>
    </row>
    <row r="49" spans="2:28" ht="15" thickBot="1" x14ac:dyDescent="0.35">
      <c r="B49" s="1526"/>
      <c r="C49" s="1527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19.666666666666668</v>
      </c>
      <c r="Q49" s="39"/>
      <c r="R49" s="39">
        <f>'Milling Down Time Hours'!P55</f>
        <v>260.00000000000006</v>
      </c>
      <c r="S49" s="13"/>
      <c r="T49" s="2034"/>
      <c r="U49" s="2034"/>
      <c r="V49" s="2020"/>
      <c r="W49" s="159"/>
      <c r="X49" s="154"/>
      <c r="Y49" s="154"/>
    </row>
    <row r="50" spans="2:28" ht="15" thickBot="1" x14ac:dyDescent="0.35">
      <c r="B50" s="1511">
        <v>46287</v>
      </c>
      <c r="C50" s="1512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2035"/>
      <c r="U50" s="2035"/>
      <c r="V50" s="2021"/>
      <c r="W50" s="159"/>
      <c r="X50" s="154"/>
      <c r="Y50" s="154"/>
    </row>
    <row r="51" spans="2:28" ht="15" thickBot="1" x14ac:dyDescent="0.35">
      <c r="B51" s="1526"/>
      <c r="C51" s="1527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22.666666666666668</v>
      </c>
      <c r="Q51" s="39"/>
      <c r="R51" s="39">
        <f>'Milling Down Time Hours'!P57</f>
        <v>80.000000000000028</v>
      </c>
      <c r="S51" s="13"/>
      <c r="T51" s="2034"/>
      <c r="U51" s="2034"/>
      <c r="V51" s="2020"/>
      <c r="W51" s="159"/>
      <c r="X51" s="154"/>
      <c r="Y51" s="154"/>
    </row>
    <row r="52" spans="2:28" ht="15" thickBot="1" x14ac:dyDescent="0.35">
      <c r="B52" s="1511">
        <v>46288</v>
      </c>
      <c r="C52" s="1512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2035"/>
      <c r="U52" s="2035"/>
      <c r="V52" s="2021"/>
      <c r="W52" s="159"/>
      <c r="X52" s="154"/>
      <c r="Y52" s="154"/>
    </row>
    <row r="53" spans="2:28" ht="15" thickBot="1" x14ac:dyDescent="0.35">
      <c r="B53" s="1526"/>
      <c r="C53" s="1527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2034"/>
      <c r="U53" s="2034"/>
      <c r="V53" s="2020"/>
      <c r="W53" s="159"/>
      <c r="X53" s="154"/>
      <c r="Y53" s="154"/>
    </row>
    <row r="54" spans="2:28" ht="15" thickBot="1" x14ac:dyDescent="0.35">
      <c r="B54" s="1511">
        <v>46289</v>
      </c>
      <c r="C54" s="1512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2035"/>
      <c r="U54" s="2035"/>
      <c r="V54" s="2021"/>
      <c r="W54" s="159"/>
      <c r="X54" s="154"/>
      <c r="Y54" s="154"/>
      <c r="AB54" s="1">
        <v>9570</v>
      </c>
    </row>
    <row r="55" spans="2:28" ht="15" thickBot="1" x14ac:dyDescent="0.35">
      <c r="B55" s="1526"/>
      <c r="C55" s="1527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2034"/>
      <c r="U55" s="2034"/>
      <c r="V55" s="2020"/>
      <c r="W55" s="159"/>
      <c r="X55" s="154"/>
      <c r="Y55" s="154"/>
      <c r="AB55" s="1">
        <v>8795</v>
      </c>
    </row>
    <row r="56" spans="2:28" ht="15" thickBot="1" x14ac:dyDescent="0.35">
      <c r="B56" s="1511">
        <v>46290</v>
      </c>
      <c r="C56" s="1512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2035"/>
      <c r="U56" s="2035"/>
      <c r="V56" s="2021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526"/>
      <c r="C57" s="1527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2034"/>
      <c r="U57" s="2034"/>
      <c r="V57" s="2020"/>
      <c r="W57" s="159"/>
      <c r="X57" s="154"/>
      <c r="Y57" s="154"/>
    </row>
    <row r="58" spans="2:28" ht="15" thickBot="1" x14ac:dyDescent="0.35">
      <c r="B58" s="1511">
        <v>46291</v>
      </c>
      <c r="C58" s="1512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2035"/>
      <c r="U58" s="2035"/>
      <c r="V58" s="2021"/>
      <c r="W58" s="159"/>
      <c r="X58" s="154"/>
      <c r="Y58" s="154"/>
    </row>
    <row r="59" spans="2:28" ht="15" thickBot="1" x14ac:dyDescent="0.35">
      <c r="B59" s="1526"/>
      <c r="C59" s="1527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2034"/>
      <c r="U59" s="2034"/>
      <c r="V59" s="2020"/>
      <c r="W59" s="159"/>
      <c r="X59" s="154"/>
      <c r="Y59" s="154"/>
    </row>
    <row r="60" spans="2:28" ht="15" thickBot="1" x14ac:dyDescent="0.35">
      <c r="B60" s="1511">
        <v>46292</v>
      </c>
      <c r="C60" s="1512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2035"/>
      <c r="U60" s="2035"/>
      <c r="V60" s="2021"/>
      <c r="W60" s="159"/>
      <c r="X60" s="154"/>
      <c r="Y60" s="154"/>
    </row>
    <row r="61" spans="2:28" ht="15" thickBot="1" x14ac:dyDescent="0.35">
      <c r="B61" s="1526"/>
      <c r="C61" s="1527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2034"/>
      <c r="U61" s="2034"/>
      <c r="V61" s="2020"/>
      <c r="W61" s="159"/>
      <c r="X61" s="154"/>
      <c r="Y61" s="154"/>
    </row>
    <row r="62" spans="2:28" ht="15" thickBot="1" x14ac:dyDescent="0.35">
      <c r="B62" s="1511">
        <v>46293</v>
      </c>
      <c r="C62" s="1512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2035"/>
      <c r="U62" s="2035"/>
      <c r="V62" s="2021"/>
      <c r="W62" s="159"/>
      <c r="X62" s="154"/>
      <c r="Y62" s="154"/>
    </row>
    <row r="63" spans="2:28" ht="15" thickBot="1" x14ac:dyDescent="0.35">
      <c r="B63" s="1526"/>
      <c r="C63" s="1527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2036"/>
      <c r="U63" s="2036"/>
      <c r="V63" s="2038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511">
        <v>46294</v>
      </c>
      <c r="C64" s="1512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2037"/>
      <c r="U64" s="2037"/>
      <c r="V64" s="2039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526"/>
      <c r="C65" s="1527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2036"/>
      <c r="U65" s="2036"/>
      <c r="V65" s="2040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511">
        <v>46295</v>
      </c>
      <c r="C66" s="1512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2037"/>
      <c r="U66" s="2037"/>
      <c r="V66" s="2041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526"/>
      <c r="C67" s="1527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2036"/>
      <c r="U67" s="2036"/>
      <c r="V67" s="2040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511">
        <v>46296</v>
      </c>
      <c r="C68" s="1512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2037"/>
      <c r="U68" s="2037"/>
      <c r="V68" s="2041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526"/>
      <c r="C69" s="1527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2036"/>
      <c r="U69" s="2036"/>
      <c r="V69" s="2038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511">
        <v>46297</v>
      </c>
      <c r="C70" s="1512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2037"/>
      <c r="U70" s="2037"/>
      <c r="V70" s="2039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526"/>
      <c r="C71" s="1527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2036"/>
      <c r="U71" s="2036"/>
      <c r="V71" s="2038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511">
        <v>46298</v>
      </c>
      <c r="C72" s="1512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2037"/>
      <c r="U72" s="2037"/>
      <c r="V72" s="2039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526"/>
      <c r="C73" s="1527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2036"/>
      <c r="U73" s="2036"/>
      <c r="V73" s="2038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511">
        <v>46299</v>
      </c>
      <c r="C74" s="1512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2037"/>
      <c r="U74" s="2037"/>
      <c r="V74" s="2039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526"/>
      <c r="C75" s="1527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2034"/>
      <c r="U75" s="2034"/>
      <c r="V75" s="2020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511">
        <v>46300</v>
      </c>
      <c r="C76" s="1512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2035"/>
      <c r="U76" s="2035"/>
      <c r="V76" s="2021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526"/>
      <c r="C77" s="1527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2036"/>
      <c r="U77" s="2036"/>
      <c r="V77" s="2038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511">
        <v>46301</v>
      </c>
      <c r="C78" s="1512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2037"/>
      <c r="U78" s="2037"/>
      <c r="V78" s="2039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90"/>
      <c r="C79" s="1591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2044">
        <f>'Milling Down Time Hours'!Q43</f>
        <v>23.5</v>
      </c>
      <c r="Q79" s="39"/>
      <c r="R79" s="2044">
        <f>'Milling Down Time Hours'!L85</f>
        <v>0.8965277777777777</v>
      </c>
      <c r="S79" s="13"/>
      <c r="T79" s="2036">
        <v>0.35699999999999998</v>
      </c>
      <c r="U79" s="2036">
        <v>1.056</v>
      </c>
      <c r="V79" s="2038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90"/>
      <c r="C80" s="1591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2044"/>
      <c r="Q80" s="39"/>
      <c r="R80" s="2044"/>
      <c r="S80" s="13"/>
      <c r="T80" s="2037"/>
      <c r="U80" s="2037"/>
      <c r="V80" s="2039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90"/>
      <c r="C81" s="1591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2044">
        <f>'Milling Down Time Hours'!M87</f>
        <v>0</v>
      </c>
      <c r="Q81" s="39"/>
      <c r="R81" s="2044">
        <f>'Milling Down Time Hours'!L87</f>
        <v>0.7090277777777777</v>
      </c>
      <c r="S81" s="13"/>
      <c r="T81" s="2034" t="e">
        <f>SUM(#REF!)</f>
        <v>#REF!</v>
      </c>
      <c r="U81" s="2034" t="e">
        <f t="shared" ref="U81" si="26">SUM(T81:T83)</f>
        <v>#REF!</v>
      </c>
      <c r="V81" s="2020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90"/>
      <c r="C82" s="1591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2044"/>
      <c r="Q82" s="39"/>
      <c r="R82" s="2044"/>
      <c r="S82" s="13"/>
      <c r="T82" s="2035"/>
      <c r="U82" s="2035"/>
      <c r="V82" s="2021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90"/>
      <c r="C83" s="1591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2044">
        <f>'Milling Down Time Hours'!M89</f>
        <v>0</v>
      </c>
      <c r="Q83" s="39"/>
      <c r="R83" s="2044">
        <f>'Milling Down Time Hours'!L89</f>
        <v>1</v>
      </c>
      <c r="S83" s="13"/>
      <c r="T83" s="2034" t="e">
        <f>SUM(#REF!)</f>
        <v>#REF!</v>
      </c>
      <c r="U83" s="2034" t="e">
        <f t="shared" ref="U83" si="28">SUM(T83:T85)</f>
        <v>#REF!</v>
      </c>
      <c r="V83" s="2020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90"/>
      <c r="C84" s="1591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2044"/>
      <c r="Q84" s="39"/>
      <c r="R84" s="2044"/>
      <c r="S84" s="13"/>
      <c r="T84" s="2035"/>
      <c r="U84" s="2035"/>
      <c r="V84" s="2021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90"/>
      <c r="C85" s="1591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2044">
        <f>'Milling Down Time Hours'!M91</f>
        <v>0</v>
      </c>
      <c r="Q85" s="39"/>
      <c r="R85" s="2044">
        <f>'Milling Down Time Hours'!L91</f>
        <v>0.73611111111111116</v>
      </c>
      <c r="S85" s="13"/>
      <c r="T85" s="2034" t="e">
        <f>SUM(#REF!)</f>
        <v>#REF!</v>
      </c>
      <c r="U85" s="2034" t="e">
        <f t="shared" ref="U85" si="30">SUM(T85:T87)</f>
        <v>#REF!</v>
      </c>
      <c r="V85" s="2020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90"/>
      <c r="C86" s="1591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2044"/>
      <c r="Q86" s="39"/>
      <c r="R86" s="2044"/>
      <c r="S86" s="13"/>
      <c r="T86" s="2035"/>
      <c r="U86" s="2035"/>
      <c r="V86" s="2021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90"/>
      <c r="C87" s="1591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2044">
        <f>'Milling Down Time Hours'!M93</f>
        <v>0</v>
      </c>
      <c r="Q87" s="39"/>
      <c r="R87" s="2044">
        <f>'Milling Down Time Hours'!L93</f>
        <v>1</v>
      </c>
      <c r="S87" s="13"/>
      <c r="T87" s="2034" t="e">
        <f>SUM(#REF!)</f>
        <v>#REF!</v>
      </c>
      <c r="U87" s="2034" t="e">
        <f t="shared" ref="U87" si="32">SUM(T87:T89)</f>
        <v>#REF!</v>
      </c>
      <c r="V87" s="2020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90"/>
      <c r="C88" s="1591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2044"/>
      <c r="Q88" s="39"/>
      <c r="R88" s="2044"/>
      <c r="S88" s="13"/>
      <c r="T88" s="2035"/>
      <c r="U88" s="2035"/>
      <c r="V88" s="2021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90"/>
      <c r="C89" s="1591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2044">
        <f>'Milling Down Time Hours'!M95</f>
        <v>0</v>
      </c>
      <c r="Q89" s="39"/>
      <c r="R89" s="2044">
        <f>'Milling Down Time Hours'!L95</f>
        <v>1</v>
      </c>
      <c r="S89" s="13"/>
      <c r="T89" s="2034" t="e">
        <f>SUM(#REF!)</f>
        <v>#REF!</v>
      </c>
      <c r="U89" s="2034" t="e">
        <f t="shared" ref="U89" si="34">SUM(T89:T91)</f>
        <v>#REF!</v>
      </c>
      <c r="V89" s="2020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90"/>
      <c r="C90" s="1591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2044"/>
      <c r="Q90" s="39"/>
      <c r="R90" s="2044"/>
      <c r="S90" s="13"/>
      <c r="T90" s="2035"/>
      <c r="U90" s="2035"/>
      <c r="V90" s="2021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90"/>
      <c r="C91" s="1591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2044">
        <f>'Milling Down Time Hours'!M97</f>
        <v>0</v>
      </c>
      <c r="Q91" s="39"/>
      <c r="R91" s="2044">
        <f>'Milling Down Time Hours'!L97</f>
        <v>1</v>
      </c>
      <c r="S91" s="13"/>
      <c r="T91" s="2034" t="e">
        <f>SUM(#REF!)</f>
        <v>#REF!</v>
      </c>
      <c r="U91" s="2034" t="e">
        <f t="shared" ref="U91" si="36">SUM(T91:T93)</f>
        <v>#REF!</v>
      </c>
      <c r="V91" s="2020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90"/>
      <c r="C92" s="1591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2044"/>
      <c r="Q92" s="39"/>
      <c r="R92" s="2044"/>
      <c r="S92" s="13"/>
      <c r="T92" s="2035"/>
      <c r="U92" s="2035"/>
      <c r="V92" s="2021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90"/>
      <c r="C93" s="1591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2044">
        <f>'Milling Down Time Hours'!M99</f>
        <v>0</v>
      </c>
      <c r="Q93" s="39"/>
      <c r="R93" s="2044">
        <f>'Milling Down Time Hours'!L99</f>
        <v>1</v>
      </c>
      <c r="S93" s="13"/>
      <c r="T93" s="2034" t="e">
        <f>SUM(#REF!)</f>
        <v>#REF!</v>
      </c>
      <c r="U93" s="2034" t="e">
        <f t="shared" ref="U93" si="38">SUM(T93:T95)</f>
        <v>#REF!</v>
      </c>
      <c r="V93" s="2020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90"/>
      <c r="C94" s="1591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2044"/>
      <c r="Q94" s="39"/>
      <c r="R94" s="2044"/>
      <c r="S94" s="13"/>
      <c r="T94" s="2035"/>
      <c r="U94" s="2035"/>
      <c r="V94" s="2021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90"/>
      <c r="C95" s="1591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2044">
        <f>'Milling Down Time Hours'!M101</f>
        <v>0</v>
      </c>
      <c r="Q95" s="39"/>
      <c r="R95" s="2044">
        <f>'Milling Down Time Hours'!L101</f>
        <v>0.67013888888888884</v>
      </c>
      <c r="S95" s="13"/>
      <c r="T95" s="2034" t="e">
        <f>SUM(#REF!)</f>
        <v>#REF!</v>
      </c>
      <c r="U95" s="2034" t="e">
        <f>SUM(T95:T99)</f>
        <v>#REF!</v>
      </c>
      <c r="V95" s="2020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90"/>
      <c r="C96" s="1591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2044"/>
      <c r="Q96" s="39"/>
      <c r="R96" s="2044"/>
      <c r="S96" s="95"/>
      <c r="T96" s="2043"/>
      <c r="U96" s="2043"/>
      <c r="V96" s="2042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526"/>
      <c r="C97" s="1527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Hours'!Q91</f>
        <v>873.18333333333305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95229-1967-4BA0-9021-448907CE97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EW&amp;ELUTION</vt:lpstr>
      <vt:lpstr>DAILY SAMPLING MET TECH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2026-10-31T12:14:53Z</dcterms:modified>
</cp:coreProperties>
</file>