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7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0F38599F-EE61-4E98-AEE7-E427D254BD1C}" xr6:coauthVersionLast="47" xr6:coauthVersionMax="47" xr10:uidLastSave="{00000000-0000-0000-0000-000000000000}"/>
  <bookViews>
    <workbookView xWindow="-108" yWindow="-108" windowWidth="23256" windowHeight="12456" firstSheet="7" activeTab="7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T Ball Mill" sheetId="17" r:id="rId7"/>
    <sheet name="Milling Down Time Hours" sheetId="5" r:id="rId8"/>
    <sheet name="LT Floculation" sheetId="15" r:id="rId9"/>
    <sheet name="Filter Press" sheetId="20" r:id="rId10"/>
    <sheet name="Milling and Leach Feed" sheetId="21" r:id="rId11"/>
    <sheet name="Rom File Inventory" sheetId="12" r:id="rId12"/>
    <sheet name="Stock File Management" sheetId="23" r:id="rId13"/>
    <sheet name="Filter Press Down Time Hours " sheetId="14" r:id="rId14"/>
    <sheet name="Au Cal Leaching Tank" sheetId="13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Inventory'!$AD$1:$AD$127</definedName>
    <definedName name="_xlchart.v1.1" hidden="1">'Rom File Inventory'!$AE$1:$AE$127</definedName>
    <definedName name="_xlnm.Print_Area" localSheetId="3">Crushing!$A$1:$AA$124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7" i="15" l="1"/>
  <c r="I17" i="15"/>
  <c r="G17" i="15"/>
  <c r="AD11" i="2" l="1"/>
  <c r="AD8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O62" i="2"/>
  <c r="P62" i="2"/>
  <c r="Q62" i="2"/>
  <c r="R62" i="2"/>
  <c r="S62" i="2"/>
  <c r="T62" i="2"/>
  <c r="V62" i="2"/>
  <c r="N115" i="1"/>
  <c r="N112" i="1"/>
  <c r="I112" i="1"/>
  <c r="K112" i="1" s="1"/>
  <c r="M112" i="1" s="1"/>
  <c r="I111" i="1"/>
  <c r="K111" i="1"/>
  <c r="M111" i="1" s="1"/>
  <c r="L111" i="1"/>
  <c r="I110" i="1"/>
  <c r="K110" i="1"/>
  <c r="L110" i="1"/>
  <c r="N110" i="1" s="1"/>
  <c r="M110" i="1"/>
  <c r="P38" i="5"/>
  <c r="P37" i="5"/>
  <c r="P36" i="5"/>
  <c r="P35" i="5"/>
  <c r="P34" i="5"/>
  <c r="P33" i="5"/>
  <c r="T107" i="21"/>
  <c r="S107" i="21"/>
  <c r="R107" i="21"/>
  <c r="Q107" i="21"/>
  <c r="P107" i="21"/>
  <c r="O107" i="21"/>
  <c r="M107" i="21"/>
  <c r="M104" i="21"/>
  <c r="W104" i="21"/>
  <c r="X104" i="21"/>
  <c r="Y104" i="21"/>
  <c r="M106" i="21"/>
  <c r="W106" i="21" s="1"/>
  <c r="X106" i="21"/>
  <c r="Y106" i="21"/>
  <c r="J76" i="21"/>
  <c r="J75" i="21"/>
  <c r="H75" i="21" s="1"/>
  <c r="R76" i="21"/>
  <c r="P76" i="21" s="1"/>
  <c r="R75" i="21"/>
  <c r="Q75" i="21" s="1"/>
  <c r="G77" i="5"/>
  <c r="J77" i="5"/>
  <c r="K77" i="5" s="1"/>
  <c r="G78" i="5"/>
  <c r="J78" i="5" s="1"/>
  <c r="K78" i="5" s="1"/>
  <c r="G79" i="5"/>
  <c r="J79" i="5" s="1"/>
  <c r="K79" i="5" s="1"/>
  <c r="G80" i="5"/>
  <c r="J80" i="5"/>
  <c r="K80" i="5"/>
  <c r="G81" i="5"/>
  <c r="J81" i="5"/>
  <c r="K81" i="5"/>
  <c r="G82" i="5"/>
  <c r="J82" i="5" s="1"/>
  <c r="K82" i="5" s="1"/>
  <c r="G83" i="5"/>
  <c r="J83" i="5"/>
  <c r="K83" i="5" s="1"/>
  <c r="G84" i="5"/>
  <c r="J84" i="5"/>
  <c r="K84" i="5"/>
  <c r="G85" i="5"/>
  <c r="J85" i="5"/>
  <c r="K85" i="5"/>
  <c r="G86" i="5"/>
  <c r="J86" i="5"/>
  <c r="K86" i="5"/>
  <c r="G87" i="5"/>
  <c r="J87" i="5"/>
  <c r="K87" i="5" s="1"/>
  <c r="G88" i="5"/>
  <c r="J88" i="5" s="1"/>
  <c r="K88" i="5" s="1"/>
  <c r="G89" i="5"/>
  <c r="J89" i="5"/>
  <c r="K89" i="5"/>
  <c r="G90" i="5"/>
  <c r="J90" i="5"/>
  <c r="K90" i="5"/>
  <c r="G91" i="5"/>
  <c r="J91" i="5"/>
  <c r="K91" i="5"/>
  <c r="G92" i="5"/>
  <c r="J92" i="5"/>
  <c r="K92" i="5"/>
  <c r="G93" i="5"/>
  <c r="J93" i="5"/>
  <c r="K93" i="5" s="1"/>
  <c r="G94" i="5"/>
  <c r="J94" i="5" s="1"/>
  <c r="K94" i="5" s="1"/>
  <c r="G95" i="5"/>
  <c r="J95" i="5"/>
  <c r="K95" i="5"/>
  <c r="G96" i="5"/>
  <c r="J96" i="5"/>
  <c r="K96" i="5"/>
  <c r="G97" i="5"/>
  <c r="J97" i="5"/>
  <c r="K97" i="5"/>
  <c r="G98" i="5"/>
  <c r="J98" i="5" s="1"/>
  <c r="K98" i="5" s="1"/>
  <c r="G99" i="5"/>
  <c r="J99" i="5"/>
  <c r="K99" i="5" s="1"/>
  <c r="G100" i="5"/>
  <c r="J100" i="5"/>
  <c r="K100" i="5"/>
  <c r="G101" i="5"/>
  <c r="J101" i="5"/>
  <c r="K101" i="5"/>
  <c r="G102" i="5"/>
  <c r="J102" i="5"/>
  <c r="K102" i="5"/>
  <c r="G103" i="5"/>
  <c r="J103" i="5"/>
  <c r="K103" i="5" s="1"/>
  <c r="G104" i="5"/>
  <c r="J104" i="5" s="1"/>
  <c r="K104" i="5" s="1"/>
  <c r="G105" i="5"/>
  <c r="J105" i="5"/>
  <c r="K105" i="5"/>
  <c r="G106" i="5"/>
  <c r="J106" i="5"/>
  <c r="K106" i="5"/>
  <c r="G107" i="5"/>
  <c r="J107" i="5"/>
  <c r="K107" i="5"/>
  <c r="G108" i="5"/>
  <c r="J108" i="5"/>
  <c r="K108" i="5"/>
  <c r="G109" i="5"/>
  <c r="J109" i="5"/>
  <c r="K109" i="5" s="1"/>
  <c r="G110" i="5"/>
  <c r="J110" i="5" s="1"/>
  <c r="K110" i="5" s="1"/>
  <c r="G111" i="5"/>
  <c r="J111" i="5"/>
  <c r="K111" i="5"/>
  <c r="G112" i="5"/>
  <c r="J112" i="5"/>
  <c r="K112" i="5"/>
  <c r="G113" i="5"/>
  <c r="J113" i="5"/>
  <c r="K113" i="5"/>
  <c r="G114" i="5"/>
  <c r="J114" i="5" s="1"/>
  <c r="K114" i="5" s="1"/>
  <c r="G115" i="5"/>
  <c r="J115" i="5"/>
  <c r="K115" i="5" s="1"/>
  <c r="G116" i="5"/>
  <c r="J116" i="5"/>
  <c r="K116" i="5"/>
  <c r="G117" i="5"/>
  <c r="J117" i="5"/>
  <c r="K117" i="5"/>
  <c r="G118" i="5"/>
  <c r="J118" i="5"/>
  <c r="K118" i="5"/>
  <c r="G119" i="5"/>
  <c r="J119" i="5"/>
  <c r="K119" i="5" s="1"/>
  <c r="G120" i="5"/>
  <c r="J120" i="5" s="1"/>
  <c r="K120" i="5" s="1"/>
  <c r="G121" i="5"/>
  <c r="J121" i="5"/>
  <c r="K121" i="5"/>
  <c r="G122" i="5"/>
  <c r="J122" i="5"/>
  <c r="K122" i="5"/>
  <c r="G123" i="5"/>
  <c r="J123" i="5"/>
  <c r="K123" i="5"/>
  <c r="G124" i="5"/>
  <c r="J124" i="5"/>
  <c r="K124" i="5"/>
  <c r="G125" i="5"/>
  <c r="J125" i="5"/>
  <c r="K125" i="5" s="1"/>
  <c r="G126" i="5"/>
  <c r="J126" i="5" s="1"/>
  <c r="K126" i="5" s="1"/>
  <c r="G127" i="5"/>
  <c r="J127" i="5"/>
  <c r="K127" i="5"/>
  <c r="G128" i="5"/>
  <c r="J128" i="5"/>
  <c r="K128" i="5"/>
  <c r="G129" i="5"/>
  <c r="J129" i="5"/>
  <c r="K129" i="5"/>
  <c r="G130" i="5"/>
  <c r="J130" i="5" s="1"/>
  <c r="K130" i="5" s="1"/>
  <c r="G131" i="5"/>
  <c r="J131" i="5"/>
  <c r="K131" i="5" s="1"/>
  <c r="G132" i="5"/>
  <c r="J132" i="5"/>
  <c r="K132" i="5"/>
  <c r="G133" i="5"/>
  <c r="J133" i="5"/>
  <c r="K133" i="5"/>
  <c r="G134" i="5"/>
  <c r="J134" i="5"/>
  <c r="K134" i="5"/>
  <c r="G135" i="5"/>
  <c r="J135" i="5"/>
  <c r="K135" i="5" s="1"/>
  <c r="G136" i="5"/>
  <c r="J136" i="5" s="1"/>
  <c r="K136" i="5" s="1"/>
  <c r="G137" i="5"/>
  <c r="J137" i="5"/>
  <c r="K137" i="5"/>
  <c r="G138" i="5"/>
  <c r="J138" i="5"/>
  <c r="K138" i="5"/>
  <c r="G139" i="5"/>
  <c r="J139" i="5"/>
  <c r="K139" i="5"/>
  <c r="G140" i="5"/>
  <c r="J140" i="5"/>
  <c r="K140" i="5"/>
  <c r="G141" i="5"/>
  <c r="J141" i="5"/>
  <c r="K141" i="5" s="1"/>
  <c r="G142" i="5"/>
  <c r="J142" i="5" s="1"/>
  <c r="K142" i="5" s="1"/>
  <c r="G143" i="5"/>
  <c r="J143" i="5"/>
  <c r="K143" i="5"/>
  <c r="G144" i="5"/>
  <c r="J144" i="5"/>
  <c r="K144" i="5"/>
  <c r="G145" i="5"/>
  <c r="J145" i="5"/>
  <c r="K145" i="5"/>
  <c r="G146" i="5"/>
  <c r="J146" i="5" s="1"/>
  <c r="K146" i="5" s="1"/>
  <c r="G147" i="5"/>
  <c r="J147" i="5"/>
  <c r="K147" i="5" s="1"/>
  <c r="G148" i="5"/>
  <c r="J148" i="5"/>
  <c r="K148" i="5"/>
  <c r="G149" i="5"/>
  <c r="J149" i="5"/>
  <c r="K149" i="5"/>
  <c r="G150" i="5"/>
  <c r="J150" i="5"/>
  <c r="K150" i="5"/>
  <c r="G151" i="5"/>
  <c r="J151" i="5"/>
  <c r="K151" i="5" s="1"/>
  <c r="G152" i="5"/>
  <c r="J152" i="5" s="1"/>
  <c r="K152" i="5" s="1"/>
  <c r="G153" i="5"/>
  <c r="J153" i="5"/>
  <c r="K153" i="5"/>
  <c r="G154" i="5"/>
  <c r="J154" i="5"/>
  <c r="K154" i="5"/>
  <c r="G155" i="5"/>
  <c r="J155" i="5"/>
  <c r="K155" i="5"/>
  <c r="G156" i="5"/>
  <c r="J156" i="5"/>
  <c r="K156" i="5"/>
  <c r="G157" i="5"/>
  <c r="J157" i="5"/>
  <c r="K157" i="5" s="1"/>
  <c r="G158" i="5"/>
  <c r="J158" i="5" s="1"/>
  <c r="K158" i="5" s="1"/>
  <c r="G159" i="5"/>
  <c r="J159" i="5"/>
  <c r="K159" i="5"/>
  <c r="G160" i="5"/>
  <c r="J160" i="5"/>
  <c r="K160" i="5"/>
  <c r="G161" i="5"/>
  <c r="J161" i="5"/>
  <c r="K161" i="5"/>
  <c r="G162" i="5"/>
  <c r="J162" i="5" s="1"/>
  <c r="K162" i="5" s="1"/>
  <c r="G163" i="5"/>
  <c r="J163" i="5"/>
  <c r="K163" i="5" s="1"/>
  <c r="G164" i="5"/>
  <c r="J164" i="5"/>
  <c r="K164" i="5"/>
  <c r="G165" i="5"/>
  <c r="J165" i="5"/>
  <c r="K165" i="5"/>
  <c r="G166" i="5"/>
  <c r="J166" i="5"/>
  <c r="K166" i="5"/>
  <c r="G167" i="5"/>
  <c r="J167" i="5"/>
  <c r="K167" i="5" s="1"/>
  <c r="G168" i="5"/>
  <c r="J168" i="5" s="1"/>
  <c r="K168" i="5" s="1"/>
  <c r="G169" i="5"/>
  <c r="J169" i="5"/>
  <c r="K169" i="5"/>
  <c r="G170" i="5"/>
  <c r="J170" i="5"/>
  <c r="K170" i="5"/>
  <c r="G171" i="5"/>
  <c r="J171" i="5"/>
  <c r="K171" i="5"/>
  <c r="G172" i="5"/>
  <c r="J172" i="5"/>
  <c r="K172" i="5"/>
  <c r="G173" i="5"/>
  <c r="J173" i="5"/>
  <c r="K173" i="5" s="1"/>
  <c r="G174" i="5"/>
  <c r="J174" i="5" s="1"/>
  <c r="K174" i="5" s="1"/>
  <c r="G175" i="5"/>
  <c r="J175" i="5"/>
  <c r="K175" i="5"/>
  <c r="G176" i="5"/>
  <c r="J176" i="5"/>
  <c r="K176" i="5"/>
  <c r="G177" i="5"/>
  <c r="J177" i="5"/>
  <c r="K177" i="5"/>
  <c r="G178" i="5"/>
  <c r="J178" i="5" s="1"/>
  <c r="K178" i="5" s="1"/>
  <c r="G179" i="5"/>
  <c r="J179" i="5"/>
  <c r="K179" i="5" s="1"/>
  <c r="G70" i="5"/>
  <c r="J70" i="5" s="1"/>
  <c r="K70" i="5" s="1"/>
  <c r="G71" i="5"/>
  <c r="J71" i="5"/>
  <c r="K71" i="5"/>
  <c r="G72" i="5"/>
  <c r="J72" i="5" s="1"/>
  <c r="K72" i="5" s="1"/>
  <c r="G73" i="5"/>
  <c r="J73" i="5" s="1"/>
  <c r="K73" i="5" s="1"/>
  <c r="G74" i="5"/>
  <c r="J74" i="5" s="1"/>
  <c r="K74" i="5" s="1"/>
  <c r="G75" i="5"/>
  <c r="J75" i="5" s="1"/>
  <c r="K75" i="5" s="1"/>
  <c r="G76" i="5"/>
  <c r="J76" i="5" s="1"/>
  <c r="K76" i="5" s="1"/>
  <c r="P48" i="20"/>
  <c r="P49" i="20"/>
  <c r="N49" i="20"/>
  <c r="N48" i="20"/>
  <c r="H16" i="15"/>
  <c r="I16" i="15"/>
  <c r="G16" i="15"/>
  <c r="AF20" i="13" s="1"/>
  <c r="AO21" i="13"/>
  <c r="AP21" i="13"/>
  <c r="AQ21" i="13"/>
  <c r="AR21" i="13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/>
  <c r="M107" i="1" s="1"/>
  <c r="L107" i="1"/>
  <c r="H47" i="20"/>
  <c r="F47" i="20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I34" i="12"/>
  <c r="J33" i="12"/>
  <c r="J32" i="12"/>
  <c r="H35" i="12"/>
  <c r="J31" i="12"/>
  <c r="J35" i="12" s="1"/>
  <c r="L21" i="13"/>
  <c r="U63" i="21"/>
  <c r="V63" i="21"/>
  <c r="T63" i="21"/>
  <c r="U61" i="21"/>
  <c r="V61" i="21"/>
  <c r="T61" i="21"/>
  <c r="AG20" i="13"/>
  <c r="AH20" i="13"/>
  <c r="N44" i="20"/>
  <c r="P44" i="20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R65" i="21"/>
  <c r="P65" i="21" s="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L61" i="5"/>
  <c r="J64" i="21"/>
  <c r="AA54" i="21"/>
  <c r="M34" i="12"/>
  <c r="J63" i="21"/>
  <c r="H15" i="15"/>
  <c r="I15" i="15"/>
  <c r="G15" i="15"/>
  <c r="Q32" i="5"/>
  <c r="R32" i="5"/>
  <c r="S32" i="5"/>
  <c r="P32" i="5"/>
  <c r="Q31" i="5"/>
  <c r="P31" i="5"/>
  <c r="R56" i="21"/>
  <c r="Q56" i="21" s="1"/>
  <c r="A20" i="13"/>
  <c r="A19" i="13"/>
  <c r="A12" i="13"/>
  <c r="J62" i="21"/>
  <c r="J60" i="21"/>
  <c r="J61" i="21"/>
  <c r="R62" i="21"/>
  <c r="P62" i="21" s="1"/>
  <c r="R59" i="21"/>
  <c r="P59" i="21" s="1"/>
  <c r="R60" i="21"/>
  <c r="P60" i="21" s="1"/>
  <c r="R61" i="21"/>
  <c r="P61" i="21" s="1"/>
  <c r="L59" i="5"/>
  <c r="L57" i="5"/>
  <c r="G60" i="5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F80" i="13"/>
  <c r="BG80" i="13"/>
  <c r="BE80" i="13"/>
  <c r="AZ79" i="13"/>
  <c r="BA79" i="13"/>
  <c r="BB79" i="13"/>
  <c r="AY79" i="13"/>
  <c r="AV79" i="13"/>
  <c r="AW79" i="13"/>
  <c r="AU79" i="13"/>
  <c r="L112" i="1" l="1"/>
  <c r="K109" i="1"/>
  <c r="M109" i="1" s="1"/>
  <c r="M75" i="21"/>
  <c r="P75" i="21"/>
  <c r="I75" i="21" s="1"/>
  <c r="H76" i="21"/>
  <c r="I76" i="21" s="1"/>
  <c r="Q76" i="21"/>
  <c r="Z21" i="13"/>
  <c r="Y21" i="13"/>
  <c r="AM21" i="13" s="1"/>
  <c r="BE21" i="13" s="1"/>
  <c r="X21" i="13"/>
  <c r="L108" i="1"/>
  <c r="L106" i="1"/>
  <c r="N106" i="1" s="1"/>
  <c r="L104" i="1"/>
  <c r="L105" i="1"/>
  <c r="M37" i="12"/>
  <c r="M61" i="21"/>
  <c r="W61" i="21" s="1"/>
  <c r="M62" i="21"/>
  <c r="H61" i="21"/>
  <c r="H62" i="21"/>
  <c r="I62" i="21" s="1"/>
  <c r="P56" i="21"/>
  <c r="Q65" i="21"/>
  <c r="Q62" i="21"/>
  <c r="Q61" i="21"/>
  <c r="Q60" i="21"/>
  <c r="Q59" i="21"/>
  <c r="Z16" i="2"/>
  <c r="Z17" i="2" s="1"/>
  <c r="Y16" i="2"/>
  <c r="Y17" i="2" s="1"/>
  <c r="U19" i="13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H63" i="21" l="1"/>
  <c r="O75" i="21"/>
  <c r="M76" i="21"/>
  <c r="AL21" i="13"/>
  <c r="N104" i="1"/>
  <c r="O61" i="21"/>
  <c r="X61" i="21"/>
  <c r="Y61" i="21"/>
  <c r="O21" i="13"/>
  <c r="I61" i="21"/>
  <c r="H64" i="21"/>
  <c r="H65" i="21" s="1"/>
  <c r="I65" i="21" s="1"/>
  <c r="X62" i="21"/>
  <c r="Y62" i="21"/>
  <c r="O62" i="21"/>
  <c r="N61" i="21"/>
  <c r="M63" i="21"/>
  <c r="W62" i="21"/>
  <c r="L35" i="12"/>
  <c r="H29" i="12"/>
  <c r="N20" i="13"/>
  <c r="K20" i="13"/>
  <c r="L51" i="7"/>
  <c r="L52" i="7"/>
  <c r="L53" i="7"/>
  <c r="L54" i="7"/>
  <c r="L55" i="7"/>
  <c r="L46" i="7"/>
  <c r="L47" i="7"/>
  <c r="L48" i="7"/>
  <c r="L49" i="7"/>
  <c r="F57" i="7"/>
  <c r="F48" i="7"/>
  <c r="F47" i="7"/>
  <c r="F46" i="7"/>
  <c r="F45" i="7"/>
  <c r="F43" i="7"/>
  <c r="F42" i="7" s="1"/>
  <c r="F44" i="7"/>
  <c r="P31" i="20"/>
  <c r="P32" i="20"/>
  <c r="F28" i="20"/>
  <c r="F29" i="20"/>
  <c r="F30" i="20"/>
  <c r="F31" i="20"/>
  <c r="F32" i="20"/>
  <c r="F33" i="20"/>
  <c r="F34" i="20"/>
  <c r="F35" i="20"/>
  <c r="F36" i="20"/>
  <c r="L55" i="5"/>
  <c r="J57" i="21"/>
  <c r="J58" i="21"/>
  <c r="J56" i="21"/>
  <c r="U56" i="21"/>
  <c r="V56" i="21"/>
  <c r="T56" i="21"/>
  <c r="Q57" i="7"/>
  <c r="P57" i="7"/>
  <c r="O5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G156" i="12"/>
  <c r="G151" i="12"/>
  <c r="G152" i="12"/>
  <c r="F153" i="12"/>
  <c r="G153" i="12"/>
  <c r="G150" i="12"/>
  <c r="F150" i="12"/>
  <c r="M155" i="12"/>
  <c r="L156" i="12"/>
  <c r="M156" i="12"/>
  <c r="M147" i="12"/>
  <c r="M148" i="12"/>
  <c r="M149" i="12"/>
  <c r="M150" i="12"/>
  <c r="M151" i="12"/>
  <c r="M152" i="12"/>
  <c r="M153" i="12"/>
  <c r="M154" i="12"/>
  <c r="M146" i="12"/>
  <c r="L147" i="12"/>
  <c r="L148" i="12"/>
  <c r="L149" i="12"/>
  <c r="L150" i="12"/>
  <c r="L151" i="12"/>
  <c r="L152" i="12"/>
  <c r="L153" i="12"/>
  <c r="L154" i="12"/>
  <c r="L146" i="12"/>
  <c r="F149" i="12"/>
  <c r="G149" i="12" s="1"/>
  <c r="G146" i="12"/>
  <c r="G147" i="12"/>
  <c r="G148" i="12"/>
  <c r="F146" i="12"/>
  <c r="F147" i="12"/>
  <c r="F148" i="12"/>
  <c r="F145" i="12"/>
  <c r="P29" i="5"/>
  <c r="U52" i="21"/>
  <c r="V52" i="21"/>
  <c r="T52" i="21"/>
  <c r="U51" i="21"/>
  <c r="V51" i="21"/>
  <c r="T51" i="21"/>
  <c r="L53" i="5"/>
  <c r="J54" i="21"/>
  <c r="J27" i="12"/>
  <c r="J28" i="12"/>
  <c r="M28" i="12" s="1"/>
  <c r="J29" i="12"/>
  <c r="M29" i="12" s="1"/>
  <c r="J30" i="12"/>
  <c r="M30" i="12" s="1"/>
  <c r="K30" i="12"/>
  <c r="K29" i="12"/>
  <c r="K28" i="12"/>
  <c r="F114" i="1"/>
  <c r="G14" i="15"/>
  <c r="H14" i="15"/>
  <c r="I14" i="15"/>
  <c r="AH18" i="13" s="1"/>
  <c r="BD22" i="13"/>
  <c r="BE22" i="13"/>
  <c r="BF22" i="13"/>
  <c r="BD23" i="13"/>
  <c r="BE23" i="13"/>
  <c r="BF23" i="13"/>
  <c r="BD24" i="13"/>
  <c r="BE24" i="13"/>
  <c r="BF24" i="13"/>
  <c r="BD25" i="13"/>
  <c r="BE25" i="13"/>
  <c r="BF25" i="13"/>
  <c r="BD26" i="13"/>
  <c r="BE26" i="13"/>
  <c r="BF26" i="13"/>
  <c r="BD27" i="13"/>
  <c r="BE27" i="13"/>
  <c r="BF27" i="13"/>
  <c r="BD28" i="13"/>
  <c r="BE28" i="13"/>
  <c r="BF28" i="13"/>
  <c r="BD29" i="13"/>
  <c r="BE29" i="13"/>
  <c r="BF29" i="13"/>
  <c r="BD30" i="13"/>
  <c r="BE30" i="13"/>
  <c r="BF30" i="13"/>
  <c r="BD31" i="13"/>
  <c r="BE31" i="13"/>
  <c r="BF31" i="13"/>
  <c r="BD32" i="13"/>
  <c r="BE32" i="13"/>
  <c r="BF32" i="13"/>
  <c r="BD33" i="13"/>
  <c r="BE33" i="13"/>
  <c r="BF33" i="13"/>
  <c r="BD34" i="13"/>
  <c r="BE34" i="13"/>
  <c r="BF34" i="13"/>
  <c r="BD35" i="13"/>
  <c r="BE35" i="13"/>
  <c r="BF35" i="13"/>
  <c r="BD36" i="13"/>
  <c r="BE36" i="13"/>
  <c r="BF36" i="13"/>
  <c r="BD37" i="13"/>
  <c r="BE37" i="13"/>
  <c r="BF37" i="13"/>
  <c r="BD38" i="13"/>
  <c r="BE38" i="13"/>
  <c r="BF38" i="13"/>
  <c r="BD39" i="13"/>
  <c r="BE39" i="13"/>
  <c r="BF39" i="13"/>
  <c r="BD40" i="13"/>
  <c r="BE40" i="13"/>
  <c r="BF40" i="13"/>
  <c r="BD41" i="13"/>
  <c r="BE41" i="13"/>
  <c r="BF41" i="13"/>
  <c r="BD42" i="13"/>
  <c r="BE42" i="13"/>
  <c r="BF42" i="13"/>
  <c r="BD43" i="13"/>
  <c r="BE43" i="13"/>
  <c r="BF43" i="13"/>
  <c r="BD44" i="13"/>
  <c r="BE44" i="13"/>
  <c r="BF44" i="13"/>
  <c r="BD45" i="13"/>
  <c r="BE45" i="13"/>
  <c r="BF45" i="13"/>
  <c r="BD46" i="13"/>
  <c r="BE46" i="13"/>
  <c r="BF46" i="13"/>
  <c r="BD47" i="13"/>
  <c r="BE47" i="13"/>
  <c r="BF47" i="13"/>
  <c r="BD48" i="13"/>
  <c r="BE48" i="13"/>
  <c r="BF48" i="13"/>
  <c r="BD49" i="13"/>
  <c r="BE49" i="13"/>
  <c r="BF49" i="13"/>
  <c r="BD50" i="13"/>
  <c r="BE50" i="13"/>
  <c r="BF50" i="13"/>
  <c r="BD51" i="13"/>
  <c r="BE51" i="13"/>
  <c r="BF51" i="13"/>
  <c r="BD52" i="13"/>
  <c r="BE52" i="13"/>
  <c r="BF52" i="13"/>
  <c r="BD53" i="13"/>
  <c r="BE53" i="13"/>
  <c r="BF53" i="13"/>
  <c r="BD54" i="13"/>
  <c r="BE54" i="13"/>
  <c r="BF54" i="13"/>
  <c r="BD55" i="13"/>
  <c r="BE55" i="13"/>
  <c r="BF55" i="13"/>
  <c r="BD56" i="13"/>
  <c r="BE56" i="13"/>
  <c r="BF56" i="13"/>
  <c r="BD57" i="13"/>
  <c r="BE57" i="13"/>
  <c r="BF57" i="13"/>
  <c r="BD58" i="13"/>
  <c r="BE58" i="13"/>
  <c r="BF58" i="13"/>
  <c r="BD59" i="13"/>
  <c r="BE59" i="13"/>
  <c r="BF59" i="13"/>
  <c r="AF18" i="13"/>
  <c r="R54" i="21"/>
  <c r="P54" i="21" s="1"/>
  <c r="U50" i="21"/>
  <c r="V50" i="21"/>
  <c r="T50" i="21"/>
  <c r="L51" i="5"/>
  <c r="J53" i="21"/>
  <c r="R52" i="21"/>
  <c r="P52" i="21" s="1"/>
  <c r="N32" i="20"/>
  <c r="J52" i="21"/>
  <c r="W46" i="21"/>
  <c r="AB46" i="21" s="1"/>
  <c r="X46" i="21"/>
  <c r="Y46" i="21"/>
  <c r="U49" i="21"/>
  <c r="V49" i="21"/>
  <c r="T49" i="21"/>
  <c r="T5" i="21"/>
  <c r="T48" i="21"/>
  <c r="S31" i="5"/>
  <c r="S33" i="5"/>
  <c r="S34" i="5"/>
  <c r="L107" i="21"/>
  <c r="M9" i="21"/>
  <c r="M10" i="21" s="1"/>
  <c r="K27" i="12"/>
  <c r="K23" i="12"/>
  <c r="K24" i="12"/>
  <c r="K25" i="12"/>
  <c r="K26" i="12"/>
  <c r="K19" i="13"/>
  <c r="N19" i="13"/>
  <c r="V19" i="13" s="1"/>
  <c r="AR19" i="13" s="1"/>
  <c r="R51" i="21"/>
  <c r="N31" i="20"/>
  <c r="N30" i="20"/>
  <c r="P30" i="20"/>
  <c r="H114" i="1"/>
  <c r="R50" i="21"/>
  <c r="Q50" i="21" s="1"/>
  <c r="Q26" i="5"/>
  <c r="P26" i="5"/>
  <c r="P25" i="5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G18" i="13"/>
  <c r="N29" i="20"/>
  <c r="P29" i="20" s="1"/>
  <c r="J49" i="21"/>
  <c r="AB47" i="21"/>
  <c r="Z10" i="12"/>
  <c r="Z9" i="12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K96" i="1"/>
  <c r="M96" i="1" s="1"/>
  <c r="L96" i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L75" i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K52" i="1"/>
  <c r="M52" i="1" s="1"/>
  <c r="L52" i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AT21" i="13" l="1"/>
  <c r="BD21" i="13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N92" i="1" s="1"/>
  <c r="K40" i="1"/>
  <c r="M40" i="1" s="1"/>
  <c r="L85" i="1"/>
  <c r="N46" i="1"/>
  <c r="L57" i="1"/>
  <c r="N56" i="1" s="1"/>
  <c r="L74" i="1"/>
  <c r="N74" i="1" s="1"/>
  <c r="L68" i="1"/>
  <c r="K56" i="1"/>
  <c r="M56" i="1" s="1"/>
  <c r="N96" i="1"/>
  <c r="L103" i="1"/>
  <c r="N102" i="1" s="1"/>
  <c r="X20" i="13"/>
  <c r="Z20" i="13"/>
  <c r="Y20" i="13"/>
  <c r="W63" i="21"/>
  <c r="X63" i="21"/>
  <c r="Y63" i="21"/>
  <c r="M64" i="21"/>
  <c r="N63" i="21" s="1"/>
  <c r="L99" i="1"/>
  <c r="K95" i="1"/>
  <c r="M95" i="1" s="1"/>
  <c r="L94" i="1"/>
  <c r="N94" i="1" s="1"/>
  <c r="Z19" i="13"/>
  <c r="Z13" i="12"/>
  <c r="Y19" i="13"/>
  <c r="X19" i="13"/>
  <c r="F154" i="12"/>
  <c r="G145" i="12"/>
  <c r="L91" i="1"/>
  <c r="L90" i="1"/>
  <c r="M11" i="21"/>
  <c r="P50" i="21"/>
  <c r="Q54" i="21"/>
  <c r="Q52" i="21"/>
  <c r="L88" i="1"/>
  <c r="Q51" i="21"/>
  <c r="P51" i="21"/>
  <c r="L86" i="1"/>
  <c r="N86" i="1" s="1"/>
  <c r="C46" i="7" s="1"/>
  <c r="L84" i="1"/>
  <c r="N84" i="1"/>
  <c r="C45" i="7" s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N50" i="1" l="1"/>
  <c r="N72" i="1"/>
  <c r="N44" i="1"/>
  <c r="N24" i="1"/>
  <c r="N54" i="1"/>
  <c r="N68" i="1"/>
  <c r="M65" i="21"/>
  <c r="S61" i="21" s="1"/>
  <c r="N98" i="1"/>
  <c r="F155" i="12"/>
  <c r="N90" i="1"/>
  <c r="N88" i="1"/>
  <c r="C47" i="7" s="1"/>
  <c r="L34" i="12"/>
  <c r="O65" i="21" l="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R11" i="20" l="1"/>
  <c r="K82" i="1"/>
  <c r="M82" i="1" s="1"/>
  <c r="Q25" i="5"/>
  <c r="R25" i="5" s="1"/>
  <c r="L44" i="7" s="1"/>
  <c r="L45" i="5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6" i="7"/>
  <c r="N47" i="7"/>
  <c r="N48" i="7"/>
  <c r="N49" i="7"/>
  <c r="N51" i="7"/>
  <c r="N52" i="7"/>
  <c r="N53" i="7"/>
  <c r="N54" i="7"/>
  <c r="N55" i="7"/>
  <c r="N24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5" i="7"/>
  <c r="N45" i="7" s="1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/>
  <c r="E46" i="7"/>
  <c r="I46" i="7"/>
  <c r="I47" i="7"/>
  <c r="G48" i="7"/>
  <c r="H48" i="7" s="1"/>
  <c r="I48" i="7"/>
  <c r="I49" i="7"/>
  <c r="E49" i="7"/>
  <c r="I24" i="7"/>
  <c r="R46" i="21"/>
  <c r="P46" i="21" s="1"/>
  <c r="N18" i="13"/>
  <c r="N25" i="20"/>
  <c r="P25" i="20" s="1"/>
  <c r="F19" i="20"/>
  <c r="H19" i="20"/>
  <c r="R43" i="21"/>
  <c r="P43" i="21" s="1"/>
  <c r="R44" i="21"/>
  <c r="P44" i="21" s="1"/>
  <c r="R45" i="21"/>
  <c r="P45" i="21" s="1"/>
  <c r="I79" i="1"/>
  <c r="K79" i="1" s="1"/>
  <c r="M79" i="1" s="1"/>
  <c r="F37" i="7"/>
  <c r="U42" i="21"/>
  <c r="Y18" i="13" s="1"/>
  <c r="V42" i="21"/>
  <c r="Z18" i="13" s="1"/>
  <c r="T42" i="21"/>
  <c r="X18" i="13" s="1"/>
  <c r="J45" i="21"/>
  <c r="AF17" i="13"/>
  <c r="H13" i="15"/>
  <c r="AG17" i="13" s="1"/>
  <c r="AH17" i="13"/>
  <c r="G44" i="5"/>
  <c r="J44" i="5"/>
  <c r="G43" i="5"/>
  <c r="J43" i="5"/>
  <c r="L43" i="5"/>
  <c r="P24" i="5"/>
  <c r="G42" i="5"/>
  <c r="P23" i="5"/>
  <c r="Q23" i="5"/>
  <c r="Q24" i="5"/>
  <c r="P22" i="5"/>
  <c r="J42" i="5"/>
  <c r="L41" i="5"/>
  <c r="J44" i="21"/>
  <c r="U41" i="21"/>
  <c r="V41" i="21"/>
  <c r="T41" i="21"/>
  <c r="U40" i="21"/>
  <c r="V40" i="21"/>
  <c r="T40" i="21"/>
  <c r="U39" i="21"/>
  <c r="V39" i="21"/>
  <c r="T39" i="21"/>
  <c r="Y17" i="13"/>
  <c r="Z17" i="13"/>
  <c r="X17" i="13"/>
  <c r="AG16" i="13"/>
  <c r="J43" i="21"/>
  <c r="AH16" i="13"/>
  <c r="AF16" i="13"/>
  <c r="H12" i="15"/>
  <c r="I12" i="15"/>
  <c r="G12" i="15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R42" i="21"/>
  <c r="P42" i="21" s="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O32" i="2"/>
  <c r="Z27" i="7" s="1"/>
  <c r="O10" i="2"/>
  <c r="Z10" i="7" s="1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V12" i="5"/>
  <c r="Q22" i="5"/>
  <c r="S22" i="5"/>
  <c r="S23" i="5"/>
  <c r="S24" i="5"/>
  <c r="S17" i="5"/>
  <c r="R17" i="5"/>
  <c r="Q17" i="5"/>
  <c r="R14" i="5"/>
  <c r="Q14" i="5"/>
  <c r="S14" i="5"/>
  <c r="S13" i="5"/>
  <c r="S12" i="5"/>
  <c r="S11" i="5"/>
  <c r="S10" i="5"/>
  <c r="S9" i="5"/>
  <c r="S8" i="5"/>
  <c r="S7" i="5"/>
  <c r="S6" i="5"/>
  <c r="S5" i="5"/>
  <c r="N17" i="13"/>
  <c r="R41" i="21"/>
  <c r="P41" i="21" s="1"/>
  <c r="J41" i="21"/>
  <c r="L37" i="5"/>
  <c r="L35" i="5"/>
  <c r="Z15" i="12"/>
  <c r="T17" i="13"/>
  <c r="T18" i="13"/>
  <c r="A18" i="13" s="1"/>
  <c r="U38" i="21"/>
  <c r="V38" i="21"/>
  <c r="T38" i="21"/>
  <c r="R40" i="21"/>
  <c r="P40" i="21" s="1"/>
  <c r="Z40" i="21"/>
  <c r="J40" i="21" s="1"/>
  <c r="L27" i="5"/>
  <c r="L29" i="5"/>
  <c r="L31" i="5"/>
  <c r="L33" i="5"/>
  <c r="L25" i="5"/>
  <c r="L17" i="5"/>
  <c r="L19" i="5"/>
  <c r="L21" i="5"/>
  <c r="L23" i="5"/>
  <c r="L15" i="5"/>
  <c r="L13" i="5"/>
  <c r="L11" i="5"/>
  <c r="L9" i="5"/>
  <c r="L7" i="5"/>
  <c r="L5" i="5"/>
  <c r="U37" i="21"/>
  <c r="V37" i="21"/>
  <c r="T37" i="21"/>
  <c r="T36" i="21"/>
  <c r="N8" i="20"/>
  <c r="P8" i="20"/>
  <c r="F8" i="20"/>
  <c r="H8" i="20"/>
  <c r="AB33" i="21"/>
  <c r="Z39" i="21"/>
  <c r="J39" i="21" s="1"/>
  <c r="R38" i="21"/>
  <c r="P38" i="21" s="1"/>
  <c r="R39" i="21"/>
  <c r="P39" i="21" s="1"/>
  <c r="R37" i="21"/>
  <c r="Q37" i="21" s="1"/>
  <c r="R36" i="21"/>
  <c r="Q36" i="21" s="1"/>
  <c r="R35" i="21"/>
  <c r="Q35" i="21" s="1"/>
  <c r="P20" i="5"/>
  <c r="Y16" i="13"/>
  <c r="P100" i="13" s="1"/>
  <c r="Z16" i="13"/>
  <c r="Q100" i="13" s="1"/>
  <c r="X16" i="13"/>
  <c r="O100" i="13" s="1"/>
  <c r="J39" i="5"/>
  <c r="K39" i="5"/>
  <c r="K42" i="5"/>
  <c r="K43" i="5"/>
  <c r="K44" i="5"/>
  <c r="G45" i="5"/>
  <c r="J45" i="5"/>
  <c r="K45" i="5"/>
  <c r="J54" i="5"/>
  <c r="K54" i="5" s="1"/>
  <c r="J55" i="5"/>
  <c r="K55" i="5"/>
  <c r="J56" i="5"/>
  <c r="K56" i="5" s="1"/>
  <c r="J59" i="5"/>
  <c r="K59" i="5"/>
  <c r="J60" i="5"/>
  <c r="K60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R6" i="21"/>
  <c r="Q6" i="21"/>
  <c r="G11" i="5"/>
  <c r="G10" i="5"/>
  <c r="R10" i="21"/>
  <c r="Q10" i="21" s="1"/>
  <c r="G7" i="5"/>
  <c r="G6" i="5"/>
  <c r="J6" i="5"/>
  <c r="K6" i="5"/>
  <c r="G15" i="5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102" i="21"/>
  <c r="Y102" i="21" s="1"/>
  <c r="M98" i="21"/>
  <c r="X98" i="21" s="1"/>
  <c r="M97" i="21"/>
  <c r="X97" i="21" s="1"/>
  <c r="T96" i="21"/>
  <c r="R96" i="21"/>
  <c r="P96" i="21"/>
  <c r="M96" i="21"/>
  <c r="M95" i="21"/>
  <c r="X95" i="21" s="1"/>
  <c r="T94" i="21"/>
  <c r="U94" i="21" s="1"/>
  <c r="V94" i="21" s="1"/>
  <c r="R94" i="21"/>
  <c r="P94" i="21"/>
  <c r="M94" i="21"/>
  <c r="M93" i="21"/>
  <c r="Y93" i="21" s="1"/>
  <c r="T92" i="21"/>
  <c r="R92" i="21"/>
  <c r="P92" i="21"/>
  <c r="M92" i="21"/>
  <c r="M91" i="21"/>
  <c r="Y91" i="21" s="1"/>
  <c r="T90" i="21"/>
  <c r="U90" i="21" s="1"/>
  <c r="R90" i="21"/>
  <c r="P90" i="21"/>
  <c r="M90" i="21"/>
  <c r="M89" i="21"/>
  <c r="X89" i="21" s="1"/>
  <c r="T88" i="21"/>
  <c r="R88" i="21"/>
  <c r="P88" i="21"/>
  <c r="M88" i="21"/>
  <c r="M87" i="21"/>
  <c r="Y87" i="21" s="1"/>
  <c r="T86" i="21"/>
  <c r="R86" i="21"/>
  <c r="P86" i="21"/>
  <c r="M86" i="21"/>
  <c r="M85" i="21"/>
  <c r="X85" i="21" s="1"/>
  <c r="T84" i="21"/>
  <c r="R84" i="21"/>
  <c r="P84" i="21"/>
  <c r="M84" i="21"/>
  <c r="M83" i="21"/>
  <c r="X83" i="21" s="1"/>
  <c r="T82" i="21"/>
  <c r="U82" i="21" s="1"/>
  <c r="R82" i="21"/>
  <c r="P82" i="21"/>
  <c r="M82" i="21"/>
  <c r="AD81" i="21"/>
  <c r="M81" i="21"/>
  <c r="Y81" i="21" s="1"/>
  <c r="R80" i="21"/>
  <c r="M80" i="21"/>
  <c r="W80" i="21" s="1"/>
  <c r="M79" i="21"/>
  <c r="X79" i="21" s="1"/>
  <c r="R78" i="21"/>
  <c r="M78" i="21"/>
  <c r="X78" i="21" s="1"/>
  <c r="M77" i="21"/>
  <c r="X77" i="21" s="1"/>
  <c r="Y75" i="21"/>
  <c r="R74" i="21"/>
  <c r="M74" i="21"/>
  <c r="W74" i="21" s="1"/>
  <c r="M73" i="21"/>
  <c r="W73" i="21" s="1"/>
  <c r="R72" i="21"/>
  <c r="M72" i="21"/>
  <c r="W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W5" i="21" s="1"/>
  <c r="J5" i="21"/>
  <c r="I11" i="15"/>
  <c r="AH15" i="13"/>
  <c r="H11" i="15"/>
  <c r="AG15" i="13"/>
  <c r="H10" i="15"/>
  <c r="I10" i="15"/>
  <c r="G10" i="15"/>
  <c r="J11" i="5"/>
  <c r="K11" i="5"/>
  <c r="R15" i="21"/>
  <c r="Q15" i="21" s="1"/>
  <c r="J15" i="5"/>
  <c r="K15" i="5"/>
  <c r="J7" i="5"/>
  <c r="K7" i="5"/>
  <c r="J10" i="5"/>
  <c r="K10" i="5"/>
  <c r="R7" i="21"/>
  <c r="Q7" i="21" s="1"/>
  <c r="R11" i="21"/>
  <c r="Q11" i="21" s="1"/>
  <c r="AI60" i="13"/>
  <c r="AG14" i="13"/>
  <c r="V98" i="13" s="1"/>
  <c r="AH14" i="13"/>
  <c r="W98" i="13" s="1"/>
  <c r="AF14" i="13"/>
  <c r="U98" i="13" s="1"/>
  <c r="U31" i="4"/>
  <c r="V31" i="4"/>
  <c r="T31" i="4"/>
  <c r="X15" i="13" s="1"/>
  <c r="O99" i="13" s="1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AG13" i="13"/>
  <c r="V97" i="13" s="1"/>
  <c r="AH13" i="13"/>
  <c r="W97" i="13" s="1"/>
  <c r="AF13" i="13"/>
  <c r="U97" i="13" s="1"/>
  <c r="H9" i="15"/>
  <c r="I9" i="15"/>
  <c r="G9" i="15"/>
  <c r="I114" i="1"/>
  <c r="V20" i="13"/>
  <c r="AR20" i="13" s="1"/>
  <c r="V21" i="13"/>
  <c r="V22" i="13"/>
  <c r="V23" i="13"/>
  <c r="V24" i="13"/>
  <c r="V25" i="13"/>
  <c r="V26" i="13"/>
  <c r="V27" i="13"/>
  <c r="V28" i="13"/>
  <c r="V29" i="13"/>
  <c r="V30" i="13"/>
  <c r="V31" i="13"/>
  <c r="V32" i="13"/>
  <c r="V33" i="13"/>
  <c r="V34" i="13"/>
  <c r="V35" i="13"/>
  <c r="V36" i="13"/>
  <c r="V37" i="13"/>
  <c r="V38" i="13"/>
  <c r="V39" i="13"/>
  <c r="V40" i="13"/>
  <c r="V41" i="13"/>
  <c r="V42" i="13"/>
  <c r="V43" i="13"/>
  <c r="V44" i="13"/>
  <c r="V45" i="13"/>
  <c r="V46" i="13"/>
  <c r="V47" i="13"/>
  <c r="V48" i="13"/>
  <c r="V49" i="13"/>
  <c r="V50" i="13"/>
  <c r="V51" i="13"/>
  <c r="V52" i="13"/>
  <c r="V53" i="13"/>
  <c r="V54" i="13"/>
  <c r="V55" i="13"/>
  <c r="V56" i="13"/>
  <c r="V57" i="13"/>
  <c r="V58" i="13"/>
  <c r="V59" i="13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J26" i="5"/>
  <c r="K26" i="5"/>
  <c r="T14" i="13"/>
  <c r="N14" i="13"/>
  <c r="U25" i="4"/>
  <c r="Y14" i="13" s="1"/>
  <c r="P98" i="13" s="1"/>
  <c r="V25" i="4"/>
  <c r="Z14" i="13" s="1"/>
  <c r="Q98" i="13" s="1"/>
  <c r="T25" i="4"/>
  <c r="V7" i="2"/>
  <c r="U7" i="2"/>
  <c r="T8" i="2"/>
  <c r="AF8" i="7" s="1"/>
  <c r="T9" i="2"/>
  <c r="AF9" i="7" s="1"/>
  <c r="T10" i="2"/>
  <c r="AF10" i="7" s="1"/>
  <c r="T11" i="2"/>
  <c r="AF11" i="7" s="1"/>
  <c r="T12" i="2"/>
  <c r="T13" i="2"/>
  <c r="AF12" i="7" s="1"/>
  <c r="T14" i="2"/>
  <c r="T15" i="2"/>
  <c r="AF13" i="7" s="1"/>
  <c r="T16" i="2"/>
  <c r="AF14" i="7" s="1"/>
  <c r="T17" i="2"/>
  <c r="AF15" i="7" s="1"/>
  <c r="T18" i="2"/>
  <c r="AF16" i="7" s="1"/>
  <c r="T19" i="2"/>
  <c r="AF17" i="7" s="1"/>
  <c r="T20" i="2"/>
  <c r="T21" i="2"/>
  <c r="AF18" i="7" s="1"/>
  <c r="T22" i="2"/>
  <c r="AF19" i="7" s="1"/>
  <c r="T23" i="2"/>
  <c r="T24" i="2"/>
  <c r="AF20" i="7" s="1"/>
  <c r="T25" i="2"/>
  <c r="T26" i="2"/>
  <c r="AF21" i="7" s="1"/>
  <c r="T27" i="2"/>
  <c r="AF22" i="7" s="1"/>
  <c r="T28" i="2"/>
  <c r="AF23" i="7" s="1"/>
  <c r="T29" i="2"/>
  <c r="AF24" i="7" s="1"/>
  <c r="T30" i="2"/>
  <c r="AF25" i="7" s="1"/>
  <c r="T31" i="2"/>
  <c r="AF26" i="7" s="1"/>
  <c r="T32" i="2"/>
  <c r="AF27" i="7" s="1"/>
  <c r="T33" i="2"/>
  <c r="AF28" i="7" s="1"/>
  <c r="T38" i="2"/>
  <c r="AF29" i="7" s="1"/>
  <c r="T39" i="2"/>
  <c r="AF30" i="7" s="1"/>
  <c r="T41" i="2"/>
  <c r="AF31" i="7" s="1"/>
  <c r="T43" i="2"/>
  <c r="AF32" i="7" s="1"/>
  <c r="T45" i="2"/>
  <c r="AF33" i="7" s="1"/>
  <c r="T47" i="2"/>
  <c r="AF34" i="7" s="1"/>
  <c r="T49" i="2"/>
  <c r="AF35" i="7" s="1"/>
  <c r="T51" i="2"/>
  <c r="AF36" i="7" s="1"/>
  <c r="T52" i="2"/>
  <c r="AF37" i="7" s="1"/>
  <c r="T54" i="2"/>
  <c r="AF38" i="7" s="1"/>
  <c r="T56" i="2"/>
  <c r="AF39" i="7" s="1"/>
  <c r="T57" i="2"/>
  <c r="AF40" i="7" s="1"/>
  <c r="T58" i="2"/>
  <c r="AF41" i="7" s="1"/>
  <c r="T59" i="2"/>
  <c r="AF42" i="7" s="1"/>
  <c r="T60" i="2"/>
  <c r="AF43" i="7" s="1"/>
  <c r="T61" i="2"/>
  <c r="AF44" i="7" s="1"/>
  <c r="T63" i="2"/>
  <c r="AF45" i="7" s="1"/>
  <c r="T64" i="2"/>
  <c r="AF46" i="7" s="1"/>
  <c r="T65" i="2"/>
  <c r="AF47" i="7" s="1"/>
  <c r="T66" i="2"/>
  <c r="AF48" i="7" s="1"/>
  <c r="T67" i="2"/>
  <c r="AF49" i="7" s="1"/>
  <c r="T68" i="2"/>
  <c r="T7" i="2"/>
  <c r="AF7" i="7" s="1"/>
  <c r="S7" i="2"/>
  <c r="AE7" i="7" s="1"/>
  <c r="R7" i="2"/>
  <c r="AD7" i="7" s="1"/>
  <c r="P20" i="2"/>
  <c r="P21" i="2"/>
  <c r="AC18" i="7" s="1"/>
  <c r="P22" i="2"/>
  <c r="AC19" i="7" s="1"/>
  <c r="P23" i="2"/>
  <c r="P24" i="2"/>
  <c r="AC20" i="7" s="1"/>
  <c r="P25" i="2"/>
  <c r="P26" i="2"/>
  <c r="AC21" i="7" s="1"/>
  <c r="P27" i="2"/>
  <c r="AC22" i="7" s="1"/>
  <c r="P28" i="2"/>
  <c r="AC23" i="7" s="1"/>
  <c r="P29" i="2"/>
  <c r="AC24" i="7" s="1"/>
  <c r="P30" i="2"/>
  <c r="AC25" i="7" s="1"/>
  <c r="P31" i="2"/>
  <c r="AC26" i="7" s="1"/>
  <c r="P32" i="2"/>
  <c r="AC27" i="7" s="1"/>
  <c r="P33" i="2"/>
  <c r="AC28" i="7" s="1"/>
  <c r="P38" i="2"/>
  <c r="AC29" i="7" s="1"/>
  <c r="P39" i="2"/>
  <c r="AC30" i="7" s="1"/>
  <c r="P41" i="2"/>
  <c r="AC31" i="7" s="1"/>
  <c r="P43" i="2"/>
  <c r="AC32" i="7" s="1"/>
  <c r="P45" i="2"/>
  <c r="AC33" i="7" s="1"/>
  <c r="P47" i="2"/>
  <c r="AC34" i="7" s="1"/>
  <c r="P49" i="2"/>
  <c r="AC35" i="7" s="1"/>
  <c r="P51" i="2"/>
  <c r="AC36" i="7" s="1"/>
  <c r="P52" i="2"/>
  <c r="AC37" i="7" s="1"/>
  <c r="P54" i="2"/>
  <c r="AC38" i="7" s="1"/>
  <c r="P56" i="2"/>
  <c r="AC39" i="7" s="1"/>
  <c r="P57" i="2"/>
  <c r="AC40" i="7" s="1"/>
  <c r="P58" i="2"/>
  <c r="AC41" i="7" s="1"/>
  <c r="P59" i="2"/>
  <c r="AC42" i="7" s="1"/>
  <c r="P60" i="2"/>
  <c r="AC43" i="7" s="1"/>
  <c r="P61" i="2"/>
  <c r="AC44" i="7" s="1"/>
  <c r="P63" i="2"/>
  <c r="AC45" i="7" s="1"/>
  <c r="P64" i="2"/>
  <c r="AC46" i="7" s="1"/>
  <c r="P65" i="2"/>
  <c r="AC47" i="7" s="1"/>
  <c r="P66" i="2"/>
  <c r="AC48" i="7" s="1"/>
  <c r="P67" i="2"/>
  <c r="AC49" i="7" s="1"/>
  <c r="P68" i="2"/>
  <c r="P19" i="2"/>
  <c r="AC17" i="7" s="1"/>
  <c r="O24" i="2"/>
  <c r="Z20" i="7" s="1"/>
  <c r="T13" i="13"/>
  <c r="A13" i="13" s="1"/>
  <c r="H8" i="15"/>
  <c r="AG12" i="13"/>
  <c r="V96" i="13" s="1"/>
  <c r="I8" i="15"/>
  <c r="AH12" i="13"/>
  <c r="W96" i="13" s="1"/>
  <c r="G8" i="15"/>
  <c r="AF12" i="13"/>
  <c r="U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I17" i="4" s="1"/>
  <c r="U13" i="13"/>
  <c r="M28" i="4" s="1"/>
  <c r="H33" i="4"/>
  <c r="H25" i="21"/>
  <c r="J22" i="5"/>
  <c r="K22" i="5"/>
  <c r="R22" i="21"/>
  <c r="P22" i="21" s="1"/>
  <c r="R26" i="4"/>
  <c r="R26" i="21"/>
  <c r="Q26" i="21" s="1"/>
  <c r="R22" i="4"/>
  <c r="AA35" i="4"/>
  <c r="AC34" i="4"/>
  <c r="AA39" i="4"/>
  <c r="AF40" i="4"/>
  <c r="P22" i="4"/>
  <c r="Q22" i="4"/>
  <c r="U16" i="4"/>
  <c r="Y13" i="13" s="1"/>
  <c r="P97" i="13" s="1"/>
  <c r="V16" i="4"/>
  <c r="Z13" i="13" s="1"/>
  <c r="Q97" i="13" s="1"/>
  <c r="T16" i="4"/>
  <c r="X13" i="13" s="1"/>
  <c r="O97" i="13" s="1"/>
  <c r="Q18" i="4"/>
  <c r="Q16" i="4"/>
  <c r="P16" i="4"/>
  <c r="P18" i="4"/>
  <c r="Q15" i="4"/>
  <c r="R49" i="4"/>
  <c r="I49" i="4"/>
  <c r="R51" i="4"/>
  <c r="I51" i="4"/>
  <c r="R55" i="4"/>
  <c r="I55" i="4"/>
  <c r="R57" i="4"/>
  <c r="I57" i="4"/>
  <c r="R59" i="4"/>
  <c r="I59" i="4"/>
  <c r="R61" i="4"/>
  <c r="I61" i="4"/>
  <c r="R63" i="4"/>
  <c r="I63" i="4"/>
  <c r="R65" i="4"/>
  <c r="I65" i="4"/>
  <c r="R67" i="4"/>
  <c r="I67" i="4"/>
  <c r="R69" i="4"/>
  <c r="I69" i="4"/>
  <c r="R71" i="4"/>
  <c r="I71" i="4"/>
  <c r="R73" i="4"/>
  <c r="I73" i="4"/>
  <c r="R75" i="4"/>
  <c r="I75" i="4"/>
  <c r="R77" i="4"/>
  <c r="I77" i="4"/>
  <c r="R79" i="4"/>
  <c r="I79" i="4"/>
  <c r="R81" i="4"/>
  <c r="I81" i="4"/>
  <c r="R83" i="4"/>
  <c r="I83" i="4"/>
  <c r="R85" i="4"/>
  <c r="I85" i="4"/>
  <c r="R87" i="4"/>
  <c r="I87" i="4"/>
  <c r="R89" i="4"/>
  <c r="I89" i="4"/>
  <c r="R91" i="4"/>
  <c r="I91" i="4"/>
  <c r="R93" i="4"/>
  <c r="I93" i="4"/>
  <c r="R95" i="4"/>
  <c r="I95" i="4"/>
  <c r="G17" i="5"/>
  <c r="J17" i="5"/>
  <c r="K17" i="5"/>
  <c r="G16" i="5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J24" i="17"/>
  <c r="K24" i="17"/>
  <c r="I24" i="17"/>
  <c r="J18" i="17"/>
  <c r="X18" i="17" s="1"/>
  <c r="K18" i="17"/>
  <c r="Y18" i="17" s="1"/>
  <c r="I18" i="17"/>
  <c r="W18" i="17" s="1"/>
  <c r="J11" i="17"/>
  <c r="X13" i="17" s="1"/>
  <c r="K11" i="17"/>
  <c r="Y13" i="17" s="1"/>
  <c r="J6" i="17"/>
  <c r="K6" i="17"/>
  <c r="I6" i="17"/>
  <c r="U21" i="17"/>
  <c r="V21" i="17"/>
  <c r="T21" i="17"/>
  <c r="W21" i="17" s="1"/>
  <c r="U18" i="17"/>
  <c r="V18" i="17"/>
  <c r="T18" i="17"/>
  <c r="U13" i="17"/>
  <c r="V13" i="17"/>
  <c r="T13" i="17"/>
  <c r="W13" i="17" s="1"/>
  <c r="U8" i="17"/>
  <c r="X8" i="17" s="1"/>
  <c r="V8" i="17"/>
  <c r="Y8" i="17" s="1"/>
  <c r="T8" i="17"/>
  <c r="W8" i="17" s="1"/>
  <c r="AV22" i="13"/>
  <c r="AV23" i="13"/>
  <c r="AV24" i="13"/>
  <c r="AV25" i="13"/>
  <c r="AV26" i="13"/>
  <c r="AV27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22" i="13"/>
  <c r="AT23" i="13"/>
  <c r="AT24" i="13"/>
  <c r="AT25" i="13"/>
  <c r="AT26" i="13"/>
  <c r="AT27" i="13"/>
  <c r="AT28" i="13"/>
  <c r="AT29" i="13"/>
  <c r="AT30" i="13"/>
  <c r="AT31" i="13"/>
  <c r="AT32" i="13"/>
  <c r="AT33" i="13"/>
  <c r="AT34" i="13"/>
  <c r="AT35" i="13"/>
  <c r="AT36" i="13"/>
  <c r="AT37" i="13"/>
  <c r="AT38" i="13"/>
  <c r="AT39" i="13"/>
  <c r="AT40" i="13"/>
  <c r="AT41" i="13"/>
  <c r="AT42" i="13"/>
  <c r="AT43" i="13"/>
  <c r="AT44" i="13"/>
  <c r="AT45" i="13"/>
  <c r="AT46" i="13"/>
  <c r="AT47" i="13"/>
  <c r="AT48" i="13"/>
  <c r="AT49" i="13"/>
  <c r="AT50" i="13"/>
  <c r="AT51" i="13"/>
  <c r="AT52" i="13"/>
  <c r="AT53" i="13"/>
  <c r="AT54" i="13"/>
  <c r="AT55" i="13"/>
  <c r="AT56" i="13"/>
  <c r="AT57" i="13"/>
  <c r="AT58" i="13"/>
  <c r="AT59" i="13"/>
  <c r="AF11" i="13"/>
  <c r="U95" i="13" s="1"/>
  <c r="H7" i="15"/>
  <c r="AG11" i="13"/>
  <c r="V95" i="13" s="1"/>
  <c r="I7" i="15"/>
  <c r="AH11" i="13"/>
  <c r="G7" i="15"/>
  <c r="U11" i="13"/>
  <c r="J16" i="5"/>
  <c r="K16" i="5"/>
  <c r="AC10" i="4"/>
  <c r="AF10" i="13"/>
  <c r="J19" i="12"/>
  <c r="M19" i="12" s="1"/>
  <c r="U88" i="12"/>
  <c r="U89" i="12"/>
  <c r="U90" i="12"/>
  <c r="U91" i="12"/>
  <c r="U92" i="12"/>
  <c r="U93" i="12"/>
  <c r="U94" i="12"/>
  <c r="U95" i="12"/>
  <c r="U87" i="12"/>
  <c r="U11" i="4"/>
  <c r="X11" i="4" s="1"/>
  <c r="V11" i="4"/>
  <c r="Y11" i="4" s="1"/>
  <c r="T11" i="4"/>
  <c r="U10" i="4"/>
  <c r="X10" i="4" s="1"/>
  <c r="V10" i="4"/>
  <c r="Y10" i="4" s="1"/>
  <c r="T10" i="4"/>
  <c r="U9" i="4"/>
  <c r="Y11" i="13" s="1"/>
  <c r="P95" i="13" s="1"/>
  <c r="V9" i="4"/>
  <c r="Y9" i="4" s="1"/>
  <c r="T9" i="4"/>
  <c r="U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V11" i="13" s="1"/>
  <c r="AR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W10" i="4"/>
  <c r="Z10" i="4"/>
  <c r="W11" i="4"/>
  <c r="Z11" i="4" s="1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O7" i="2"/>
  <c r="Z7" i="7" s="1"/>
  <c r="O8" i="2"/>
  <c r="O9" i="2"/>
  <c r="Z9" i="7" s="1"/>
  <c r="S5" i="4"/>
  <c r="X6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O8" i="4"/>
  <c r="I16" i="7"/>
  <c r="I17" i="7"/>
  <c r="I18" i="7"/>
  <c r="I19" i="7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35" i="12"/>
  <c r="J15" i="12"/>
  <c r="M15" i="12" s="1"/>
  <c r="G142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47" i="12"/>
  <c r="J14" i="12"/>
  <c r="M14" i="12" s="1"/>
  <c r="J13" i="12"/>
  <c r="M13" i="12" s="1"/>
  <c r="J41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8" i="2"/>
  <c r="V39" i="2"/>
  <c r="V41" i="2"/>
  <c r="V43" i="2"/>
  <c r="V45" i="2"/>
  <c r="V47" i="2"/>
  <c r="V49" i="2"/>
  <c r="V51" i="2"/>
  <c r="V52" i="2"/>
  <c r="V54" i="2"/>
  <c r="V56" i="2"/>
  <c r="V57" i="2"/>
  <c r="V58" i="2"/>
  <c r="V59" i="2"/>
  <c r="V60" i="2"/>
  <c r="V61" i="2"/>
  <c r="V63" i="2"/>
  <c r="V64" i="2"/>
  <c r="V65" i="2"/>
  <c r="V66" i="2"/>
  <c r="V67" i="2"/>
  <c r="V68" i="2"/>
  <c r="O57" i="2"/>
  <c r="Z40" i="7" s="1"/>
  <c r="O58" i="2"/>
  <c r="Z41" i="7" s="1"/>
  <c r="O59" i="2"/>
  <c r="Z42" i="7" s="1"/>
  <c r="O60" i="2"/>
  <c r="Z43" i="7" s="1"/>
  <c r="O61" i="2"/>
  <c r="Z44" i="7" s="1"/>
  <c r="O63" i="2"/>
  <c r="Z45" i="7" s="1"/>
  <c r="O64" i="2"/>
  <c r="Z46" i="7" s="1"/>
  <c r="O65" i="2"/>
  <c r="Z47" i="7" s="1"/>
  <c r="O66" i="2"/>
  <c r="Z48" i="7" s="1"/>
  <c r="O67" i="2"/>
  <c r="Z49" i="7" s="1"/>
  <c r="O56" i="2"/>
  <c r="Z39" i="7" s="1"/>
  <c r="R8" i="2"/>
  <c r="AD8" i="7" s="1"/>
  <c r="R9" i="2"/>
  <c r="AD9" i="7" s="1"/>
  <c r="R10" i="2"/>
  <c r="AD10" i="7" s="1"/>
  <c r="R11" i="2"/>
  <c r="AD11" i="7" s="1"/>
  <c r="R13" i="2"/>
  <c r="AD12" i="7" s="1"/>
  <c r="R15" i="2"/>
  <c r="AD13" i="7" s="1"/>
  <c r="R16" i="2"/>
  <c r="AD14" i="7" s="1"/>
  <c r="R17" i="2"/>
  <c r="AD15" i="7" s="1"/>
  <c r="R18" i="2"/>
  <c r="AD16" i="7" s="1"/>
  <c r="R19" i="2"/>
  <c r="AD17" i="7" s="1"/>
  <c r="R21" i="2"/>
  <c r="AD18" i="7" s="1"/>
  <c r="R22" i="2"/>
  <c r="AD19" i="7" s="1"/>
  <c r="R24" i="2"/>
  <c r="AD20" i="7" s="1"/>
  <c r="R26" i="2"/>
  <c r="AD21" i="7" s="1"/>
  <c r="R27" i="2"/>
  <c r="AD22" i="7" s="1"/>
  <c r="R28" i="2"/>
  <c r="AD23" i="7" s="1"/>
  <c r="R29" i="2"/>
  <c r="AD24" i="7" s="1"/>
  <c r="R30" i="2"/>
  <c r="AD25" i="7" s="1"/>
  <c r="R31" i="2"/>
  <c r="AD26" i="7" s="1"/>
  <c r="R32" i="2"/>
  <c r="AD27" i="7" s="1"/>
  <c r="R33" i="2"/>
  <c r="AD28" i="7" s="1"/>
  <c r="R38" i="2"/>
  <c r="AD29" i="7" s="1"/>
  <c r="R39" i="2"/>
  <c r="AD30" i="7" s="1"/>
  <c r="R41" i="2"/>
  <c r="AD31" i="7" s="1"/>
  <c r="R43" i="2"/>
  <c r="AD32" i="7" s="1"/>
  <c r="R45" i="2"/>
  <c r="AD33" i="7" s="1"/>
  <c r="R47" i="2"/>
  <c r="AD34" i="7" s="1"/>
  <c r="R49" i="2"/>
  <c r="AD35" i="7" s="1"/>
  <c r="R51" i="2"/>
  <c r="AD36" i="7" s="1"/>
  <c r="R52" i="2"/>
  <c r="AD37" i="7" s="1"/>
  <c r="R54" i="2"/>
  <c r="AD38" i="7" s="1"/>
  <c r="R56" i="2"/>
  <c r="AD39" i="7" s="1"/>
  <c r="R57" i="2"/>
  <c r="AD40" i="7" s="1"/>
  <c r="R58" i="2"/>
  <c r="AD41" i="7" s="1"/>
  <c r="R59" i="2"/>
  <c r="AD42" i="7" s="1"/>
  <c r="R60" i="2"/>
  <c r="AD43" i="7" s="1"/>
  <c r="R61" i="2"/>
  <c r="AD44" i="7" s="1"/>
  <c r="R63" i="2"/>
  <c r="AD45" i="7" s="1"/>
  <c r="R64" i="2"/>
  <c r="AD46" i="7" s="1"/>
  <c r="R65" i="2"/>
  <c r="AD47" i="7" s="1"/>
  <c r="R66" i="2"/>
  <c r="AD48" i="7" s="1"/>
  <c r="R67" i="2"/>
  <c r="AD49" i="7" s="1"/>
  <c r="R68" i="2"/>
  <c r="S8" i="2"/>
  <c r="AE8" i="7" s="1"/>
  <c r="S9" i="2"/>
  <c r="AE9" i="7" s="1"/>
  <c r="S10" i="2"/>
  <c r="AE10" i="7" s="1"/>
  <c r="S11" i="2"/>
  <c r="AE11" i="7" s="1"/>
  <c r="S13" i="2"/>
  <c r="AE12" i="7" s="1"/>
  <c r="S15" i="2"/>
  <c r="AE13" i="7" s="1"/>
  <c r="S16" i="2"/>
  <c r="AE14" i="7" s="1"/>
  <c r="S17" i="2"/>
  <c r="AE15" i="7" s="1"/>
  <c r="S18" i="2"/>
  <c r="AE16" i="7" s="1"/>
  <c r="S19" i="2"/>
  <c r="AE17" i="7" s="1"/>
  <c r="S21" i="2"/>
  <c r="AE18" i="7" s="1"/>
  <c r="S22" i="2"/>
  <c r="AE19" i="7" s="1"/>
  <c r="S24" i="2"/>
  <c r="AE20" i="7" s="1"/>
  <c r="S26" i="2"/>
  <c r="AE21" i="7" s="1"/>
  <c r="S27" i="2"/>
  <c r="AE22" i="7" s="1"/>
  <c r="S28" i="2"/>
  <c r="AE23" i="7" s="1"/>
  <c r="S29" i="2"/>
  <c r="AE24" i="7" s="1"/>
  <c r="S30" i="2"/>
  <c r="AE25" i="7" s="1"/>
  <c r="S31" i="2"/>
  <c r="AE26" i="7" s="1"/>
  <c r="S32" i="2"/>
  <c r="AE27" i="7" s="1"/>
  <c r="S33" i="2"/>
  <c r="AE28" i="7" s="1"/>
  <c r="S38" i="2"/>
  <c r="AE29" i="7" s="1"/>
  <c r="S39" i="2"/>
  <c r="AE30" i="7" s="1"/>
  <c r="S41" i="2"/>
  <c r="AE31" i="7" s="1"/>
  <c r="S43" i="2"/>
  <c r="AE32" i="7" s="1"/>
  <c r="S45" i="2"/>
  <c r="AE33" i="7" s="1"/>
  <c r="S47" i="2"/>
  <c r="AE34" i="7" s="1"/>
  <c r="S49" i="2"/>
  <c r="AE35" i="7" s="1"/>
  <c r="S51" i="2"/>
  <c r="AE36" i="7" s="1"/>
  <c r="S52" i="2"/>
  <c r="AE37" i="7" s="1"/>
  <c r="S54" i="2"/>
  <c r="AE38" i="7" s="1"/>
  <c r="S56" i="2"/>
  <c r="AE39" i="7" s="1"/>
  <c r="S57" i="2"/>
  <c r="AE40" i="7" s="1"/>
  <c r="S58" i="2"/>
  <c r="AE41" i="7" s="1"/>
  <c r="S59" i="2"/>
  <c r="AE42" i="7" s="1"/>
  <c r="S60" i="2"/>
  <c r="AE43" i="7" s="1"/>
  <c r="S61" i="2"/>
  <c r="AE44" i="7" s="1"/>
  <c r="S63" i="2"/>
  <c r="AE45" i="7" s="1"/>
  <c r="S64" i="2"/>
  <c r="AE46" i="7" s="1"/>
  <c r="S65" i="2"/>
  <c r="AE47" i="7" s="1"/>
  <c r="S66" i="2"/>
  <c r="AE48" i="7" s="1"/>
  <c r="S67" i="2"/>
  <c r="AE49" i="7" s="1"/>
  <c r="S68" i="2"/>
  <c r="O49" i="2"/>
  <c r="Z35" i="7" s="1"/>
  <c r="O51" i="2"/>
  <c r="Z36" i="7" s="1"/>
  <c r="O52" i="2"/>
  <c r="Z37" i="7" s="1"/>
  <c r="O54" i="2"/>
  <c r="Z38" i="7" s="1"/>
  <c r="O68" i="2"/>
  <c r="O47" i="2"/>
  <c r="Z34" i="7" s="1"/>
  <c r="G31" i="5"/>
  <c r="J31" i="5"/>
  <c r="K31" i="5"/>
  <c r="V94" i="13"/>
  <c r="W94" i="13"/>
  <c r="R32" i="21"/>
  <c r="Q32" i="21" s="1"/>
  <c r="R32" i="4"/>
  <c r="Q32" i="4"/>
  <c r="P32" i="4"/>
  <c r="L6" i="11"/>
  <c r="P17" i="2"/>
  <c r="AC15" i="7" s="1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P5" i="5"/>
  <c r="Q5" i="5"/>
  <c r="J5" i="5"/>
  <c r="K5" i="5"/>
  <c r="R5" i="21"/>
  <c r="I5" i="21" s="1"/>
  <c r="R10" i="11"/>
  <c r="S10" i="11"/>
  <c r="T10" i="11"/>
  <c r="K57" i="14"/>
  <c r="K58" i="14"/>
  <c r="L33" i="14"/>
  <c r="L57" i="14"/>
  <c r="M57" i="14"/>
  <c r="M33" i="14"/>
  <c r="Q54" i="2"/>
  <c r="AB38" i="7" s="1"/>
  <c r="Q56" i="2"/>
  <c r="AB39" i="7" s="1"/>
  <c r="Q57" i="2"/>
  <c r="AB40" i="7" s="1"/>
  <c r="Q58" i="2"/>
  <c r="AB41" i="7" s="1"/>
  <c r="Q59" i="2"/>
  <c r="AB42" i="7" s="1"/>
  <c r="Q60" i="2"/>
  <c r="AB43" i="7"/>
  <c r="Q61" i="2"/>
  <c r="AB44" i="7" s="1"/>
  <c r="Q63" i="2"/>
  <c r="AB45" i="7" s="1"/>
  <c r="Q64" i="2"/>
  <c r="AB46" i="7" s="1"/>
  <c r="Q65" i="2"/>
  <c r="AB47" i="7" s="1"/>
  <c r="Q66" i="2"/>
  <c r="AB48" i="7" s="1"/>
  <c r="Q67" i="2"/>
  <c r="AB49" i="7" s="1"/>
  <c r="Q68" i="2"/>
  <c r="H15" i="3"/>
  <c r="K15" i="3"/>
  <c r="K14" i="3"/>
  <c r="H14" i="3"/>
  <c r="H10" i="3"/>
  <c r="O29" i="2"/>
  <c r="Z24" i="7" s="1"/>
  <c r="R5" i="4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P7" i="2"/>
  <c r="AC7" i="7" s="1"/>
  <c r="P8" i="2"/>
  <c r="AC8" i="7" s="1"/>
  <c r="AA8" i="1"/>
  <c r="AA9" i="1"/>
  <c r="F115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J58" i="5" s="1"/>
  <c r="K58" i="5" s="1"/>
  <c r="G61" i="5"/>
  <c r="R63" i="21" s="1"/>
  <c r="G62" i="5"/>
  <c r="R64" i="21" s="1"/>
  <c r="G63" i="5"/>
  <c r="J63" i="5" s="1"/>
  <c r="K63" i="5" s="1"/>
  <c r="G64" i="5"/>
  <c r="R66" i="21" s="1"/>
  <c r="G65" i="5"/>
  <c r="J65" i="5" s="1"/>
  <c r="K65" i="5" s="1"/>
  <c r="G66" i="5"/>
  <c r="J66" i="5" s="1"/>
  <c r="K66" i="5" s="1"/>
  <c r="G67" i="5"/>
  <c r="J67" i="5" s="1"/>
  <c r="K67" i="5" s="1"/>
  <c r="G68" i="5"/>
  <c r="J68" i="5" s="1"/>
  <c r="K68" i="5" s="1"/>
  <c r="G69" i="5"/>
  <c r="J69" i="5" s="1"/>
  <c r="K69" i="5" s="1"/>
  <c r="G52" i="5"/>
  <c r="R53" i="21" s="1"/>
  <c r="G53" i="5"/>
  <c r="G54" i="5"/>
  <c r="G55" i="5"/>
  <c r="G56" i="5"/>
  <c r="R58" i="21" s="1"/>
  <c r="G57" i="5"/>
  <c r="J57" i="5" s="1"/>
  <c r="K57" i="5" s="1"/>
  <c r="G50" i="5"/>
  <c r="P27" i="5" s="1"/>
  <c r="Q27" i="5" s="1"/>
  <c r="G49" i="5"/>
  <c r="J49" i="5" s="1"/>
  <c r="K49" i="5" s="1"/>
  <c r="G51" i="5"/>
  <c r="P28" i="5" s="1"/>
  <c r="Q28" i="5" s="1"/>
  <c r="R28" i="5" s="1"/>
  <c r="G48" i="5"/>
  <c r="R49" i="21" s="1"/>
  <c r="P49" i="21" s="1"/>
  <c r="G46" i="5"/>
  <c r="J46" i="5" s="1"/>
  <c r="K46" i="5" s="1"/>
  <c r="G41" i="5"/>
  <c r="J41" i="5"/>
  <c r="K41" i="5"/>
  <c r="Q7" i="2"/>
  <c r="AB7" i="7" s="1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V95" i="4"/>
  <c r="Y95" i="4" s="1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/>
  <c r="K37" i="5"/>
  <c r="G38" i="5"/>
  <c r="G39" i="5"/>
  <c r="G40" i="5"/>
  <c r="J40" i="5"/>
  <c r="J38" i="5"/>
  <c r="K38" i="5"/>
  <c r="P21" i="5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Y56" i="7"/>
  <c r="X56" i="7"/>
  <c r="W56" i="7"/>
  <c r="V56" i="7"/>
  <c r="T56" i="7"/>
  <c r="Q56" i="7"/>
  <c r="P56" i="7"/>
  <c r="O56" i="7"/>
  <c r="L39" i="5"/>
  <c r="K40" i="5"/>
  <c r="P65" i="4"/>
  <c r="R36" i="5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G21" i="5"/>
  <c r="J21" i="5"/>
  <c r="K21" i="5"/>
  <c r="R34" i="5"/>
  <c r="G36" i="5"/>
  <c r="G35" i="5"/>
  <c r="G34" i="5"/>
  <c r="J34" i="5"/>
  <c r="K34" i="5"/>
  <c r="G33" i="5"/>
  <c r="J33" i="5"/>
  <c r="K33" i="5"/>
  <c r="G32" i="5"/>
  <c r="J32" i="5"/>
  <c r="K32" i="5"/>
  <c r="G30" i="5"/>
  <c r="J30" i="5"/>
  <c r="K30" i="5"/>
  <c r="G29" i="5"/>
  <c r="J29" i="5"/>
  <c r="K29" i="5"/>
  <c r="G28" i="5"/>
  <c r="J28" i="5"/>
  <c r="K28" i="5"/>
  <c r="R37" i="4"/>
  <c r="I37" i="4"/>
  <c r="G27" i="5"/>
  <c r="J27" i="5"/>
  <c r="K27" i="5"/>
  <c r="G25" i="5"/>
  <c r="J25" i="5"/>
  <c r="K25" i="5"/>
  <c r="G24" i="5"/>
  <c r="J24" i="5"/>
  <c r="K24" i="5"/>
  <c r="G23" i="5"/>
  <c r="J23" i="5"/>
  <c r="K23" i="5"/>
  <c r="G20" i="5"/>
  <c r="J20" i="5"/>
  <c r="K20" i="5"/>
  <c r="G19" i="5"/>
  <c r="J19" i="5"/>
  <c r="K19" i="5"/>
  <c r="G18" i="5"/>
  <c r="J18" i="5"/>
  <c r="K18" i="5"/>
  <c r="G13" i="5"/>
  <c r="G12" i="5"/>
  <c r="G9" i="5"/>
  <c r="G8" i="5"/>
  <c r="R17" i="21"/>
  <c r="P17" i="21" s="1"/>
  <c r="P8" i="5"/>
  <c r="J13" i="5"/>
  <c r="K13" i="5"/>
  <c r="J35" i="5"/>
  <c r="K35" i="5"/>
  <c r="R31" i="5"/>
  <c r="L50" i="7" s="1"/>
  <c r="N50" i="7" s="1"/>
  <c r="J36" i="5"/>
  <c r="K36" i="5"/>
  <c r="J8" i="5"/>
  <c r="K8" i="5"/>
  <c r="R8" i="21"/>
  <c r="Q8" i="21" s="1"/>
  <c r="P6" i="5"/>
  <c r="J9" i="5"/>
  <c r="K9" i="5"/>
  <c r="P7" i="5"/>
  <c r="R9" i="21"/>
  <c r="Q9" i="21" s="1"/>
  <c r="J12" i="5"/>
  <c r="K12" i="5"/>
  <c r="R12" i="21"/>
  <c r="Q12" i="21" s="1"/>
  <c r="R21" i="4"/>
  <c r="R21" i="21"/>
  <c r="P21" i="21" s="1"/>
  <c r="R34" i="4"/>
  <c r="R33" i="4"/>
  <c r="R45" i="4"/>
  <c r="I45" i="4" s="1"/>
  <c r="S25" i="5"/>
  <c r="R31" i="21"/>
  <c r="Q31" i="21" s="1"/>
  <c r="R31" i="4"/>
  <c r="R30" i="4"/>
  <c r="Q30" i="4"/>
  <c r="R30" i="21"/>
  <c r="P30" i="21" s="1"/>
  <c r="Q19" i="5"/>
  <c r="R29" i="21"/>
  <c r="Q29" i="21" s="1"/>
  <c r="R27" i="21"/>
  <c r="Q27" i="21" s="1"/>
  <c r="R25" i="21"/>
  <c r="P25" i="21" s="1"/>
  <c r="R24" i="21"/>
  <c r="Q24" i="21" s="1"/>
  <c r="R23" i="21"/>
  <c r="P23" i="21" s="1"/>
  <c r="R20" i="4"/>
  <c r="R20" i="21"/>
  <c r="Q20" i="21" s="1"/>
  <c r="R19" i="21"/>
  <c r="P19" i="21" s="1"/>
  <c r="S20" i="5"/>
  <c r="R41" i="4"/>
  <c r="I41" i="4"/>
  <c r="R29" i="4"/>
  <c r="R27" i="4"/>
  <c r="R25" i="4"/>
  <c r="R24" i="4"/>
  <c r="R23" i="4"/>
  <c r="S15" i="5"/>
  <c r="R19" i="4"/>
  <c r="Q12" i="5"/>
  <c r="J31" i="7"/>
  <c r="S16" i="5"/>
  <c r="P69" i="4"/>
  <c r="R38" i="5"/>
  <c r="Q10" i="5"/>
  <c r="J29" i="7"/>
  <c r="S26" i="5"/>
  <c r="O5" i="4"/>
  <c r="R33" i="5"/>
  <c r="Q13" i="5"/>
  <c r="Q20" i="4"/>
  <c r="P20" i="4"/>
  <c r="Q9" i="5"/>
  <c r="Q8" i="5"/>
  <c r="Q7" i="5"/>
  <c r="Q6" i="5"/>
  <c r="R43" i="4"/>
  <c r="I43" i="4"/>
  <c r="P30" i="4"/>
  <c r="P21" i="4"/>
  <c r="Q21" i="4"/>
  <c r="Q33" i="4"/>
  <c r="P33" i="4"/>
  <c r="P31" i="4"/>
  <c r="Q31" i="4"/>
  <c r="R17" i="4"/>
  <c r="R13" i="21"/>
  <c r="R13" i="4"/>
  <c r="R9" i="4"/>
  <c r="J41" i="7"/>
  <c r="J39" i="7"/>
  <c r="R39" i="5"/>
  <c r="J24" i="7"/>
  <c r="P5" i="21"/>
  <c r="Q20" i="5"/>
  <c r="R20" i="5"/>
  <c r="S21" i="5"/>
  <c r="P29" i="4"/>
  <c r="Q29" i="4"/>
  <c r="P27" i="4"/>
  <c r="Q27" i="4"/>
  <c r="J36" i="7"/>
  <c r="S19" i="5"/>
  <c r="R39" i="4"/>
  <c r="I39" i="4"/>
  <c r="P19" i="4"/>
  <c r="Q19" i="4"/>
  <c r="Q25" i="4"/>
  <c r="P25" i="4"/>
  <c r="P24" i="4"/>
  <c r="Q24" i="4"/>
  <c r="Q23" i="4"/>
  <c r="P23" i="4"/>
  <c r="R35" i="4"/>
  <c r="Q21" i="5"/>
  <c r="Q26" i="4"/>
  <c r="P26" i="4"/>
  <c r="Q18" i="5"/>
  <c r="J35" i="7"/>
  <c r="S18" i="5"/>
  <c r="Q16" i="5"/>
  <c r="Q15" i="5"/>
  <c r="J33" i="7"/>
  <c r="Q11" i="5"/>
  <c r="R11" i="5"/>
  <c r="P45" i="4"/>
  <c r="J43" i="7"/>
  <c r="P63" i="4"/>
  <c r="R35" i="5"/>
  <c r="I11" i="4"/>
  <c r="I7" i="4"/>
  <c r="I5" i="4"/>
  <c r="R5" i="5"/>
  <c r="R22" i="5"/>
  <c r="P37" i="4"/>
  <c r="R24" i="5"/>
  <c r="P41" i="4"/>
  <c r="R10" i="5"/>
  <c r="R12" i="5"/>
  <c r="R26" i="5"/>
  <c r="N18" i="7"/>
  <c r="N16" i="7"/>
  <c r="P71" i="4"/>
  <c r="N8" i="7"/>
  <c r="P5" i="4"/>
  <c r="R19" i="5"/>
  <c r="R13" i="5"/>
  <c r="J32" i="7"/>
  <c r="J28" i="7"/>
  <c r="P13" i="21"/>
  <c r="P13" i="4"/>
  <c r="R9" i="5"/>
  <c r="J26" i="7"/>
  <c r="P9" i="4"/>
  <c r="R7" i="5"/>
  <c r="P9" i="21"/>
  <c r="R6" i="5"/>
  <c r="P7" i="4"/>
  <c r="C10" i="13"/>
  <c r="P47" i="4"/>
  <c r="J44" i="7"/>
  <c r="R27" i="5"/>
  <c r="J25" i="7"/>
  <c r="P7" i="21"/>
  <c r="J27" i="7"/>
  <c r="P11" i="21"/>
  <c r="P11" i="4"/>
  <c r="R8" i="5"/>
  <c r="P17" i="4"/>
  <c r="Q17" i="4"/>
  <c r="I9" i="4"/>
  <c r="O9" i="4"/>
  <c r="J30" i="7"/>
  <c r="J40" i="7"/>
  <c r="J34" i="7"/>
  <c r="R16" i="5"/>
  <c r="J37" i="7"/>
  <c r="P35" i="4"/>
  <c r="C13" i="13"/>
  <c r="C15" i="13"/>
  <c r="C14" i="13"/>
  <c r="R23" i="5"/>
  <c r="P39" i="4"/>
  <c r="R18" i="5"/>
  <c r="J38" i="7"/>
  <c r="R21" i="5"/>
  <c r="R15" i="5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Q52" i="2"/>
  <c r="AB37" i="7" s="1"/>
  <c r="Q51" i="2"/>
  <c r="AB36" i="7" s="1"/>
  <c r="Q49" i="2"/>
  <c r="AB35" i="7" s="1"/>
  <c r="Q47" i="2"/>
  <c r="AB34" i="7" s="1"/>
  <c r="Q45" i="2"/>
  <c r="AB33" i="7" s="1"/>
  <c r="O45" i="2"/>
  <c r="Z33" i="7" s="1"/>
  <c r="Q43" i="2"/>
  <c r="AB32" i="7"/>
  <c r="O43" i="2"/>
  <c r="Z32" i="7" s="1"/>
  <c r="Q41" i="2"/>
  <c r="AB31" i="7" s="1"/>
  <c r="O41" i="2"/>
  <c r="Z31" i="7" s="1"/>
  <c r="Q39" i="2"/>
  <c r="AB30" i="7" s="1"/>
  <c r="O39" i="2"/>
  <c r="Z30" i="7" s="1"/>
  <c r="Q38" i="2"/>
  <c r="AB29" i="7" s="1"/>
  <c r="O38" i="2"/>
  <c r="Z29" i="7" s="1"/>
  <c r="Q33" i="2"/>
  <c r="AB28" i="7" s="1"/>
  <c r="O33" i="2"/>
  <c r="Z28" i="7" s="1"/>
  <c r="Q32" i="2"/>
  <c r="AB27" i="7" s="1"/>
  <c r="Q31" i="2"/>
  <c r="AB26" i="7"/>
  <c r="O31" i="2"/>
  <c r="Z26" i="7" s="1"/>
  <c r="Q30" i="2"/>
  <c r="AB25" i="7" s="1"/>
  <c r="O30" i="2"/>
  <c r="Z25" i="7" s="1"/>
  <c r="Q29" i="2"/>
  <c r="AB24" i="7"/>
  <c r="Q28" i="2"/>
  <c r="AB23" i="7" s="1"/>
  <c r="O28" i="2"/>
  <c r="Z23" i="7" s="1"/>
  <c r="Q27" i="2"/>
  <c r="AB22" i="7" s="1"/>
  <c r="O27" i="2"/>
  <c r="Z22" i="7" s="1"/>
  <c r="Q26" i="2"/>
  <c r="AB21" i="7" s="1"/>
  <c r="O26" i="2"/>
  <c r="Z21" i="7" s="1"/>
  <c r="Q24" i="2"/>
  <c r="AB20" i="7" s="1"/>
  <c r="Q22" i="2"/>
  <c r="AB19" i="7" s="1"/>
  <c r="O22" i="2"/>
  <c r="Z19" i="7" s="1"/>
  <c r="Q21" i="2"/>
  <c r="AB18" i="7" s="1"/>
  <c r="O21" i="2"/>
  <c r="Z18" i="7" s="1"/>
  <c r="Q19" i="2"/>
  <c r="AB17" i="7" s="1"/>
  <c r="O19" i="2"/>
  <c r="Z17" i="7" s="1"/>
  <c r="Q18" i="2"/>
  <c r="AB16" i="7" s="1"/>
  <c r="P18" i="2"/>
  <c r="AC16" i="7" s="1"/>
  <c r="O18" i="2"/>
  <c r="Z16" i="7" s="1"/>
  <c r="Q17" i="2"/>
  <c r="AB15" i="7" s="1"/>
  <c r="O17" i="2"/>
  <c r="Z15" i="7" s="1"/>
  <c r="Q16" i="2"/>
  <c r="AB14" i="7" s="1"/>
  <c r="P16" i="2"/>
  <c r="AC14" i="7" s="1"/>
  <c r="O16" i="2"/>
  <c r="Z14" i="7" s="1"/>
  <c r="Q15" i="2"/>
  <c r="AB13" i="7" s="1"/>
  <c r="P15" i="2"/>
  <c r="AC13" i="7" s="1"/>
  <c r="O15" i="2"/>
  <c r="Z13" i="7" s="1"/>
  <c r="Q13" i="2"/>
  <c r="AB12" i="7" s="1"/>
  <c r="P13" i="2"/>
  <c r="AC12" i="7" s="1"/>
  <c r="Q11" i="2"/>
  <c r="AB11" i="7" s="1"/>
  <c r="P11" i="2"/>
  <c r="O11" i="2"/>
  <c r="Z11" i="7" s="1"/>
  <c r="Q10" i="2"/>
  <c r="AB10" i="7" s="1"/>
  <c r="P10" i="2"/>
  <c r="AC10" i="7" s="1"/>
  <c r="Q9" i="2"/>
  <c r="AB9" i="7" s="1"/>
  <c r="P9" i="2"/>
  <c r="AC9" i="7" s="1"/>
  <c r="Q8" i="2"/>
  <c r="AB8" i="7" s="1"/>
  <c r="C11" i="13"/>
  <c r="O14" i="4"/>
  <c r="C12" i="13"/>
  <c r="AB26" i="4"/>
  <c r="AC14" i="4"/>
  <c r="AC15" i="4"/>
  <c r="M57" i="7"/>
  <c r="AC19" i="4"/>
  <c r="Z12" i="7"/>
  <c r="E19" i="7"/>
  <c r="X32" i="21" l="1"/>
  <c r="W71" i="21"/>
  <c r="W76" i="21"/>
  <c r="N75" i="21"/>
  <c r="O76" i="21"/>
  <c r="Y72" i="21"/>
  <c r="Y89" i="21"/>
  <c r="W89" i="21"/>
  <c r="O14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A14" i="13"/>
  <c r="U16" i="13"/>
  <c r="A16" i="13"/>
  <c r="O18" i="13"/>
  <c r="AP11" i="13"/>
  <c r="U17" i="13"/>
  <c r="O19" i="13" s="1"/>
  <c r="AO19" i="13" s="1"/>
  <c r="A17" i="13"/>
  <c r="AP10" i="13"/>
  <c r="BM11" i="13"/>
  <c r="Y66" i="21"/>
  <c r="N65" i="21"/>
  <c r="P63" i="21"/>
  <c r="I63" i="21"/>
  <c r="Q63" i="21"/>
  <c r="J61" i="5"/>
  <c r="K61" i="5" s="1"/>
  <c r="J62" i="5"/>
  <c r="K62" i="5" s="1"/>
  <c r="P64" i="21"/>
  <c r="O64" i="21" s="1"/>
  <c r="I64" i="21"/>
  <c r="Q64" i="21"/>
  <c r="W38" i="4"/>
  <c r="O12" i="13"/>
  <c r="D12" i="13" s="1"/>
  <c r="O15" i="13"/>
  <c r="N99" i="13" s="1"/>
  <c r="N95" i="13"/>
  <c r="D11" i="13"/>
  <c r="Y32" i="4"/>
  <c r="Y12" i="4"/>
  <c r="O38" i="4"/>
  <c r="W37" i="4"/>
  <c r="AQ10" i="13"/>
  <c r="D10" i="13"/>
  <c r="U18" i="13"/>
  <c r="H56" i="21"/>
  <c r="I56" i="21" s="1"/>
  <c r="AM19" i="13"/>
  <c r="AL19" i="13"/>
  <c r="V15" i="13"/>
  <c r="AR15" i="13" s="1"/>
  <c r="W81" i="21"/>
  <c r="W95" i="21"/>
  <c r="Y95" i="21"/>
  <c r="W96" i="21"/>
  <c r="X13" i="21"/>
  <c r="W34" i="21"/>
  <c r="AB34" i="21" s="1"/>
  <c r="W69" i="21"/>
  <c r="Q58" i="21"/>
  <c r="P58" i="21"/>
  <c r="Z15" i="13"/>
  <c r="Q99" i="13" s="1"/>
  <c r="X14" i="13"/>
  <c r="O98" i="13" s="1"/>
  <c r="X11" i="13"/>
  <c r="O95" i="13" s="1"/>
  <c r="Z12" i="13"/>
  <c r="Q96" i="13" s="1"/>
  <c r="Y15" i="13"/>
  <c r="P99" i="13" s="1"/>
  <c r="Y10" i="13"/>
  <c r="P94" i="13" s="1"/>
  <c r="Z11" i="13"/>
  <c r="Q95" i="13" s="1"/>
  <c r="X12" i="13"/>
  <c r="O96" i="13" s="1"/>
  <c r="X10" i="13"/>
  <c r="AP67" i="13" s="1"/>
  <c r="Y12" i="13"/>
  <c r="P96" i="13" s="1"/>
  <c r="Z10" i="13"/>
  <c r="V99" i="4"/>
  <c r="U99" i="4"/>
  <c r="T99" i="4"/>
  <c r="X5" i="4"/>
  <c r="AB10" i="13" s="1"/>
  <c r="AM10" i="13" s="1"/>
  <c r="X28" i="4"/>
  <c r="P30" i="5"/>
  <c r="R57" i="21"/>
  <c r="M26" i="12"/>
  <c r="M8" i="12"/>
  <c r="K35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O25" i="21" s="1"/>
  <c r="U14" i="13"/>
  <c r="O16" i="13" s="1"/>
  <c r="N100" i="13" s="1"/>
  <c r="H35" i="21"/>
  <c r="H36" i="21" s="1"/>
  <c r="I36" i="21" s="1"/>
  <c r="V17" i="13"/>
  <c r="AR17" i="13" s="1"/>
  <c r="M20" i="21"/>
  <c r="M21" i="21" s="1"/>
  <c r="X21" i="21" s="1"/>
  <c r="AQ11" i="13"/>
  <c r="X81" i="21"/>
  <c r="Y5" i="21"/>
  <c r="P27" i="21"/>
  <c r="Q40" i="21"/>
  <c r="W32" i="21"/>
  <c r="AB32" i="21" s="1"/>
  <c r="Q17" i="21"/>
  <c r="I7" i="21"/>
  <c r="W68" i="21"/>
  <c r="X34" i="21"/>
  <c r="X68" i="21"/>
  <c r="P29" i="21"/>
  <c r="X69" i="21"/>
  <c r="P24" i="21"/>
  <c r="O24" i="21" s="1"/>
  <c r="Y70" i="21"/>
  <c r="X102" i="21"/>
  <c r="X72" i="21"/>
  <c r="X94" i="21"/>
  <c r="X14" i="21"/>
  <c r="H38" i="21"/>
  <c r="I38" i="21" s="1"/>
  <c r="W13" i="21"/>
  <c r="AB13" i="21" s="1"/>
  <c r="AB5" i="21"/>
  <c r="W79" i="21"/>
  <c r="Y80" i="21"/>
  <c r="X80" i="21"/>
  <c r="M6" i="21"/>
  <c r="M7" i="21" s="1"/>
  <c r="Y34" i="21"/>
  <c r="J53" i="5"/>
  <c r="K53" i="5" s="1"/>
  <c r="J52" i="5"/>
  <c r="K52" i="5" s="1"/>
  <c r="P53" i="21"/>
  <c r="Q53" i="21"/>
  <c r="S28" i="5"/>
  <c r="J51" i="5"/>
  <c r="K51" i="5" s="1"/>
  <c r="M27" i="12"/>
  <c r="I20" i="21"/>
  <c r="I9" i="21"/>
  <c r="P36" i="21"/>
  <c r="W85" i="21"/>
  <c r="Q19" i="21"/>
  <c r="W64" i="21"/>
  <c r="Y77" i="21"/>
  <c r="Y85" i="21"/>
  <c r="I6" i="21"/>
  <c r="X64" i="21"/>
  <c r="AB21" i="13" s="1"/>
  <c r="W78" i="21"/>
  <c r="W87" i="21"/>
  <c r="Q22" i="21"/>
  <c r="W86" i="21"/>
  <c r="H8" i="21"/>
  <c r="I8" i="21" s="1"/>
  <c r="Y78" i="21"/>
  <c r="Y94" i="21"/>
  <c r="W83" i="21"/>
  <c r="P20" i="21"/>
  <c r="W67" i="21"/>
  <c r="Y79" i="21"/>
  <c r="W88" i="21"/>
  <c r="W84" i="21"/>
  <c r="Y83" i="21"/>
  <c r="W92" i="21"/>
  <c r="Q21" i="21"/>
  <c r="Q23" i="21"/>
  <c r="P32" i="21"/>
  <c r="O32" i="21" s="1"/>
  <c r="AA109" i="21"/>
  <c r="X67" i="21"/>
  <c r="W93" i="21"/>
  <c r="P69" i="2"/>
  <c r="Y8" i="2" s="1"/>
  <c r="Y26" i="2" s="1"/>
  <c r="J50" i="5"/>
  <c r="R47" i="4"/>
  <c r="I47" i="4" s="1"/>
  <c r="S27" i="5"/>
  <c r="J42" i="7"/>
  <c r="P43" i="4"/>
  <c r="O43" i="4" s="1"/>
  <c r="C17" i="13"/>
  <c r="X90" i="21"/>
  <c r="V90" i="21"/>
  <c r="Y90" i="21" s="1"/>
  <c r="V82" i="21"/>
  <c r="Y82" i="21" s="1"/>
  <c r="X82" i="21"/>
  <c r="C18" i="13"/>
  <c r="Y73" i="21"/>
  <c r="Q41" i="21"/>
  <c r="Q30" i="21"/>
  <c r="X15" i="21"/>
  <c r="X74" i="21"/>
  <c r="W90" i="21"/>
  <c r="U96" i="21"/>
  <c r="V96" i="21" s="1"/>
  <c r="Y96" i="21" s="1"/>
  <c r="P26" i="21"/>
  <c r="H10" i="21"/>
  <c r="W75" i="21"/>
  <c r="U86" i="21"/>
  <c r="V86" i="21" s="1"/>
  <c r="Y86" i="21" s="1"/>
  <c r="Y97" i="21"/>
  <c r="Q42" i="21"/>
  <c r="P31" i="21"/>
  <c r="P35" i="21"/>
  <c r="W9" i="21"/>
  <c r="AB9" i="21" s="1"/>
  <c r="H21" i="21"/>
  <c r="I21" i="21" s="1"/>
  <c r="W70" i="21"/>
  <c r="X75" i="21"/>
  <c r="X87" i="21"/>
  <c r="X91" i="21"/>
  <c r="W97" i="21"/>
  <c r="X5" i="21"/>
  <c r="Q43" i="21"/>
  <c r="X12" i="21"/>
  <c r="X24" i="21"/>
  <c r="W65" i="21"/>
  <c r="W91" i="21"/>
  <c r="Q44" i="21"/>
  <c r="Y74" i="21"/>
  <c r="Y15" i="21"/>
  <c r="Y65" i="21"/>
  <c r="AC21" i="13" s="1"/>
  <c r="AN21" i="13" s="1"/>
  <c r="X76" i="21"/>
  <c r="W98" i="21"/>
  <c r="Q39" i="21"/>
  <c r="Q46" i="21"/>
  <c r="Q5" i="21"/>
  <c r="W12" i="21"/>
  <c r="AB12" i="21" s="1"/>
  <c r="W24" i="21"/>
  <c r="AB24" i="21" s="1"/>
  <c r="W66" i="21"/>
  <c r="Y76" i="21"/>
  <c r="W82" i="21"/>
  <c r="Y98" i="21"/>
  <c r="AI11" i="21"/>
  <c r="AI12" i="21" s="1"/>
  <c r="AI13" i="21" s="1"/>
  <c r="U88" i="21"/>
  <c r="W94" i="21"/>
  <c r="X73" i="21"/>
  <c r="U84" i="21"/>
  <c r="Y14" i="21"/>
  <c r="Q45" i="21"/>
  <c r="Y24" i="21"/>
  <c r="U107" i="21"/>
  <c r="U92" i="21"/>
  <c r="V92" i="21" s="1"/>
  <c r="Y92" i="21" s="1"/>
  <c r="Q38" i="21"/>
  <c r="V107" i="21"/>
  <c r="P37" i="21"/>
  <c r="Q25" i="21"/>
  <c r="X66" i="21"/>
  <c r="W77" i="21"/>
  <c r="X93" i="21"/>
  <c r="W102" i="21"/>
  <c r="O5" i="21"/>
  <c r="AA110" i="21"/>
  <c r="AH60" i="13"/>
  <c r="H48" i="21"/>
  <c r="AM11" i="13"/>
  <c r="AA10" i="13"/>
  <c r="M28" i="21"/>
  <c r="H28" i="21"/>
  <c r="I28" i="21" s="1"/>
  <c r="AF60" i="13"/>
  <c r="M48" i="21"/>
  <c r="AG60" i="13"/>
  <c r="J48" i="5"/>
  <c r="K48" i="5" s="1"/>
  <c r="Q49" i="21"/>
  <c r="AC11" i="7"/>
  <c r="AC57" i="7" s="1"/>
  <c r="S69" i="2"/>
  <c r="V69" i="2"/>
  <c r="AC8" i="2" s="1"/>
  <c r="O69" i="2"/>
  <c r="AF57" i="7"/>
  <c r="Z8" i="7"/>
  <c r="Z56" i="7" s="1"/>
  <c r="U69" i="2"/>
  <c r="R69" i="2"/>
  <c r="AB8" i="2" s="1"/>
  <c r="AB26" i="2" s="1"/>
  <c r="AB57" i="7"/>
  <c r="AB56" i="7"/>
  <c r="AF56" i="7"/>
  <c r="T69" i="2"/>
  <c r="Q69" i="2"/>
  <c r="Z8" i="2" s="1"/>
  <c r="Z26" i="2" s="1"/>
  <c r="AA57" i="7"/>
  <c r="L17" i="1"/>
  <c r="N16" i="1" s="1"/>
  <c r="C12" i="7" s="1"/>
  <c r="G12" i="7" s="1"/>
  <c r="H12" i="7" s="1"/>
  <c r="E40" i="7"/>
  <c r="L32" i="1"/>
  <c r="N22" i="1"/>
  <c r="E44" i="7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C42" i="7" s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61" i="7"/>
  <c r="X63" i="7" s="1"/>
  <c r="Z14" i="12"/>
  <c r="F59" i="7"/>
  <c r="X61" i="7" s="1"/>
  <c r="F60" i="7"/>
  <c r="X64" i="7" s="1"/>
  <c r="X62" i="7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L57" i="7"/>
  <c r="N44" i="7"/>
  <c r="N57" i="7"/>
  <c r="I25" i="4"/>
  <c r="Y24" i="4"/>
  <c r="N96" i="13"/>
  <c r="W95" i="13"/>
  <c r="W101" i="13" s="1"/>
  <c r="AO12" i="13"/>
  <c r="AL10" i="13"/>
  <c r="O32" i="4"/>
  <c r="X32" i="4"/>
  <c r="O16" i="4"/>
  <c r="X16" i="4"/>
  <c r="H26" i="21"/>
  <c r="I25" i="21"/>
  <c r="Y16" i="4"/>
  <c r="M16" i="21"/>
  <c r="H34" i="4"/>
  <c r="I34" i="4" s="1"/>
  <c r="I33" i="4"/>
  <c r="O24" i="4"/>
  <c r="W28" i="4"/>
  <c r="M29" i="4"/>
  <c r="O29" i="4" s="1"/>
  <c r="W24" i="4"/>
  <c r="V101" i="13"/>
  <c r="N60" i="13"/>
  <c r="V60" i="13" s="1"/>
  <c r="V10" i="13"/>
  <c r="AR10" i="13" s="1"/>
  <c r="W10" i="13"/>
  <c r="N94" i="13"/>
  <c r="W11" i="13"/>
  <c r="AO11" i="13"/>
  <c r="O28" i="4"/>
  <c r="M20" i="4"/>
  <c r="O20" i="4" s="1"/>
  <c r="AN11" i="13"/>
  <c r="Y36" i="4"/>
  <c r="O36" i="4"/>
  <c r="W36" i="4"/>
  <c r="H26" i="4"/>
  <c r="I26" i="4" s="1"/>
  <c r="H18" i="4"/>
  <c r="I18" i="4" s="1"/>
  <c r="AO10" i="13"/>
  <c r="U94" i="13"/>
  <c r="U101" i="13" s="1"/>
  <c r="M42" i="21"/>
  <c r="M43" i="21"/>
  <c r="O43" i="21" s="1"/>
  <c r="M25" i="4"/>
  <c r="M26" i="4" s="1"/>
  <c r="AM15" i="13"/>
  <c r="AL15" i="13"/>
  <c r="AN15" i="13"/>
  <c r="U15" i="13"/>
  <c r="O17" i="13" s="1"/>
  <c r="AQ17" i="13" s="1"/>
  <c r="H29" i="4"/>
  <c r="O46" i="21"/>
  <c r="H42" i="21"/>
  <c r="AC11" i="13"/>
  <c r="AB11" i="13"/>
  <c r="H17" i="21"/>
  <c r="I17" i="21" s="1"/>
  <c r="AA11" i="13"/>
  <c r="Z9" i="4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O41" i="4"/>
  <c r="W41" i="4"/>
  <c r="X14" i="4"/>
  <c r="Y40" i="4"/>
  <c r="X40" i="4"/>
  <c r="W40" i="4"/>
  <c r="X13" i="4"/>
  <c r="Y39" i="4"/>
  <c r="X39" i="4"/>
  <c r="W39" i="4"/>
  <c r="X12" i="4"/>
  <c r="Y14" i="4"/>
  <c r="O39" i="4"/>
  <c r="AC10" i="13"/>
  <c r="Y13" i="4"/>
  <c r="W16" i="4"/>
  <c r="M17" i="4"/>
  <c r="M18" i="4" s="1"/>
  <c r="X37" i="4"/>
  <c r="Y38" i="4"/>
  <c r="O37" i="4"/>
  <c r="X36" i="4"/>
  <c r="Y28" i="4"/>
  <c r="AG56" i="7"/>
  <c r="AC26" i="2" l="1"/>
  <c r="AC11" i="2"/>
  <c r="C21" i="13"/>
  <c r="D21" i="13" s="1"/>
  <c r="BF21" i="13"/>
  <c r="AV21" i="13"/>
  <c r="M114" i="1"/>
  <c r="N26" i="1"/>
  <c r="C17" i="7" s="1"/>
  <c r="AA21" i="13"/>
  <c r="O25" i="4"/>
  <c r="Y25" i="4"/>
  <c r="M21" i="4"/>
  <c r="Y21" i="4" s="1"/>
  <c r="BM12" i="13"/>
  <c r="BN11" i="13"/>
  <c r="BO11" i="13" s="1"/>
  <c r="BP11" i="13"/>
  <c r="AP15" i="13"/>
  <c r="AQ19" i="13"/>
  <c r="W12" i="13"/>
  <c r="W13" i="13" s="1"/>
  <c r="W14" i="13" s="1"/>
  <c r="W15" i="13" s="1"/>
  <c r="W16" i="13" s="1"/>
  <c r="W17" i="13" s="1"/>
  <c r="W18" i="13" s="1"/>
  <c r="W19" i="13" s="1"/>
  <c r="W20" i="13" s="1"/>
  <c r="W21" i="13" s="1"/>
  <c r="AO15" i="13"/>
  <c r="BM15" i="13" s="1"/>
  <c r="D18" i="13"/>
  <c r="AL12" i="13"/>
  <c r="BD12" i="13" s="1"/>
  <c r="AQ15" i="13"/>
  <c r="BF15" i="13" s="1"/>
  <c r="AQ14" i="13"/>
  <c r="AQ12" i="13"/>
  <c r="AP19" i="13"/>
  <c r="BE19" i="13" s="1"/>
  <c r="BA21" i="13" s="1"/>
  <c r="AP12" i="13"/>
  <c r="BM10" i="13"/>
  <c r="O63" i="21"/>
  <c r="Z5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E64" i="13" s="1"/>
  <c r="D14" i="13"/>
  <c r="M55" i="21"/>
  <c r="M56" i="21"/>
  <c r="X56" i="21" s="1"/>
  <c r="O20" i="13"/>
  <c r="AR67" i="13"/>
  <c r="O94" i="13"/>
  <c r="O101" i="13" s="1"/>
  <c r="X60" i="13"/>
  <c r="Q94" i="13"/>
  <c r="Q101" i="13" s="1"/>
  <c r="H37" i="21"/>
  <c r="I37" i="21" s="1"/>
  <c r="AQ68" i="13"/>
  <c r="Y60" i="13"/>
  <c r="BD19" i="13"/>
  <c r="AZ21" i="13" s="1"/>
  <c r="AT19" i="13"/>
  <c r="N97" i="13"/>
  <c r="D13" i="13"/>
  <c r="D17" i="13"/>
  <c r="AN13" i="13"/>
  <c r="AM13" i="13"/>
  <c r="AL11" i="13"/>
  <c r="M26" i="21"/>
  <c r="M27" i="21" s="1"/>
  <c r="N27" i="21" s="1"/>
  <c r="O20" i="21"/>
  <c r="Y20" i="21"/>
  <c r="X20" i="21"/>
  <c r="I35" i="21"/>
  <c r="O21" i="21"/>
  <c r="W21" i="21"/>
  <c r="AB21" i="21" s="1"/>
  <c r="Y21" i="21"/>
  <c r="M22" i="21"/>
  <c r="Y22" i="21" s="1"/>
  <c r="M35" i="12"/>
  <c r="AR68" i="13"/>
  <c r="AQ67" i="13"/>
  <c r="Y62" i="13"/>
  <c r="Z62" i="13"/>
  <c r="AR70" i="13"/>
  <c r="AQ69" i="13"/>
  <c r="AM12" i="13"/>
  <c r="AU12" i="13" s="1"/>
  <c r="AP68" i="13"/>
  <c r="AQ70" i="13"/>
  <c r="P101" i="13"/>
  <c r="AN12" i="13"/>
  <c r="AT11" i="13"/>
  <c r="AD10" i="13"/>
  <c r="Q30" i="5"/>
  <c r="R30" i="5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V14" i="13" s="1"/>
  <c r="AO14" i="13"/>
  <c r="BM14" i="13" s="1"/>
  <c r="N98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X28" i="21"/>
  <c r="M8" i="21"/>
  <c r="N7" i="21" s="1"/>
  <c r="X6" i="21"/>
  <c r="Y6" i="21"/>
  <c r="O6" i="21"/>
  <c r="H22" i="21"/>
  <c r="I22" i="21" s="1"/>
  <c r="H29" i="21"/>
  <c r="N5" i="21"/>
  <c r="X92" i="21"/>
  <c r="X8" i="2"/>
  <c r="X26" i="2" s="1"/>
  <c r="L49" i="5"/>
  <c r="K50" i="5"/>
  <c r="X86" i="21"/>
  <c r="C16" i="13"/>
  <c r="I10" i="21"/>
  <c r="H11" i="21"/>
  <c r="I11" i="21" s="1"/>
  <c r="Y9" i="21"/>
  <c r="S9" i="21"/>
  <c r="N9" i="21"/>
  <c r="X9" i="21"/>
  <c r="O9" i="21"/>
  <c r="M49" i="21"/>
  <c r="M50" i="21" s="1"/>
  <c r="Y48" i="21"/>
  <c r="W48" i="21"/>
  <c r="X48" i="21"/>
  <c r="X84" i="21"/>
  <c r="V84" i="21"/>
  <c r="Y84" i="21" s="1"/>
  <c r="Y28" i="2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M29" i="21"/>
  <c r="N29" i="21" s="1"/>
  <c r="AO17" i="13"/>
  <c r="AM16" i="13"/>
  <c r="AQ16" i="13"/>
  <c r="AO16" i="13"/>
  <c r="Y16" i="21"/>
  <c r="AL16" i="13"/>
  <c r="AP16" i="13"/>
  <c r="X16" i="21"/>
  <c r="AN16" i="13"/>
  <c r="H19" i="4"/>
  <c r="I19" i="4" s="1"/>
  <c r="BE11" i="13"/>
  <c r="AU11" i="13"/>
  <c r="W28" i="21"/>
  <c r="AB28" i="21" s="1"/>
  <c r="AP17" i="13"/>
  <c r="O28" i="21"/>
  <c r="H18" i="21"/>
  <c r="I18" i="21" s="1"/>
  <c r="L47" i="5"/>
  <c r="AC56" i="7"/>
  <c r="T71" i="2"/>
  <c r="AA8" i="2"/>
  <c r="AA26" i="2" s="1"/>
  <c r="N32" i="1"/>
  <c r="C20" i="7" s="1"/>
  <c r="G20" i="7" s="1"/>
  <c r="H20" i="7" s="1"/>
  <c r="N12" i="1"/>
  <c r="C10" i="7" s="1"/>
  <c r="E10" i="7" s="1"/>
  <c r="E13" i="7"/>
  <c r="G13" i="7"/>
  <c r="H13" i="7" s="1"/>
  <c r="E38" i="7"/>
  <c r="G42" i="7"/>
  <c r="H42" i="7" s="1"/>
  <c r="E42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14" i="1"/>
  <c r="C26" i="7"/>
  <c r="C29" i="7"/>
  <c r="G14" i="7"/>
  <c r="H14" i="7" s="1"/>
  <c r="E14" i="7"/>
  <c r="L114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Y99" i="4"/>
  <c r="O16" i="21"/>
  <c r="X20" i="4"/>
  <c r="M34" i="4"/>
  <c r="W34" i="4" s="1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AT10" i="13"/>
  <c r="BD10" i="13"/>
  <c r="X99" i="4"/>
  <c r="H30" i="4"/>
  <c r="I29" i="4"/>
  <c r="AM17" i="13"/>
  <c r="AL17" i="13"/>
  <c r="AN17" i="13"/>
  <c r="N42" i="21"/>
  <c r="Y43" i="21"/>
  <c r="X43" i="21"/>
  <c r="W43" i="21"/>
  <c r="AB43" i="21" s="1"/>
  <c r="X29" i="4"/>
  <c r="N29" i="4"/>
  <c r="Y29" i="4"/>
  <c r="W29" i="4"/>
  <c r="M44" i="21"/>
  <c r="W44" i="21" s="1"/>
  <c r="AB44" i="21" s="1"/>
  <c r="M30" i="4"/>
  <c r="X25" i="4"/>
  <c r="O42" i="21"/>
  <c r="Y42" i="21"/>
  <c r="X42" i="21"/>
  <c r="W42" i="21"/>
  <c r="AB42" i="21" s="1"/>
  <c r="BD11" i="13"/>
  <c r="AV15" i="13"/>
  <c r="BF11" i="13"/>
  <c r="AV11" i="13"/>
  <c r="BE15" i="13"/>
  <c r="AU15" i="13"/>
  <c r="X21" i="4"/>
  <c r="W21" i="4"/>
  <c r="O21" i="4"/>
  <c r="H35" i="4"/>
  <c r="Y20" i="4"/>
  <c r="W20" i="4"/>
  <c r="AU10" i="13"/>
  <c r="BE10" i="13"/>
  <c r="W99" i="4"/>
  <c r="M19" i="4"/>
  <c r="S16" i="4" s="1"/>
  <c r="X17" i="4"/>
  <c r="W17" i="4"/>
  <c r="Z17" i="4" s="1"/>
  <c r="Y17" i="4"/>
  <c r="N17" i="4"/>
  <c r="O17" i="4"/>
  <c r="AD11" i="13"/>
  <c r="AE11" i="13"/>
  <c r="AN10" i="13"/>
  <c r="Y18" i="4"/>
  <c r="O18" i="4"/>
  <c r="X18" i="4"/>
  <c r="W18" i="4"/>
  <c r="Z16" i="4"/>
  <c r="H22" i="4"/>
  <c r="I22" i="4" s="1"/>
  <c r="Y35" i="21" l="1"/>
  <c r="AE21" i="13"/>
  <c r="AD21" i="13"/>
  <c r="N114" i="1"/>
  <c r="E20" i="7"/>
  <c r="C57" i="7"/>
  <c r="X67" i="7" s="1"/>
  <c r="E17" i="7"/>
  <c r="G17" i="7"/>
  <c r="H17" i="7" s="1"/>
  <c r="G10" i="7"/>
  <c r="H10" i="7" s="1"/>
  <c r="J36" i="12"/>
  <c r="E7" i="7"/>
  <c r="W27" i="4"/>
  <c r="M36" i="21"/>
  <c r="M37" i="21" s="1"/>
  <c r="Y37" i="21" s="1"/>
  <c r="M22" i="4"/>
  <c r="M23" i="4"/>
  <c r="BN14" i="13"/>
  <c r="BO14" i="13" s="1"/>
  <c r="BP14" i="13"/>
  <c r="BN13" i="13"/>
  <c r="BO13" i="13" s="1"/>
  <c r="BP13" i="13"/>
  <c r="BP15" i="13"/>
  <c r="BN15" i="13"/>
  <c r="BO15" i="13" s="1"/>
  <c r="BD15" i="13"/>
  <c r="M57" i="21"/>
  <c r="Y57" i="21" s="1"/>
  <c r="AV12" i="13"/>
  <c r="AT12" i="13"/>
  <c r="AT15" i="13"/>
  <c r="AU19" i="13"/>
  <c r="BN10" i="13"/>
  <c r="BO10" i="13" s="1"/>
  <c r="BP10" i="13"/>
  <c r="BN12" i="13"/>
  <c r="BO12" i="13" s="1"/>
  <c r="BP12" i="13"/>
  <c r="BE13" i="13"/>
  <c r="BA15" i="13" s="1"/>
  <c r="O35" i="21"/>
  <c r="W38" i="21"/>
  <c r="AB38" i="21" s="1"/>
  <c r="W35" i="21"/>
  <c r="AB35" i="21" s="1"/>
  <c r="N35" i="21"/>
  <c r="Z27" i="2"/>
  <c r="Z28" i="2" s="1"/>
  <c r="M40" i="21"/>
  <c r="M41" i="21" s="1"/>
  <c r="N102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A56" i="21"/>
  <c r="X57" i="21"/>
  <c r="Y55" i="21"/>
  <c r="W55" i="21"/>
  <c r="X55" i="21"/>
  <c r="Y56" i="21"/>
  <c r="AM20" i="13"/>
  <c r="AM60" i="13" s="1"/>
  <c r="D20" i="13"/>
  <c r="AQ20" i="13"/>
  <c r="AQ60" i="13" s="1"/>
  <c r="AL20" i="13"/>
  <c r="AO20" i="13"/>
  <c r="AO60" i="13" s="1"/>
  <c r="AP20" i="13"/>
  <c r="O27" i="4"/>
  <c r="BF16" i="13"/>
  <c r="N38" i="21"/>
  <c r="N101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61" i="13"/>
  <c r="AA11" i="2" s="1"/>
  <c r="N21" i="21"/>
  <c r="D16" i="13"/>
  <c r="M23" i="21"/>
  <c r="S20" i="21" s="1"/>
  <c r="W22" i="21"/>
  <c r="AB22" i="21" s="1"/>
  <c r="O22" i="21"/>
  <c r="X22" i="21"/>
  <c r="S59" i="5"/>
  <c r="AI6" i="5" s="1"/>
  <c r="BF12" i="13"/>
  <c r="BE16" i="13"/>
  <c r="BD13" i="13"/>
  <c r="AZ19" i="13" s="1"/>
  <c r="BF14" i="13"/>
  <c r="AU13" i="13"/>
  <c r="BF13" i="13"/>
  <c r="X34" i="4"/>
  <c r="AZ15" i="13"/>
  <c r="AZ11" i="13"/>
  <c r="AZ13" i="13"/>
  <c r="BA13" i="13"/>
  <c r="AB48" i="21"/>
  <c r="BA11" i="13"/>
  <c r="BB13" i="13"/>
  <c r="AU14" i="13"/>
  <c r="BE14" i="13"/>
  <c r="H40" i="21"/>
  <c r="H41" i="21" s="1"/>
  <c r="I41" i="21" s="1"/>
  <c r="BD14" i="13"/>
  <c r="AZ14" i="13" s="1"/>
  <c r="R29" i="5"/>
  <c r="Q59" i="5"/>
  <c r="M30" i="21"/>
  <c r="W30" i="21" s="1"/>
  <c r="AB30" i="21" s="1"/>
  <c r="Y29" i="21"/>
  <c r="M51" i="21"/>
  <c r="W29" i="21"/>
  <c r="AB29" i="21" s="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O29" i="21"/>
  <c r="X29" i="21"/>
  <c r="AU16" i="13"/>
  <c r="X17" i="21"/>
  <c r="Y34" i="4"/>
  <c r="BD16" i="13"/>
  <c r="H19" i="21"/>
  <c r="I19" i="21" s="1"/>
  <c r="Y17" i="21"/>
  <c r="N17" i="21"/>
  <c r="AA98" i="4"/>
  <c r="O17" i="21"/>
  <c r="W17" i="21"/>
  <c r="AB17" i="21" s="1"/>
  <c r="O34" i="4"/>
  <c r="AA14" i="13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G7" i="7"/>
  <c r="H7" i="7" s="1"/>
  <c r="E27" i="7"/>
  <c r="C5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AZ12" i="13"/>
  <c r="AZ10" i="13"/>
  <c r="Y27" i="21"/>
  <c r="AU17" i="13"/>
  <c r="BE17" i="13"/>
  <c r="BA17" i="13" s="1"/>
  <c r="H23" i="4"/>
  <c r="I23" i="4" s="1"/>
  <c r="H31" i="4"/>
  <c r="I31" i="4" s="1"/>
  <c r="I30" i="4"/>
  <c r="H44" i="21"/>
  <c r="I43" i="21"/>
  <c r="BB11" i="13"/>
  <c r="X30" i="4"/>
  <c r="M31" i="4"/>
  <c r="S28" i="4" s="1"/>
  <c r="W30" i="4"/>
  <c r="Y30" i="4"/>
  <c r="O30" i="4"/>
  <c r="AU18" i="13"/>
  <c r="BE18" i="13"/>
  <c r="M45" i="21"/>
  <c r="O45" i="21" s="1"/>
  <c r="O44" i="21"/>
  <c r="Y44" i="21"/>
  <c r="X44" i="21"/>
  <c r="BD18" i="13"/>
  <c r="AT17" i="13"/>
  <c r="S25" i="4"/>
  <c r="AC12" i="13"/>
  <c r="AA101" i="4"/>
  <c r="AB12" i="13"/>
  <c r="Y19" i="4"/>
  <c r="AC13" i="13" s="1"/>
  <c r="X19" i="4"/>
  <c r="AB13" i="13" s="1"/>
  <c r="O19" i="4"/>
  <c r="W19" i="4"/>
  <c r="AA13" i="13" s="1"/>
  <c r="N19" i="4"/>
  <c r="AA12" i="13"/>
  <c r="AV10" i="13"/>
  <c r="BF10" i="13"/>
  <c r="AA102" i="4"/>
  <c r="BA10" i="13"/>
  <c r="W36" i="21" l="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57" i="7"/>
  <c r="X68" i="7" s="1"/>
  <c r="N23" i="4"/>
  <c r="W23" i="4"/>
  <c r="X23" i="4"/>
  <c r="Y23" i="4"/>
  <c r="O23" i="4"/>
  <c r="W22" i="4"/>
  <c r="O22" i="4"/>
  <c r="X22" i="4"/>
  <c r="Y22" i="4"/>
  <c r="S20" i="4"/>
  <c r="N21" i="4"/>
  <c r="W57" i="21"/>
  <c r="M58" i="21"/>
  <c r="M59" i="21" s="1"/>
  <c r="Y59" i="21" s="1"/>
  <c r="X11" i="2"/>
  <c r="BE20" i="13"/>
  <c r="BE61" i="13" s="1"/>
  <c r="W58" i="21"/>
  <c r="BA14" i="13"/>
  <c r="BB16" i="13"/>
  <c r="H51" i="21"/>
  <c r="H52" i="21" s="1"/>
  <c r="I52" i="21" s="1"/>
  <c r="M99" i="4"/>
  <c r="BD20" i="13"/>
  <c r="AZ20" i="13" s="1"/>
  <c r="AT20" i="13"/>
  <c r="AT60" i="13" s="1"/>
  <c r="AU20" i="13"/>
  <c r="AU60" i="13" s="1"/>
  <c r="V61" i="13"/>
  <c r="Z11" i="2"/>
  <c r="Y11" i="2"/>
  <c r="D60" i="6"/>
  <c r="AB11" i="2"/>
  <c r="AL60" i="13"/>
  <c r="AL63" i="13" s="1"/>
  <c r="AP60" i="13"/>
  <c r="BA16" i="13"/>
  <c r="AZ17" i="13"/>
  <c r="O23" i="21"/>
  <c r="N23" i="21"/>
  <c r="X23" i="21"/>
  <c r="W23" i="21"/>
  <c r="AB23" i="21" s="1"/>
  <c r="Y23" i="21"/>
  <c r="C61" i="13"/>
  <c r="E65" i="13"/>
  <c r="D19" i="13"/>
  <c r="D60" i="13" s="1"/>
  <c r="J67" i="13"/>
  <c r="M52" i="21"/>
  <c r="O52" i="21" s="1"/>
  <c r="R59" i="5"/>
  <c r="AJ6" i="5" s="1"/>
  <c r="S60" i="5"/>
  <c r="BB17" i="13"/>
  <c r="Y30" i="21"/>
  <c r="O30" i="21"/>
  <c r="X30" i="21"/>
  <c r="M31" i="21"/>
  <c r="S28" i="21" s="1"/>
  <c r="AZ16" i="13"/>
  <c r="BB15" i="13"/>
  <c r="AZ18" i="13"/>
  <c r="BA19" i="13"/>
  <c r="P99" i="4"/>
  <c r="Q60" i="5"/>
  <c r="AH6" i="5"/>
  <c r="C60" i="13"/>
  <c r="N44" i="21"/>
  <c r="BA18" i="13"/>
  <c r="X107" i="21"/>
  <c r="Y107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A102" i="21"/>
  <c r="AC28" i="2"/>
  <c r="AB28" i="2"/>
  <c r="X28" i="2"/>
  <c r="Y28" i="2"/>
  <c r="AA28" i="2"/>
  <c r="X45" i="21"/>
  <c r="AB18" i="13" s="1"/>
  <c r="S42" i="21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57" i="7"/>
  <c r="G56" i="7"/>
  <c r="G63" i="7" s="1"/>
  <c r="G57" i="7"/>
  <c r="H56" i="7"/>
  <c r="H45" i="21"/>
  <c r="I45" i="21" s="1"/>
  <c r="I44" i="21"/>
  <c r="Y35" i="4"/>
  <c r="X35" i="4"/>
  <c r="O35" i="4"/>
  <c r="W35" i="4"/>
  <c r="N34" i="4"/>
  <c r="W45" i="21"/>
  <c r="Y45" i="21"/>
  <c r="AC18" i="13" s="1"/>
  <c r="AN18" i="13" s="1"/>
  <c r="X31" i="4"/>
  <c r="AB15" i="13" s="1"/>
  <c r="O31" i="4"/>
  <c r="Y31" i="4"/>
  <c r="AC15" i="13" s="1"/>
  <c r="W31" i="4"/>
  <c r="AA15" i="13" s="1"/>
  <c r="N30" i="4"/>
  <c r="BB10" i="13"/>
  <c r="BB12" i="13" s="1"/>
  <c r="BB14" i="13"/>
  <c r="AE13" i="13"/>
  <c r="AD13" i="13"/>
  <c r="AE12" i="13"/>
  <c r="AD12" i="13"/>
  <c r="AB16" i="13" l="1"/>
  <c r="AA16" i="13"/>
  <c r="AD16" i="13" s="1"/>
  <c r="X59" i="21"/>
  <c r="Y58" i="21"/>
  <c r="AC20" i="13" s="1"/>
  <c r="AN20" i="13" s="1"/>
  <c r="AV20" i="13" s="1"/>
  <c r="W59" i="21"/>
  <c r="AA20" i="13" s="1"/>
  <c r="S56" i="21"/>
  <c r="N57" i="21"/>
  <c r="N102" i="4"/>
  <c r="X58" i="21"/>
  <c r="AB20" i="13" s="1"/>
  <c r="BA20" i="13"/>
  <c r="I51" i="21"/>
  <c r="R60" i="5"/>
  <c r="AE20" i="13"/>
  <c r="AD20" i="13"/>
  <c r="Y31" i="21"/>
  <c r="O31" i="21"/>
  <c r="W31" i="21"/>
  <c r="AB31" i="21" s="1"/>
  <c r="H53" i="21"/>
  <c r="I53" i="21" s="1"/>
  <c r="X31" i="21"/>
  <c r="BD61" i="13"/>
  <c r="BD63" i="13" s="1"/>
  <c r="J68" i="13"/>
  <c r="P67" i="13" s="1"/>
  <c r="M75" i="13" s="1"/>
  <c r="M70" i="13"/>
  <c r="M72" i="13" s="1"/>
  <c r="M73" i="13" s="1"/>
  <c r="N67" i="13"/>
  <c r="M74" i="13" s="1"/>
  <c r="M77" i="13"/>
  <c r="U67" i="13"/>
  <c r="M76" i="13" s="1"/>
  <c r="M53" i="21"/>
  <c r="M54" i="21" s="1"/>
  <c r="N54" i="21" s="1"/>
  <c r="X52" i="21"/>
  <c r="W52" i="21"/>
  <c r="Y52" i="21"/>
  <c r="AV18" i="13"/>
  <c r="BF18" i="13"/>
  <c r="N30" i="21"/>
  <c r="W107" i="21"/>
  <c r="AB17" i="13"/>
  <c r="AC17" i="13"/>
  <c r="AA17" i="13"/>
  <c r="O51" i="21"/>
  <c r="W51" i="21"/>
  <c r="N50" i="21"/>
  <c r="X51" i="21"/>
  <c r="Y51" i="21"/>
  <c r="AB45" i="21"/>
  <c r="AA18" i="13"/>
  <c r="AE15" i="13"/>
  <c r="AD15" i="13"/>
  <c r="BF20" i="13" l="1"/>
  <c r="BB20" i="13" s="1"/>
  <c r="AE16" i="13"/>
  <c r="H54" i="21"/>
  <c r="I54" i="21" s="1"/>
  <c r="N52" i="21"/>
  <c r="O54" i="21"/>
  <c r="S48" i="21"/>
  <c r="Y54" i="21"/>
  <c r="W54" i="21"/>
  <c r="X54" i="21"/>
  <c r="X53" i="21"/>
  <c r="AB19" i="13" s="1"/>
  <c r="Y53" i="21"/>
  <c r="W53" i="21"/>
  <c r="O53" i="21"/>
  <c r="BB18" i="13"/>
  <c r="AE17" i="13"/>
  <c r="AD17" i="13"/>
  <c r="AD18" i="13"/>
  <c r="AE18" i="13"/>
  <c r="AC19" i="13" l="1"/>
  <c r="AN19" i="13" s="1"/>
  <c r="AA19" i="13"/>
  <c r="AA60" i="13" s="1"/>
  <c r="AB62" i="13"/>
  <c r="AB60" i="13"/>
  <c r="AD19" i="13" l="1"/>
  <c r="AE19" i="13"/>
  <c r="AA62" i="13"/>
  <c r="AC62" i="13"/>
  <c r="AC60" i="13"/>
  <c r="AN60" i="13"/>
  <c r="BF19" i="13"/>
  <c r="AV19" i="13"/>
  <c r="AV60" i="13" s="1"/>
  <c r="BB19" i="13" l="1"/>
  <c r="BB21" i="13"/>
  <c r="BF61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charset val="1"/>
          </rPr>
          <t>Dyan Ramdhani:</t>
        </r>
        <r>
          <rPr>
            <sz val="9"/>
            <color indexed="81"/>
            <rFont val="Tahoma"/>
            <charset val="1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<sst xmlns="http://schemas.openxmlformats.org/spreadsheetml/2006/main" count="2668" uniqueCount="780">
  <si>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</si>
  <si>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</si>
  <si>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</si>
  <si>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</si>
  <si>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</si>
  <si>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</si>
  <si>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</si>
  <si>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</si>
  <si>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</si>
  <si>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</si>
  <si>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</si>
  <si>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</si>
  <si>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</si>
  <si>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</si>
  <si>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</si>
  <si>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</si>
  <si>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</si>
  <si>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</si>
  <si>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</si>
  <si>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</si>
  <si>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</si>
  <si>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</si>
  <si>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</si>
  <si>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</si>
  <si>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</si>
  <si>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</si>
  <si>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</si>
  <si>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</si>
  <si>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</si>
  <si>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</si>
  <si>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</si>
  <si>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</si>
  <si>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</si>
  <si>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</si>
  <si>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</si>
  <si>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</si>
  <si>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</si>
  <si>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</si>
  <si>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</si>
  <si>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</si>
  <si>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</si>
  <si>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</si>
  <si>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</si>
  <si>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</si>
  <si>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</si>
  <si>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</si>
  <si>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</si>
  <si>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</si>
  <si>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</si>
  <si>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</si>
  <si>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</si>
  <si>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</si>
  <si>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</si>
  <si>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</si>
  <si>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</si>
  <si>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</si>
  <si>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</si>
  <si>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</si>
  <si>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</si>
  <si>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</si>
  <si>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</si>
  <si>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</si>
  <si>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</si>
  <si>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</si>
  <si>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</si>
  <si>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</si>
  <si>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</si>
  <si>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</si>
  <si>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</si>
  <si>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</si>
  <si>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</si>
  <si>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</si>
  <si>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</si>
  <si>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</si>
  <si>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</si>
  <si>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</si>
  <si>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</si>
  <si>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</si>
  <si>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</si>
  <si>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</si>
  <si>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</si>
  <si>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</si>
  <si>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</si>
  <si>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</si>
  <si>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</si>
  <si>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</si>
  <si>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</si>
  <si>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</si>
  <si>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</si>
  <si>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</si>
  <si>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</si>
  <si>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</si>
  <si>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</si>
  <si>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</si>
  <si>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</si>
  <si>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</si>
  <si>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</si>
  <si>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</si>
  <si>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</si>
  <si>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</si>
  <si>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</si>
  <si>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</si>
  <si>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</si>
  <si>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</si>
  <si>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</si>
  <si>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</si>
  <si>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</si>
  <si>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</si>
  <si>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</si>
  <si>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</si>
  <si>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</si>
  <si>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</si>
  <si>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</si>
  <si>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</si>
  <si>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</si>
  <si>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</si>
  <si>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</si>
  <si>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</si>
  <si>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</si>
  <si>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</si>
  <si>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</si>
  <si>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</si>
  <si>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</si>
  <si>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</si>
  <si>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</si>
  <si>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</si>
  <si>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</si>
  <si>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</si>
  <si>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</si>
  <si>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</si>
  <si>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</si>
  <si>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</si>
  <si>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</si>
  <si>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</si>
  <si>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</si>
  <si>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</si>
  <si>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</si>
  <si>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</si>
  <si>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</si>
  <si>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</si>
  <si>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</si>
  <si>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</si>
  <si>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</si>
  <si>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</si>
  <si>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</si>
  <si>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</si>
  <si>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</si>
  <si>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</si>
  <si>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</si>
  <si>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</si>
  <si>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</si>
  <si>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</si>
  <si>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</si>
  <si>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</si>
  <si>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</si>
  <si>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</si>
  <si>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</si>
  <si>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</si>
  <si>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</si>
  <si>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</si>
  <si>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</si>
  <si>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</si>
  <si>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</si>
  <si>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</si>
  <si>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</si>
  <si>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</si>
  <si>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</si>
  <si>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</si>
  <si>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</si>
  <si>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</si>
  <si>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</si>
  <si>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</si>
  <si>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</si>
  <si>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</si>
  <si>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</si>
  <si>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</si>
  <si>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</si>
  <si>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</si>
  <si>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</si>
  <si>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</si>
  <si>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</si>
  <si>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</si>
  <si>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</si>
  <si>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</si>
  <si>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</si>
  <si>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</si>
  <si>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</si>
  <si>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</si>
  <si>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</si>
  <si>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</si>
  <si>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</si>
  <si>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</si>
  <si>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</si>
  <si>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</si>
  <si>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</si>
  <si>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</si>
  <si>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</si>
  <si>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</si>
  <si>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</si>
  <si>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</si>
  <si>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</si>
  <si>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</si>
  <si>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</si>
  <si>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</si>
  <si>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</si>
  <si>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</si>
  <si>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</si>
  <si>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</si>
  <si>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</si>
  <si>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</si>
  <si>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</si>
  <si>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</si>
  <si>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</si>
  <si>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</si>
  <si>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</si>
  <si>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</si>
  <si>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</si>
  <si>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</si>
  <si>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</si>
  <si>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</si>
  <si>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</si>
  <si>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</si>
  <si>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</si>
  <si>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</si>
  <si>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</si>
  <si>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</si>
  <si>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</si>
  <si>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</si>
  <si>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</si>
  <si>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</si>
  <si>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</si>
  <si>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</si>
  <si>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</si>
  <si>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</si>
  <si>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</si>
  <si>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</si>
  <si>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</si>
  <si>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</si>
  <si>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</si>
  <si>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</si>
  <si>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</si>
  <si>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</si>
  <si>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</si>
  <si>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</si>
  <si>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</si>
  <si>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</si>
  <si>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</si>
  <si>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</si>
  <si>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</si>
  <si>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</si>
  <si>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</si>
  <si>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</si>
  <si>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</si>
  <si>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</si>
  <si>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</si>
  <si>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</si>
  <si>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</si>
  <si>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</si>
  <si>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</si>
  <si>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</si>
  <si>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</si>
  <si>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</si>
  <si>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</si>
  <si>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</si>
  <si>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</si>
  <si>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</si>
  <si>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</si>
  <si>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</si>
  <si>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</si>
  <si>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</si>
  <si>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</si>
  <si>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</si>
  <si>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</si>
  <si>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</si>
  <si>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</si>
  <si>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</si>
  <si>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</si>
  <si>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</si>
  <si>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</si>
  <si>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</si>
  <si>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</si>
  <si>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</si>
  <si>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</si>
  <si>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</si>
  <si>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</si>
  <si>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</si>
  <si>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</si>
  <si>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</si>
  <si>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</si>
  <si>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</si>
  <si>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</si>
  <si>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</si>
  <si>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</si>
  <si>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</si>
  <si>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</si>
  <si>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</si>
  <si>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</si>
  <si>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</si>
  <si>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</si>
  <si>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</si>
  <si>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</si>
  <si>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</si>
  <si>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</si>
  <si>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</si>
  <si>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</si>
  <si>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</si>
  <si>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</si>
  <si>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</si>
  <si>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</si>
  <si>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</si>
  <si>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</si>
  <si>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</si>
  <si>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</si>
  <si>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</si>
  <si>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</si>
  <si>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</si>
  <si>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</si>
  <si>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</si>
  <si>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</si>
  <si>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</si>
  <si>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</si>
  <si>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</si>
  <si>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</si>
  <si>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</si>
  <si>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</si>
  <si>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</si>
  <si>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</si>
  <si>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</si>
  <si>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</si>
  <si>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</si>
  <si>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</si>
  <si>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</si>
  <si>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</si>
  <si>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</si>
  <si>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</si>
  <si>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</si>
  <si>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</si>
  <si>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</si>
  <si>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</si>
  <si>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</si>
  <si>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</si>
  <si>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</si>
  <si>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</si>
  <si>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</si>
  <si>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</si>
  <si>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</si>
  <si>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</si>
  <si>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</si>
  <si>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</si>
  <si>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</si>
  <si>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</si>
  <si>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</si>
  <si>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</si>
  <si>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</si>
  <si>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</si>
  <si>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</si>
  <si>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</si>
  <si>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</si>
  <si>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</si>
  <si>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</si>
  <si>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</si>
  <si>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</si>
  <si>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</si>
  <si>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</si>
  <si>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</si>
  <si>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</si>
  <si>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</si>
  <si>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</si>
  <si>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</si>
  <si>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</si>
  <si>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</si>
  <si>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</si>
  <si>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</si>
  <si>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</si>
  <si>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</si>
  <si>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</si>
  <si>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</si>
  <si>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</si>
  <si>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</si>
  <si>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</si>
  <si>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</si>
  <si>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</si>
  <si>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</si>
  <si>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</si>
  <si>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</si>
  <si>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</si>
  <si>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</si>
  <si>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</si>
  <si>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</si>
  <si>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</si>
  <si>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</si>
  <si>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</si>
  <si>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</si>
  <si>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</si>
  <si>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</si>
  <si>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</si>
  <si>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</si>
  <si>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</si>
  <si>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</si>
  <si>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</si>
  <si>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</si>
  <si>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</si>
  <si>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</si>
  <si>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</si>
  <si>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</si>
  <si>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</si>
  <si>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</si>
  <si>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</si>
  <si>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</si>
  <si>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</si>
  <si>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</si>
  <si>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</si>
  <si>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</si>
  <si>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</si>
  <si>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</si>
  <si>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</si>
  <si>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</si>
  <si>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</si>
  <si>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</si>
  <si>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</si>
  <si>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</si>
  <si>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</si>
  <si>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</si>
  <si>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</si>
  <si>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</si>
  <si>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</si>
  <si>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</si>
  <si>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</si>
  <si>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</si>
  <si>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</si>
  <si>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</si>
  <si>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</si>
  <si>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</si>
  <si>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</si>
  <si>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</si>
  <si>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</si>
  <si>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</si>
  <si>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</si>
  <si>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</si>
  <si>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</si>
  <si>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</si>
  <si>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</si>
  <si>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</si>
  <si>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</si>
  <si>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</si>
  <si>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</si>
  <si>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</si>
  <si>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</si>
  <si>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</si>
  <si>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</si>
  <si>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</si>
  <si>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</si>
  <si>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</si>
  <si>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</si>
  <si>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</si>
  <si>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</si>
  <si>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</si>
  <si>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</si>
  <si>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</si>
  <si>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</si>
  <si>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</si>
  <si>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</si>
  <si>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</si>
  <si>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</si>
  <si>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</si>
  <si>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</si>
  <si>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</si>
  <si>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</si>
  <si>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</si>
  <si>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</si>
  <si>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</si>
  <si>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</si>
  <si>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</si>
  <si>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</si>
  <si>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</si>
  <si>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</si>
  <si>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</si>
  <si>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</si>
  <si>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</si>
  <si>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</si>
  <si>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</si>
  <si>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</si>
  <si>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</si>
  <si>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</si>
  <si>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</si>
  <si>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</si>
  <si>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</si>
  <si>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</si>
  <si>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</si>
  <si>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</si>
  <si>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</si>
  <si>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</si>
  <si>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</si>
  <si>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</si>
  <si>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</si>
  <si>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</si>
  <si>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</si>
  <si>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</si>
  <si>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</si>
  <si>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</si>
  <si>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</si>
  <si>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</si>
  <si>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</si>
  <si>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</si>
  <si>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</si>
  <si>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</si>
  <si>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</si>
  <si>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</si>
  <si>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</si>
  <si>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</si>
  <si>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</si>
  <si>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</si>
  <si>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</si>
  <si>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</si>
  <si>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</si>
  <si>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</si>
  <si>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</si>
  <si>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</si>
  <si>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</si>
  <si>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</si>
  <si>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</si>
  <si>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</si>
  <si>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</si>
  <si>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</si>
  <si>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</si>
  <si>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</si>
  <si>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</si>
  <si>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</si>
  <si>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</si>
  <si>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</si>
  <si>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</si>
  <si>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</si>
  <si>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</si>
  <si>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</si>
  <si>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</si>
  <si>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</si>
  <si>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</si>
  <si>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</si>
  <si>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</si>
  <si>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</si>
  <si>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</si>
  <si>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</si>
  <si>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</si>
  <si>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</si>
  <si>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</si>
  <si>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</si>
  <si>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</si>
  <si>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</si>
  <si>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</si>
  <si>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</si>
  <si>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</si>
  <si>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</si>
  <si>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</si>
  <si>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</si>
  <si>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</si>
  <si>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</si>
  <si>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</si>
  <si>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</si>
  <si>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</si>
  <si>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</si>
  <si>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</si>
  <si>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</si>
  <si>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</si>
  <si>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</si>
  <si>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</si>
  <si>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</si>
  <si>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</si>
  <si>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</si>
  <si>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</si>
  <si>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</si>
  <si>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</si>
  <si>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</si>
  <si>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</si>
  <si>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</si>
  <si>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</si>
  <si>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</si>
  <si>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</si>
  <si>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</si>
  <si>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</si>
  <si>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</si>
  <si>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</si>
  <si>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</si>
  <si>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</si>
  <si>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</si>
  <si>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</si>
  <si>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</si>
  <si>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</si>
  <si>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</si>
  <si>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</si>
  <si>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</si>
  <si>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</si>
  <si>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</si>
  <si>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</si>
  <si>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</si>
  <si>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</si>
  <si>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</si>
  <si>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</si>
  <si>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</si>
  <si>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</si>
  <si>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</si>
  <si>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</si>
  <si>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</si>
  <si>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</si>
  <si>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</si>
  <si>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</si>
  <si>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</si>
  <si>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</si>
  <si>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</si>
  <si>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</si>
  <si>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</si>
  <si>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</si>
  <si>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</si>
  <si>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</si>
  <si>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</si>
  <si>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</si>
  <si>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</si>
  <si>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</si>
  <si>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</si>
  <si>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</si>
  <si>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</si>
  <si>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</si>
  <si>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</si>
  <si>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</si>
  <si>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</si>
  <si>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</si>
  <si>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</si>
  <si>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</si>
  <si>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</si>
  <si>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</si>
  <si>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</si>
  <si>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</si>
  <si>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</si>
  <si>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</si>
  <si>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</si>
  <si>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</si>
  <si>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</si>
  <si>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</si>
  <si>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</si>
  <si>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</si>
  <si>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</si>
  <si>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</si>
  <si>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</si>
  <si>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</si>
  <si>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</si>
  <si>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</si>
  <si>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</si>
  <si>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</si>
  <si>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</si>
  <si>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</si>
  <si>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</si>
  <si>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</si>
  <si>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</si>
  <si>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</si>
  <si>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</si>
  <si>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</si>
  <si>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</si>
  <si>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</si>
  <si>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</si>
  <si>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</si>
  <si>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</si>
  <si>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</si>
  <si>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</si>
  <si>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</si>
  <si>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</si>
  <si>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</si>
  <si>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</si>
  <si>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</si>
  <si>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</si>
  <si>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</si>
  <si>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</si>
  <si>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</si>
  <si>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</si>
  <si>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</si>
  <si>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</si>
  <si>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</si>
  <si>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</si>
  <si>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</si>
  <si>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</si>
  <si>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</si>
  <si>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</si>
  <si>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</si>
  <si>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</si>
  <si>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</si>
  <si>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</si>
  <si>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</si>
  <si>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</si>
  <si>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</si>
  <si>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</si>
  <si>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</si>
  <si>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</si>
  <si>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</si>
  <si>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</si>
  <si>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</si>
  <si>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</si>
  <si>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</si>
  <si>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</si>
  <si>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</si>
  <si>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</si>
  <si>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</si>
  <si>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</si>
  <si>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</si>
  <si>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</si>
  <si>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</si>
  <si>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</si>
  <si>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</si>
  <si>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</si>
  <si>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</si>
  <si>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</si>
  <si>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</si>
  <si>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</si>
  <si>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</si>
  <si>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</si>
  <si>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</si>
  <si>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</si>
  <si>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</si>
  <si>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</si>
  <si>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</si>
  <si>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</si>
  <si>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</si>
  <si>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</si>
  <si>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</si>
  <si>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</si>
  <si>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</si>
  <si>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</si>
  <si>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</si>
  <si>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</si>
  <si>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</si>
  <si>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</si>
  <si>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</si>
  <si>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</si>
  <si>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</si>
  <si>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</si>
  <si>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</si>
  <si>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</si>
  <si>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</si>
  <si>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</si>
  <si>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</si>
  <si>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</si>
  <si>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</si>
  <si>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</si>
  <si>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</si>
  <si>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</si>
  <si>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</si>
  <si>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</si>
  <si>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</si>
  <si>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</si>
  <si>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</si>
  <si>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</si>
  <si>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</si>
  <si>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</si>
  <si>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</si>
  <si>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</si>
  <si>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</si>
  <si>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</si>
  <si>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</si>
  <si>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</si>
  <si>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</si>
  <si>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</si>
  <si>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</si>
  <si>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</si>
  <si>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</si>
  <si>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</si>
  <si>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</si>
  <si>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</si>
  <si>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</si>
  <si>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</si>
  <si>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</si>
  <si>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Carbon on tank Leaching Estimate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</si>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</sst>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</numFmts>
  <fonts count="116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</fills>
  <borders count="8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81" fillId="0" borderId="0" applyFont="0" applyFill="0" applyBorder="0" applyAlignment="0" applyProtection="0"/>
    <xf numFmtId="9" fontId="81" fillId="0" borderId="0" applyFont="0" applyFill="0" applyBorder="0" applyAlignment="0" applyProtection="0"/>
    <xf numFmtId="164" fontId="82" fillId="0" borderId="0" applyFont="0" applyFill="0" applyBorder="0" applyAlignment="0" applyProtection="0"/>
  </cellStyleXfs>
  <cellXfs count="1600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82" fillId="2" borderId="12" xfId="0" applyFont="1" applyFill="1" applyBorder="1"/>
    <xf numFmtId="0" fontId="0" fillId="2" borderId="12" xfId="0" applyFill="1" applyBorder="1"/>
    <xf numFmtId="0" fontId="82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83" fillId="4" borderId="12" xfId="0" applyFont="1" applyFill="1" applyBorder="1" applyAlignment="1">
      <alignment horizontal="center"/>
    </xf>
    <xf numFmtId="0" fontId="83" fillId="3" borderId="12" xfId="0" applyFont="1" applyFill="1" applyBorder="1" applyAlignment="1">
      <alignment horizontal="center"/>
    </xf>
    <xf numFmtId="0" fontId="82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83" fillId="3" borderId="12" xfId="0" applyFont="1" applyFill="1" applyBorder="1"/>
    <xf numFmtId="0" fontId="0" fillId="3" borderId="12" xfId="0" applyFill="1" applyBorder="1"/>
    <xf numFmtId="0" fontId="83" fillId="3" borderId="31" xfId="0" applyFont="1" applyFill="1" applyBorder="1" applyAlignment="1">
      <alignment horizontal="center"/>
    </xf>
    <xf numFmtId="0" fontId="83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84" fillId="5" borderId="0" xfId="0" applyFont="1" applyFill="1"/>
    <xf numFmtId="0" fontId="85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86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86" fillId="2" borderId="0" xfId="3" applyNumberFormat="1" applyFont="1" applyFill="1"/>
    <xf numFmtId="170" fontId="86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82" fillId="2" borderId="12" xfId="0" applyNumberFormat="1" applyFont="1" applyFill="1" applyBorder="1" applyAlignment="1">
      <alignment horizontal="center" vertical="center"/>
    </xf>
    <xf numFmtId="0" fontId="82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87" fillId="5" borderId="0" xfId="2" applyNumberFormat="1" applyFont="1" applyFill="1"/>
    <xf numFmtId="172" fontId="86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88" fillId="6" borderId="12" xfId="0" applyFont="1" applyFill="1" applyBorder="1" applyAlignment="1">
      <alignment horizontal="center" vertical="center"/>
    </xf>
    <xf numFmtId="0" fontId="88" fillId="2" borderId="12" xfId="0" applyFont="1" applyFill="1" applyBorder="1" applyAlignment="1">
      <alignment horizontal="center" vertical="center"/>
    </xf>
    <xf numFmtId="0" fontId="88" fillId="8" borderId="12" xfId="0" applyFont="1" applyFill="1" applyBorder="1" applyAlignment="1">
      <alignment horizontal="center" vertical="center"/>
    </xf>
    <xf numFmtId="0" fontId="88" fillId="9" borderId="12" xfId="0" applyFont="1" applyFill="1" applyBorder="1" applyAlignment="1">
      <alignment horizontal="center" vertical="center"/>
    </xf>
    <xf numFmtId="14" fontId="88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88" fillId="7" borderId="20" xfId="0" applyNumberFormat="1" applyFont="1" applyFill="1" applyBorder="1" applyAlignment="1">
      <alignment horizontal="center" vertical="center"/>
    </xf>
    <xf numFmtId="14" fontId="88" fillId="7" borderId="21" xfId="0" applyNumberFormat="1" applyFont="1" applyFill="1" applyBorder="1" applyAlignment="1">
      <alignment horizontal="center" vertical="center"/>
    </xf>
    <xf numFmtId="14" fontId="88" fillId="7" borderId="28" xfId="0" applyNumberFormat="1" applyFont="1" applyFill="1" applyBorder="1" applyAlignment="1">
      <alignment horizontal="center" vertical="center"/>
    </xf>
    <xf numFmtId="0" fontId="83" fillId="10" borderId="12" xfId="0" applyFont="1" applyFill="1" applyBorder="1" applyAlignment="1">
      <alignment horizontal="center"/>
    </xf>
    <xf numFmtId="0" fontId="90" fillId="11" borderId="12" xfId="0" applyFont="1" applyFill="1" applyBorder="1" applyAlignment="1">
      <alignment horizontal="center" vertical="center"/>
    </xf>
    <xf numFmtId="0" fontId="83" fillId="10" borderId="12" xfId="0" applyFont="1" applyFill="1" applyBorder="1" applyAlignment="1">
      <alignment horizontal="center" vertical="center"/>
    </xf>
    <xf numFmtId="14" fontId="90" fillId="12" borderId="12" xfId="0" applyNumberFormat="1" applyFont="1" applyFill="1" applyBorder="1" applyAlignment="1">
      <alignment horizontal="center" vertical="center"/>
    </xf>
    <xf numFmtId="0" fontId="90" fillId="13" borderId="12" xfId="0" applyFont="1" applyFill="1" applyBorder="1" applyAlignment="1">
      <alignment horizontal="center" vertical="center"/>
    </xf>
    <xf numFmtId="0" fontId="82" fillId="0" borderId="7" xfId="0" applyFont="1" applyBorder="1" applyAlignment="1">
      <alignment horizontal="center"/>
    </xf>
    <xf numFmtId="20" fontId="82" fillId="2" borderId="28" xfId="0" applyNumberFormat="1" applyFont="1" applyFill="1" applyBorder="1" applyAlignment="1">
      <alignment horizontal="center" vertical="center"/>
    </xf>
    <xf numFmtId="1" fontId="82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82" fillId="2" borderId="12" xfId="0" applyFont="1" applyFill="1" applyBorder="1" applyAlignment="1">
      <alignment vertical="center"/>
    </xf>
    <xf numFmtId="0" fontId="82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82" fillId="2" borderId="12" xfId="0" applyNumberFormat="1" applyFont="1" applyFill="1" applyBorder="1" applyAlignment="1">
      <alignment horizontal="center" vertical="center"/>
    </xf>
    <xf numFmtId="0" fontId="83" fillId="3" borderId="12" xfId="0" applyFont="1" applyFill="1" applyBorder="1" applyAlignment="1">
      <alignment horizontal="right"/>
    </xf>
    <xf numFmtId="1" fontId="83" fillId="3" borderId="20" xfId="0" applyNumberFormat="1" applyFont="1" applyFill="1" applyBorder="1" applyAlignment="1">
      <alignment horizontal="right"/>
    </xf>
    <xf numFmtId="9" fontId="83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93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88" fillId="0" borderId="0" xfId="0" applyFont="1"/>
    <xf numFmtId="1" fontId="88" fillId="0" borderId="0" xfId="0" applyNumberFormat="1" applyFont="1" applyAlignment="1">
      <alignment horizontal="center"/>
    </xf>
    <xf numFmtId="0" fontId="88" fillId="0" borderId="0" xfId="0" applyFont="1" applyAlignment="1">
      <alignment horizontal="center"/>
    </xf>
    <xf numFmtId="0" fontId="94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88" fillId="0" borderId="38" xfId="0" applyFont="1" applyBorder="1"/>
    <xf numFmtId="1" fontId="88" fillId="0" borderId="38" xfId="0" applyNumberFormat="1" applyFont="1" applyBorder="1" applyAlignment="1">
      <alignment horizontal="center"/>
    </xf>
    <xf numFmtId="0" fontId="88" fillId="0" borderId="38" xfId="0" applyFont="1" applyBorder="1" applyAlignment="1">
      <alignment horizontal="center"/>
    </xf>
    <xf numFmtId="43" fontId="88" fillId="0" borderId="38" xfId="1" applyFont="1" applyBorder="1" applyAlignment="1">
      <alignment horizontal="center"/>
    </xf>
    <xf numFmtId="0" fontId="88" fillId="0" borderId="39" xfId="0" applyFont="1" applyBorder="1"/>
    <xf numFmtId="0" fontId="90" fillId="0" borderId="0" xfId="0" applyFont="1" applyAlignment="1">
      <alignment wrapText="1"/>
    </xf>
    <xf numFmtId="0" fontId="90" fillId="3" borderId="45" xfId="0" applyFont="1" applyFill="1" applyBorder="1" applyAlignment="1">
      <alignment horizontal="center" vertical="center" wrapText="1"/>
    </xf>
    <xf numFmtId="0" fontId="88" fillId="0" borderId="47" xfId="0" applyFont="1" applyBorder="1"/>
    <xf numFmtId="173" fontId="88" fillId="0" borderId="48" xfId="0" applyNumberFormat="1" applyFont="1" applyBorder="1" applyAlignment="1">
      <alignment horizontal="center"/>
    </xf>
    <xf numFmtId="1" fontId="88" fillId="0" borderId="48" xfId="0" applyNumberFormat="1" applyFont="1" applyBorder="1" applyAlignment="1">
      <alignment horizontal="center"/>
    </xf>
    <xf numFmtId="174" fontId="88" fillId="0" borderId="48" xfId="0" applyNumberFormat="1" applyFont="1" applyBorder="1" applyAlignment="1">
      <alignment horizontal="center"/>
    </xf>
    <xf numFmtId="0" fontId="88" fillId="0" borderId="48" xfId="0" applyFont="1" applyBorder="1"/>
    <xf numFmtId="9" fontId="88" fillId="0" borderId="48" xfId="0" applyNumberFormat="1" applyFont="1" applyBorder="1" applyAlignment="1">
      <alignment horizontal="center"/>
    </xf>
    <xf numFmtId="0" fontId="88" fillId="0" borderId="48" xfId="0" applyFont="1" applyBorder="1" applyAlignment="1">
      <alignment horizontal="center"/>
    </xf>
    <xf numFmtId="9" fontId="88" fillId="0" borderId="49" xfId="0" applyNumberFormat="1" applyFont="1" applyBorder="1" applyAlignment="1">
      <alignment horizontal="center"/>
    </xf>
    <xf numFmtId="0" fontId="88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89" fillId="2" borderId="12" xfId="0" applyFont="1" applyFill="1" applyBorder="1"/>
    <xf numFmtId="14" fontId="88" fillId="2" borderId="12" xfId="0" applyNumberFormat="1" applyFont="1" applyFill="1" applyBorder="1" applyAlignment="1">
      <alignment horizontal="center" vertical="center"/>
    </xf>
    <xf numFmtId="0" fontId="83" fillId="10" borderId="20" xfId="0" applyFont="1" applyFill="1" applyBorder="1"/>
    <xf numFmtId="0" fontId="83" fillId="10" borderId="28" xfId="0" applyFont="1" applyFill="1" applyBorder="1"/>
    <xf numFmtId="14" fontId="88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83" fillId="16" borderId="12" xfId="0" applyFont="1" applyFill="1" applyBorder="1" applyAlignment="1">
      <alignment horizontal="center"/>
    </xf>
    <xf numFmtId="0" fontId="83" fillId="10" borderId="7" xfId="0" applyFont="1" applyFill="1" applyBorder="1" applyAlignment="1">
      <alignment horizontal="center"/>
    </xf>
    <xf numFmtId="9" fontId="88" fillId="0" borderId="12" xfId="0" applyNumberFormat="1" applyFont="1" applyBorder="1" applyAlignment="1">
      <alignment horizontal="center"/>
    </xf>
    <xf numFmtId="0" fontId="83" fillId="17" borderId="12" xfId="0" applyFont="1" applyFill="1" applyBorder="1" applyAlignment="1">
      <alignment horizontal="center"/>
    </xf>
    <xf numFmtId="0" fontId="83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83" fillId="3" borderId="0" xfId="0" applyFont="1" applyFill="1" applyAlignment="1">
      <alignment horizontal="center"/>
    </xf>
    <xf numFmtId="0" fontId="83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83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98" fillId="18" borderId="12" xfId="0" applyNumberFormat="1" applyFont="1" applyFill="1" applyBorder="1" applyAlignment="1">
      <alignment horizontal="center"/>
    </xf>
    <xf numFmtId="2" fontId="98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83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83" fillId="3" borderId="20" xfId="0" applyNumberFormat="1" applyFont="1" applyFill="1" applyBorder="1" applyAlignment="1">
      <alignment horizontal="right"/>
    </xf>
    <xf numFmtId="0" fontId="98" fillId="18" borderId="7" xfId="0" applyFont="1" applyFill="1" applyBorder="1"/>
    <xf numFmtId="0" fontId="98" fillId="18" borderId="29" xfId="0" applyFont="1" applyFill="1" applyBorder="1"/>
    <xf numFmtId="174" fontId="98" fillId="18" borderId="29" xfId="0" applyNumberFormat="1" applyFont="1" applyFill="1" applyBorder="1" applyAlignment="1">
      <alignment horizontal="center"/>
    </xf>
    <xf numFmtId="0" fontId="99" fillId="2" borderId="0" xfId="0" applyFont="1" applyFill="1"/>
    <xf numFmtId="176" fontId="88" fillId="0" borderId="48" xfId="0" applyNumberFormat="1" applyFont="1" applyBorder="1" applyAlignment="1">
      <alignment horizontal="center"/>
    </xf>
    <xf numFmtId="0" fontId="82" fillId="2" borderId="7" xfId="0" applyFont="1" applyFill="1" applyBorder="1" applyAlignment="1">
      <alignment horizontal="center" vertical="center"/>
    </xf>
    <xf numFmtId="0" fontId="83" fillId="18" borderId="12" xfId="0" applyFont="1" applyFill="1" applyBorder="1" applyAlignment="1">
      <alignment horizontal="center"/>
    </xf>
    <xf numFmtId="0" fontId="88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83" fillId="2" borderId="0" xfId="0" applyFont="1" applyFill="1" applyAlignment="1">
      <alignment horizontal="center"/>
    </xf>
    <xf numFmtId="0" fontId="82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80" fillId="2" borderId="28" xfId="0" applyFont="1" applyFill="1" applyBorder="1" applyAlignment="1">
      <alignment horizontal="center" vertical="center"/>
    </xf>
    <xf numFmtId="9" fontId="98" fillId="18" borderId="29" xfId="2" applyFont="1" applyFill="1" applyBorder="1" applyAlignment="1">
      <alignment horizontal="center"/>
    </xf>
    <xf numFmtId="0" fontId="83" fillId="20" borderId="12" xfId="0" applyFont="1" applyFill="1" applyBorder="1"/>
    <xf numFmtId="9" fontId="88" fillId="0" borderId="0" xfId="2" applyFont="1" applyAlignment="1">
      <alignment horizontal="center"/>
    </xf>
    <xf numFmtId="0" fontId="83" fillId="0" borderId="12" xfId="0" applyFont="1" applyBorder="1"/>
    <xf numFmtId="176" fontId="0" fillId="0" borderId="12" xfId="0" applyNumberFormat="1" applyBorder="1"/>
    <xf numFmtId="1" fontId="101" fillId="2" borderId="12" xfId="0" applyNumberFormat="1" applyFont="1" applyFill="1" applyBorder="1"/>
    <xf numFmtId="9" fontId="101" fillId="2" borderId="12" xfId="0" applyNumberFormat="1" applyFont="1" applyFill="1" applyBorder="1"/>
    <xf numFmtId="0" fontId="93" fillId="2" borderId="12" xfId="0" applyFont="1" applyFill="1" applyBorder="1"/>
    <xf numFmtId="1" fontId="90" fillId="3" borderId="45" xfId="0" applyNumberFormat="1" applyFont="1" applyFill="1" applyBorder="1" applyAlignment="1">
      <alignment horizontal="center" vertical="center" wrapText="1"/>
    </xf>
    <xf numFmtId="43" fontId="90" fillId="3" borderId="45" xfId="1" applyFont="1" applyFill="1" applyBorder="1" applyAlignment="1">
      <alignment horizontal="center" vertical="center" wrapText="1"/>
    </xf>
    <xf numFmtId="0" fontId="83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79" fillId="2" borderId="28" xfId="0" applyFont="1" applyFill="1" applyBorder="1" applyAlignment="1">
      <alignment vertical="center"/>
    </xf>
    <xf numFmtId="20" fontId="79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78" fillId="2" borderId="12" xfId="0" applyFont="1" applyFill="1" applyBorder="1" applyAlignment="1">
      <alignment vertical="center"/>
    </xf>
    <xf numFmtId="0" fontId="78" fillId="2" borderId="12" xfId="0" applyFont="1" applyFill="1" applyBorder="1" applyAlignment="1">
      <alignment horizontal="center" vertical="center"/>
    </xf>
    <xf numFmtId="0" fontId="77" fillId="2" borderId="12" xfId="0" applyFont="1" applyFill="1" applyBorder="1" applyAlignment="1">
      <alignment vertical="center"/>
    </xf>
    <xf numFmtId="0" fontId="77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88" fillId="8" borderId="20" xfId="0" applyFont="1" applyFill="1" applyBorder="1" applyAlignment="1">
      <alignment horizontal="center" vertical="center"/>
    </xf>
    <xf numFmtId="14" fontId="88" fillId="7" borderId="12" xfId="0" applyNumberFormat="1" applyFont="1" applyFill="1" applyBorder="1" applyAlignment="1">
      <alignment horizontal="center" vertical="center"/>
    </xf>
    <xf numFmtId="20" fontId="76" fillId="2" borderId="28" xfId="0" applyNumberFormat="1" applyFont="1" applyFill="1" applyBorder="1" applyAlignment="1">
      <alignment horizontal="center" vertical="center"/>
    </xf>
    <xf numFmtId="0" fontId="76" fillId="2" borderId="12" xfId="0" applyFont="1" applyFill="1" applyBorder="1" applyAlignment="1">
      <alignment horizontal="center" vertical="center"/>
    </xf>
    <xf numFmtId="0" fontId="76" fillId="2" borderId="12" xfId="0" applyFont="1" applyFill="1" applyBorder="1" applyAlignment="1">
      <alignment vertical="center"/>
    </xf>
    <xf numFmtId="9" fontId="88" fillId="8" borderId="12" xfId="0" applyNumberFormat="1" applyFont="1" applyFill="1" applyBorder="1" applyAlignment="1">
      <alignment horizontal="center" vertical="center"/>
    </xf>
    <xf numFmtId="1" fontId="88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75" fillId="2" borderId="12" xfId="0" applyFont="1" applyFill="1" applyBorder="1" applyAlignment="1">
      <alignment vertical="center"/>
    </xf>
    <xf numFmtId="14" fontId="88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88" fillId="2" borderId="20" xfId="0" applyFont="1" applyFill="1" applyBorder="1" applyAlignment="1">
      <alignment horizontal="center" vertical="center"/>
    </xf>
    <xf numFmtId="14" fontId="88" fillId="7" borderId="28" xfId="0" applyNumberFormat="1" applyFont="1" applyFill="1" applyBorder="1" applyAlignment="1">
      <alignment vertical="center"/>
    </xf>
    <xf numFmtId="0" fontId="89" fillId="2" borderId="28" xfId="0" applyFont="1" applyFill="1" applyBorder="1"/>
    <xf numFmtId="0" fontId="88" fillId="2" borderId="28" xfId="0" applyFont="1" applyFill="1" applyBorder="1" applyAlignment="1">
      <alignment horizontal="center" vertical="center"/>
    </xf>
    <xf numFmtId="14" fontId="88" fillId="7" borderId="10" xfId="0" applyNumberFormat="1" applyFont="1" applyFill="1" applyBorder="1" applyAlignment="1">
      <alignment vertical="center"/>
    </xf>
    <xf numFmtId="14" fontId="88" fillId="7" borderId="10" xfId="0" applyNumberFormat="1" applyFont="1" applyFill="1" applyBorder="1" applyAlignment="1">
      <alignment horizontal="center" vertical="center"/>
    </xf>
    <xf numFmtId="14" fontId="88" fillId="2" borderId="10" xfId="0" applyNumberFormat="1" applyFont="1" applyFill="1" applyBorder="1" applyAlignment="1">
      <alignment vertical="center"/>
    </xf>
    <xf numFmtId="14" fontId="88" fillId="2" borderId="10" xfId="0" applyNumberFormat="1" applyFont="1" applyFill="1" applyBorder="1" applyAlignment="1">
      <alignment horizontal="center" vertical="center"/>
    </xf>
    <xf numFmtId="0" fontId="88" fillId="2" borderId="10" xfId="0" applyFont="1" applyFill="1" applyBorder="1" applyAlignment="1">
      <alignment horizontal="center" vertical="center"/>
    </xf>
    <xf numFmtId="1" fontId="88" fillId="8" borderId="10" xfId="0" applyNumberFormat="1" applyFont="1" applyFill="1" applyBorder="1" applyAlignment="1">
      <alignment horizontal="center" vertical="center"/>
    </xf>
    <xf numFmtId="0" fontId="88" fillId="8" borderId="10" xfId="0" applyFont="1" applyFill="1" applyBorder="1" applyAlignment="1">
      <alignment horizontal="center" vertical="center"/>
    </xf>
    <xf numFmtId="14" fontId="88" fillId="7" borderId="17" xfId="0" applyNumberFormat="1" applyFont="1" applyFill="1" applyBorder="1" applyAlignment="1">
      <alignment vertical="center"/>
    </xf>
    <xf numFmtId="14" fontId="88" fillId="2" borderId="17" xfId="0" applyNumberFormat="1" applyFont="1" applyFill="1" applyBorder="1" applyAlignment="1">
      <alignment vertical="center"/>
    </xf>
    <xf numFmtId="14" fontId="88" fillId="2" borderId="17" xfId="0" applyNumberFormat="1" applyFont="1" applyFill="1" applyBorder="1" applyAlignment="1">
      <alignment horizontal="center" vertical="center"/>
    </xf>
    <xf numFmtId="0" fontId="88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88" fillId="9" borderId="28" xfId="0" applyFont="1" applyFill="1" applyBorder="1" applyAlignment="1">
      <alignment horizontal="center" vertical="center"/>
    </xf>
    <xf numFmtId="0" fontId="89" fillId="2" borderId="10" xfId="0" applyFont="1" applyFill="1" applyBorder="1"/>
    <xf numFmtId="0" fontId="89" fillId="2" borderId="17" xfId="0" applyFont="1" applyFill="1" applyBorder="1"/>
    <xf numFmtId="0" fontId="0" fillId="2" borderId="17" xfId="0" applyFill="1" applyBorder="1"/>
    <xf numFmtId="0" fontId="88" fillId="9" borderId="17" xfId="0" applyFont="1" applyFill="1" applyBorder="1" applyAlignment="1">
      <alignment horizontal="center" vertical="center"/>
    </xf>
    <xf numFmtId="0" fontId="74" fillId="2" borderId="12" xfId="0" applyFont="1" applyFill="1" applyBorder="1" applyAlignment="1">
      <alignment vertical="center"/>
    </xf>
    <xf numFmtId="0" fontId="74" fillId="2" borderId="12" xfId="0" applyFont="1" applyFill="1" applyBorder="1" applyAlignment="1">
      <alignment horizontal="center" vertical="center"/>
    </xf>
    <xf numFmtId="9" fontId="88" fillId="2" borderId="12" xfId="0" applyNumberFormat="1" applyFont="1" applyFill="1" applyBorder="1" applyAlignment="1">
      <alignment horizontal="center" vertical="center"/>
    </xf>
    <xf numFmtId="1" fontId="88" fillId="8" borderId="28" xfId="0" applyNumberFormat="1" applyFont="1" applyFill="1" applyBorder="1" applyAlignment="1">
      <alignment horizontal="center" vertical="center"/>
    </xf>
    <xf numFmtId="0" fontId="83" fillId="18" borderId="28" xfId="0" applyFont="1" applyFill="1" applyBorder="1" applyAlignment="1">
      <alignment horizontal="center" vertical="center"/>
    </xf>
    <xf numFmtId="0" fontId="83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88" fillId="0" borderId="47" xfId="0" applyNumberFormat="1" applyFont="1" applyBorder="1" applyAlignment="1">
      <alignment horizontal="center"/>
    </xf>
    <xf numFmtId="1" fontId="88" fillId="0" borderId="12" xfId="0" applyNumberFormat="1" applyFont="1" applyBorder="1" applyAlignment="1">
      <alignment horizontal="center"/>
    </xf>
    <xf numFmtId="174" fontId="88" fillId="0" borderId="12" xfId="0" applyNumberFormat="1" applyFont="1" applyBorder="1" applyAlignment="1">
      <alignment horizontal="center"/>
    </xf>
    <xf numFmtId="0" fontId="88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88" fillId="2" borderId="12" xfId="0" applyFont="1" applyFill="1" applyBorder="1" applyAlignment="1">
      <alignment vertical="top" wrapText="1"/>
    </xf>
    <xf numFmtId="0" fontId="83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83" fillId="18" borderId="30" xfId="0" applyFont="1" applyFill="1" applyBorder="1" applyAlignment="1">
      <alignment horizontal="center" vertical="center"/>
    </xf>
    <xf numFmtId="0" fontId="83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83" fillId="20" borderId="12" xfId="0" applyFont="1" applyFill="1" applyBorder="1" applyAlignment="1">
      <alignment horizontal="center"/>
    </xf>
    <xf numFmtId="0" fontId="83" fillId="18" borderId="20" xfId="0" applyFont="1" applyFill="1" applyBorder="1" applyAlignment="1">
      <alignment horizontal="center" vertical="center"/>
    </xf>
    <xf numFmtId="0" fontId="83" fillId="18" borderId="21" xfId="0" applyFont="1" applyFill="1" applyBorder="1" applyAlignment="1">
      <alignment horizontal="center" vertical="center"/>
    </xf>
    <xf numFmtId="43" fontId="83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83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83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66" fillId="2" borderId="12" xfId="0" applyNumberFormat="1" applyFont="1" applyFill="1" applyBorder="1" applyAlignment="1">
      <alignment horizontal="center" vertical="center"/>
    </xf>
    <xf numFmtId="0" fontId="83" fillId="18" borderId="30" xfId="0" applyFont="1" applyFill="1" applyBorder="1" applyAlignment="1">
      <alignment horizontal="center"/>
    </xf>
    <xf numFmtId="0" fontId="83" fillId="18" borderId="32" xfId="0" applyFont="1" applyFill="1" applyBorder="1" applyAlignment="1">
      <alignment horizontal="center"/>
    </xf>
    <xf numFmtId="0" fontId="83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83" fillId="4" borderId="12" xfId="0" applyFont="1" applyFill="1" applyBorder="1"/>
    <xf numFmtId="0" fontId="83" fillId="18" borderId="12" xfId="0" applyFont="1" applyFill="1" applyBorder="1"/>
    <xf numFmtId="0" fontId="83" fillId="18" borderId="12" xfId="0" applyFont="1" applyFill="1" applyBorder="1" applyAlignment="1">
      <alignment horizontal="left"/>
    </xf>
    <xf numFmtId="0" fontId="64" fillId="2" borderId="12" xfId="0" applyFont="1" applyFill="1" applyBorder="1"/>
    <xf numFmtId="0" fontId="82" fillId="3" borderId="0" xfId="0" applyFont="1" applyFill="1" applyAlignment="1">
      <alignment horizontal="center"/>
    </xf>
    <xf numFmtId="0" fontId="82" fillId="3" borderId="19" xfId="0" applyFont="1" applyFill="1" applyBorder="1" applyAlignment="1">
      <alignment horizontal="center"/>
    </xf>
    <xf numFmtId="0" fontId="82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64" fillId="2" borderId="28" xfId="0" applyFont="1" applyFill="1" applyBorder="1" applyAlignment="1">
      <alignment horizontal="center" vertical="center"/>
    </xf>
    <xf numFmtId="0" fontId="64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98" fillId="3" borderId="19" xfId="0" applyFont="1" applyFill="1" applyBorder="1" applyAlignment="1">
      <alignment horizontal="center" vertical="center"/>
    </xf>
    <xf numFmtId="165" fontId="98" fillId="3" borderId="21" xfId="1" applyNumberFormat="1" applyFont="1" applyFill="1" applyBorder="1" applyAlignment="1">
      <alignment horizontal="center" vertical="center"/>
    </xf>
    <xf numFmtId="166" fontId="98" fillId="3" borderId="21" xfId="0" applyNumberFormat="1" applyFont="1" applyFill="1" applyBorder="1" applyAlignment="1">
      <alignment horizontal="center" vertical="center"/>
    </xf>
    <xf numFmtId="9" fontId="98" fillId="3" borderId="21" xfId="2" applyFont="1" applyFill="1" applyBorder="1" applyAlignment="1">
      <alignment horizontal="center" vertical="center"/>
    </xf>
    <xf numFmtId="9" fontId="98" fillId="3" borderId="22" xfId="2" applyFont="1" applyFill="1" applyBorder="1" applyAlignment="1">
      <alignment horizontal="center" vertical="center" wrapText="1"/>
    </xf>
    <xf numFmtId="14" fontId="103" fillId="2" borderId="9" xfId="0" applyNumberFormat="1" applyFont="1" applyFill="1" applyBorder="1" applyAlignment="1">
      <alignment horizontal="center" vertical="center"/>
    </xf>
    <xf numFmtId="0" fontId="103" fillId="2" borderId="10" xfId="0" applyFont="1" applyFill="1" applyBorder="1" applyAlignment="1">
      <alignment vertical="center"/>
    </xf>
    <xf numFmtId="165" fontId="103" fillId="2" borderId="10" xfId="1" applyNumberFormat="1" applyFont="1" applyFill="1" applyBorder="1" applyAlignment="1">
      <alignment horizontal="center" vertical="center"/>
    </xf>
    <xf numFmtId="166" fontId="103" fillId="2" borderId="10" xfId="0" applyNumberFormat="1" applyFont="1" applyFill="1" applyBorder="1" applyAlignment="1">
      <alignment horizontal="center" vertical="center"/>
    </xf>
    <xf numFmtId="9" fontId="103" fillId="2" borderId="10" xfId="2" applyFont="1" applyFill="1" applyBorder="1" applyAlignment="1">
      <alignment horizontal="center" vertical="center"/>
    </xf>
    <xf numFmtId="167" fontId="103" fillId="2" borderId="11" xfId="1" applyNumberFormat="1" applyFont="1" applyFill="1" applyBorder="1" applyAlignment="1">
      <alignment horizontal="center" vertical="center"/>
    </xf>
    <xf numFmtId="0" fontId="103" fillId="2" borderId="11" xfId="0" applyFont="1" applyFill="1" applyBorder="1" applyAlignment="1">
      <alignment horizontal="center" vertical="center"/>
    </xf>
    <xf numFmtId="1" fontId="103" fillId="2" borderId="11" xfId="0" applyNumberFormat="1" applyFont="1" applyFill="1" applyBorder="1" applyAlignment="1">
      <alignment horizontal="center" vertical="center"/>
    </xf>
    <xf numFmtId="165" fontId="103" fillId="2" borderId="10" xfId="0" applyNumberFormat="1" applyFont="1" applyFill="1" applyBorder="1" applyAlignment="1">
      <alignment horizontal="center" vertical="center"/>
    </xf>
    <xf numFmtId="0" fontId="103" fillId="2" borderId="12" xfId="0" applyFont="1" applyFill="1" applyBorder="1"/>
    <xf numFmtId="14" fontId="103" fillId="2" borderId="14" xfId="0" applyNumberFormat="1" applyFont="1" applyFill="1" applyBorder="1" applyAlignment="1">
      <alignment horizontal="center" vertical="center"/>
    </xf>
    <xf numFmtId="0" fontId="103" fillId="2" borderId="15" xfId="0" applyFont="1" applyFill="1" applyBorder="1" applyAlignment="1">
      <alignment vertical="center"/>
    </xf>
    <xf numFmtId="165" fontId="103" fillId="2" borderId="15" xfId="1" applyNumberFormat="1" applyFont="1" applyFill="1" applyBorder="1" applyAlignment="1">
      <alignment horizontal="center" vertical="center"/>
    </xf>
    <xf numFmtId="166" fontId="103" fillId="2" borderId="15" xfId="0" applyNumberFormat="1" applyFont="1" applyFill="1" applyBorder="1" applyAlignment="1">
      <alignment horizontal="center" vertical="center"/>
    </xf>
    <xf numFmtId="9" fontId="103" fillId="2" borderId="15" xfId="2" applyFont="1" applyFill="1" applyBorder="1" applyAlignment="1">
      <alignment horizontal="center" vertical="center"/>
    </xf>
    <xf numFmtId="165" fontId="103" fillId="2" borderId="17" xfId="1" applyNumberFormat="1" applyFont="1" applyFill="1" applyBorder="1" applyAlignment="1">
      <alignment horizontal="center" vertical="center"/>
    </xf>
    <xf numFmtId="167" fontId="103" fillId="2" borderId="16" xfId="1" applyNumberFormat="1" applyFont="1" applyFill="1" applyBorder="1" applyAlignment="1">
      <alignment horizontal="center" vertical="center"/>
    </xf>
    <xf numFmtId="165" fontId="103" fillId="2" borderId="12" xfId="0" applyNumberFormat="1" applyFont="1" applyFill="1" applyBorder="1"/>
    <xf numFmtId="168" fontId="103" fillId="2" borderId="12" xfId="0" applyNumberFormat="1" applyFont="1" applyFill="1" applyBorder="1"/>
    <xf numFmtId="165" fontId="103" fillId="2" borderId="15" xfId="0" applyNumberFormat="1" applyFont="1" applyFill="1" applyBorder="1" applyAlignment="1">
      <alignment horizontal="center" vertical="center"/>
    </xf>
    <xf numFmtId="165" fontId="103" fillId="2" borderId="17" xfId="0" applyNumberFormat="1" applyFont="1" applyFill="1" applyBorder="1" applyAlignment="1">
      <alignment horizontal="center" vertical="center"/>
    </xf>
    <xf numFmtId="167" fontId="103" fillId="2" borderId="12" xfId="0" applyNumberFormat="1" applyFont="1" applyFill="1" applyBorder="1"/>
    <xf numFmtId="0" fontId="103" fillId="2" borderId="17" xfId="0" applyFont="1" applyFill="1" applyBorder="1" applyAlignment="1">
      <alignment vertical="center"/>
    </xf>
    <xf numFmtId="1" fontId="103" fillId="2" borderId="16" xfId="0" applyNumberFormat="1" applyFont="1" applyFill="1" applyBorder="1" applyAlignment="1">
      <alignment horizontal="center" vertical="center"/>
    </xf>
    <xf numFmtId="14" fontId="103" fillId="2" borderId="19" xfId="0" applyNumberFormat="1" applyFont="1" applyFill="1" applyBorder="1" applyAlignment="1">
      <alignment horizontal="center" vertical="center"/>
    </xf>
    <xf numFmtId="0" fontId="103" fillId="2" borderId="20" xfId="0" applyFont="1" applyFill="1" applyBorder="1" applyAlignment="1">
      <alignment vertical="center"/>
    </xf>
    <xf numFmtId="165" fontId="103" fillId="2" borderId="20" xfId="1" applyNumberFormat="1" applyFont="1" applyFill="1" applyBorder="1" applyAlignment="1">
      <alignment horizontal="center" vertical="center"/>
    </xf>
    <xf numFmtId="166" fontId="103" fillId="2" borderId="21" xfId="0" applyNumberFormat="1" applyFont="1" applyFill="1" applyBorder="1" applyAlignment="1">
      <alignment horizontal="center" vertical="center"/>
    </xf>
    <xf numFmtId="9" fontId="103" fillId="2" borderId="21" xfId="2" applyFont="1" applyFill="1" applyBorder="1" applyAlignment="1">
      <alignment horizontal="center" vertical="center"/>
    </xf>
    <xf numFmtId="167" fontId="103" fillId="2" borderId="22" xfId="1" applyNumberFormat="1" applyFont="1" applyFill="1" applyBorder="1" applyAlignment="1">
      <alignment horizontal="center" vertical="center"/>
    </xf>
    <xf numFmtId="1" fontId="103" fillId="2" borderId="22" xfId="0" applyNumberFormat="1" applyFont="1" applyFill="1" applyBorder="1" applyAlignment="1">
      <alignment horizontal="center" vertical="center"/>
    </xf>
    <xf numFmtId="165" fontId="103" fillId="2" borderId="21" xfId="0" applyNumberFormat="1" applyFont="1" applyFill="1" applyBorder="1" applyAlignment="1">
      <alignment horizontal="center" vertical="center"/>
    </xf>
    <xf numFmtId="165" fontId="103" fillId="2" borderId="20" xfId="0" applyNumberFormat="1" applyFont="1" applyFill="1" applyBorder="1" applyAlignment="1">
      <alignment horizontal="center" vertical="center"/>
    </xf>
    <xf numFmtId="165" fontId="103" fillId="2" borderId="23" xfId="0" applyNumberFormat="1" applyFont="1" applyFill="1" applyBorder="1" applyAlignment="1">
      <alignment horizontal="center" vertical="center"/>
    </xf>
    <xf numFmtId="165" fontId="103" fillId="2" borderId="25" xfId="0" applyNumberFormat="1" applyFont="1" applyFill="1" applyBorder="1" applyAlignment="1">
      <alignment horizontal="center" vertical="center"/>
    </xf>
    <xf numFmtId="0" fontId="103" fillId="2" borderId="16" xfId="0" applyFont="1" applyFill="1" applyBorder="1" applyAlignment="1">
      <alignment horizontal="center" vertical="center"/>
    </xf>
    <xf numFmtId="0" fontId="103" fillId="2" borderId="27" xfId="0" applyFont="1" applyFill="1" applyBorder="1" applyAlignment="1">
      <alignment vertical="center"/>
    </xf>
    <xf numFmtId="165" fontId="103" fillId="2" borderId="27" xfId="1" applyNumberFormat="1" applyFont="1" applyFill="1" applyBorder="1" applyAlignment="1">
      <alignment horizontal="center" vertical="center"/>
    </xf>
    <xf numFmtId="166" fontId="103" fillId="2" borderId="27" xfId="0" applyNumberFormat="1" applyFont="1" applyFill="1" applyBorder="1" applyAlignment="1">
      <alignment horizontal="center" vertical="center"/>
    </xf>
    <xf numFmtId="9" fontId="103" fillId="2" borderId="27" xfId="2" applyFont="1" applyFill="1" applyBorder="1" applyAlignment="1">
      <alignment horizontal="center" vertical="center"/>
    </xf>
    <xf numFmtId="165" fontId="103" fillId="2" borderId="15" xfId="0" applyNumberFormat="1" applyFont="1" applyFill="1" applyBorder="1" applyAlignment="1">
      <alignment vertical="center"/>
    </xf>
    <xf numFmtId="165" fontId="103" fillId="2" borderId="17" xfId="0" applyNumberFormat="1" applyFont="1" applyFill="1" applyBorder="1" applyAlignment="1">
      <alignment vertical="center"/>
    </xf>
    <xf numFmtId="175" fontId="103" fillId="2" borderId="27" xfId="2" applyNumberFormat="1" applyFont="1" applyFill="1" applyBorder="1" applyAlignment="1">
      <alignment horizontal="center" vertical="center"/>
    </xf>
    <xf numFmtId="14" fontId="98" fillId="4" borderId="19" xfId="0" applyNumberFormat="1" applyFont="1" applyFill="1" applyBorder="1" applyAlignment="1">
      <alignment horizontal="center" vertical="center"/>
    </xf>
    <xf numFmtId="0" fontId="98" fillId="4" borderId="21" xfId="0" applyFont="1" applyFill="1" applyBorder="1" applyAlignment="1">
      <alignment vertical="center"/>
    </xf>
    <xf numFmtId="165" fontId="98" fillId="4" borderId="21" xfId="1" applyNumberFormat="1" applyFont="1" applyFill="1" applyBorder="1" applyAlignment="1">
      <alignment horizontal="center" vertical="center"/>
    </xf>
    <xf numFmtId="166" fontId="98" fillId="4" borderId="21" xfId="0" applyNumberFormat="1" applyFont="1" applyFill="1" applyBorder="1" applyAlignment="1">
      <alignment horizontal="center" vertical="center"/>
    </xf>
    <xf numFmtId="9" fontId="98" fillId="4" borderId="21" xfId="2" applyFont="1" applyFill="1" applyBorder="1" applyAlignment="1">
      <alignment horizontal="center" vertical="center"/>
    </xf>
    <xf numFmtId="167" fontId="98" fillId="4" borderId="22" xfId="1" applyNumberFormat="1" applyFont="1" applyFill="1" applyBorder="1" applyAlignment="1">
      <alignment horizontal="center" vertical="center"/>
    </xf>
    <xf numFmtId="0" fontId="98" fillId="4" borderId="22" xfId="0" applyFont="1" applyFill="1" applyBorder="1" applyAlignment="1">
      <alignment horizontal="center" vertical="center"/>
    </xf>
    <xf numFmtId="1" fontId="98" fillId="4" borderId="22" xfId="0" applyNumberFormat="1" applyFont="1" applyFill="1" applyBorder="1" applyAlignment="1">
      <alignment horizontal="center" vertical="center"/>
    </xf>
    <xf numFmtId="165" fontId="98" fillId="4" borderId="21" xfId="0" applyNumberFormat="1" applyFont="1" applyFill="1" applyBorder="1" applyAlignment="1">
      <alignment horizontal="center" vertical="center"/>
    </xf>
    <xf numFmtId="0" fontId="98" fillId="4" borderId="17" xfId="0" applyFont="1" applyFill="1" applyBorder="1"/>
    <xf numFmtId="165" fontId="98" fillId="4" borderId="17" xfId="1" applyNumberFormat="1" applyFont="1" applyFill="1" applyBorder="1" applyAlignment="1">
      <alignment horizontal="center" vertical="center"/>
    </xf>
    <xf numFmtId="9" fontId="98" fillId="4" borderId="17" xfId="2" applyFont="1" applyFill="1" applyBorder="1" applyAlignment="1">
      <alignment horizontal="center" vertical="center"/>
    </xf>
    <xf numFmtId="1" fontId="98" fillId="4" borderId="17" xfId="0" applyNumberFormat="1" applyFont="1" applyFill="1" applyBorder="1" applyAlignment="1">
      <alignment horizontal="center"/>
    </xf>
    <xf numFmtId="165" fontId="98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98" fillId="4" borderId="54" xfId="0" applyNumberFormat="1" applyFont="1" applyFill="1" applyBorder="1" applyAlignment="1">
      <alignment vertical="center"/>
    </xf>
    <xf numFmtId="0" fontId="98" fillId="3" borderId="22" xfId="0" applyFont="1" applyFill="1" applyBorder="1" applyAlignment="1">
      <alignment horizontal="center" vertical="center" wrapText="1"/>
    </xf>
    <xf numFmtId="0" fontId="98" fillId="3" borderId="21" xfId="0" applyFont="1" applyFill="1" applyBorder="1" applyAlignment="1">
      <alignment horizontal="center" vertical="center"/>
    </xf>
    <xf numFmtId="0" fontId="98" fillId="3" borderId="21" xfId="0" applyFont="1" applyFill="1" applyBorder="1" applyAlignment="1">
      <alignment horizontal="center" vertical="center" wrapText="1"/>
    </xf>
    <xf numFmtId="0" fontId="98" fillId="20" borderId="28" xfId="0" applyFont="1" applyFill="1" applyBorder="1" applyAlignment="1">
      <alignment horizontal="center" vertical="center"/>
    </xf>
    <xf numFmtId="14" fontId="103" fillId="17" borderId="9" xfId="0" applyNumberFormat="1" applyFont="1" applyFill="1" applyBorder="1" applyAlignment="1">
      <alignment horizontal="center" vertical="center"/>
    </xf>
    <xf numFmtId="0" fontId="103" fillId="17" borderId="10" xfId="0" applyFont="1" applyFill="1" applyBorder="1" applyAlignment="1">
      <alignment vertical="center"/>
    </xf>
    <xf numFmtId="165" fontId="103" fillId="17" borderId="10" xfId="1" applyNumberFormat="1" applyFont="1" applyFill="1" applyBorder="1" applyAlignment="1">
      <alignment horizontal="center" vertical="center"/>
    </xf>
    <xf numFmtId="166" fontId="103" fillId="17" borderId="10" xfId="0" applyNumberFormat="1" applyFont="1" applyFill="1" applyBorder="1" applyAlignment="1">
      <alignment horizontal="center" vertical="center"/>
    </xf>
    <xf numFmtId="9" fontId="103" fillId="17" borderId="10" xfId="2" applyFont="1" applyFill="1" applyBorder="1" applyAlignment="1">
      <alignment horizontal="center" vertical="center"/>
    </xf>
    <xf numFmtId="167" fontId="103" fillId="17" borderId="11" xfId="1" applyNumberFormat="1" applyFont="1" applyFill="1" applyBorder="1" applyAlignment="1">
      <alignment horizontal="center" vertical="center"/>
    </xf>
    <xf numFmtId="1" fontId="103" fillId="17" borderId="11" xfId="0" applyNumberFormat="1" applyFont="1" applyFill="1" applyBorder="1" applyAlignment="1">
      <alignment horizontal="center" vertical="center"/>
    </xf>
    <xf numFmtId="165" fontId="103" fillId="17" borderId="10" xfId="0" applyNumberFormat="1" applyFont="1" applyFill="1" applyBorder="1" applyAlignment="1">
      <alignment horizontal="center" vertical="center"/>
    </xf>
    <xf numFmtId="0" fontId="103" fillId="17" borderId="12" xfId="0" applyFont="1" applyFill="1" applyBorder="1"/>
    <xf numFmtId="14" fontId="103" fillId="17" borderId="14" xfId="0" applyNumberFormat="1" applyFont="1" applyFill="1" applyBorder="1" applyAlignment="1">
      <alignment horizontal="center" vertical="center"/>
    </xf>
    <xf numFmtId="0" fontId="103" fillId="17" borderId="15" xfId="0" applyFont="1" applyFill="1" applyBorder="1" applyAlignment="1">
      <alignment vertical="center"/>
    </xf>
    <xf numFmtId="165" fontId="103" fillId="17" borderId="17" xfId="1" applyNumberFormat="1" applyFont="1" applyFill="1" applyBorder="1" applyAlignment="1">
      <alignment horizontal="center" vertical="center"/>
    </xf>
    <xf numFmtId="9" fontId="103" fillId="17" borderId="15" xfId="2" applyFont="1" applyFill="1" applyBorder="1" applyAlignment="1">
      <alignment horizontal="center" vertical="center"/>
    </xf>
    <xf numFmtId="167" fontId="103" fillId="17" borderId="16" xfId="1" applyNumberFormat="1" applyFont="1" applyFill="1" applyBorder="1" applyAlignment="1">
      <alignment horizontal="center" vertical="center"/>
    </xf>
    <xf numFmtId="165" fontId="103" fillId="17" borderId="15" xfId="0" applyNumberFormat="1" applyFont="1" applyFill="1" applyBorder="1" applyAlignment="1">
      <alignment horizontal="center" vertical="center"/>
    </xf>
    <xf numFmtId="165" fontId="103" fillId="17" borderId="12" xfId="0" applyNumberFormat="1" applyFont="1" applyFill="1" applyBorder="1"/>
    <xf numFmtId="165" fontId="103" fillId="17" borderId="17" xfId="0" applyNumberFormat="1" applyFont="1" applyFill="1" applyBorder="1" applyAlignment="1">
      <alignment horizontal="center" vertical="center"/>
    </xf>
    <xf numFmtId="0" fontId="103" fillId="17" borderId="17" xfId="0" applyFont="1" applyFill="1" applyBorder="1" applyAlignment="1">
      <alignment vertical="center"/>
    </xf>
    <xf numFmtId="1" fontId="103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83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83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83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63" fillId="2" borderId="12" xfId="0" applyFont="1" applyFill="1" applyBorder="1" applyAlignment="1">
      <alignment horizontal="center" vertical="center"/>
    </xf>
    <xf numFmtId="0" fontId="62" fillId="2" borderId="12" xfId="0" applyFont="1" applyFill="1" applyBorder="1" applyAlignment="1">
      <alignment horizontal="center" vertical="center"/>
    </xf>
    <xf numFmtId="0" fontId="61" fillId="2" borderId="12" xfId="0" applyFont="1" applyFill="1" applyBorder="1" applyAlignment="1">
      <alignment horizontal="center" vertical="center"/>
    </xf>
    <xf numFmtId="0" fontId="60" fillId="2" borderId="7" xfId="0" applyFont="1" applyFill="1" applyBorder="1" applyAlignment="1">
      <alignment horizontal="center" vertical="center"/>
    </xf>
    <xf numFmtId="0" fontId="59" fillId="2" borderId="12" xfId="0" applyFont="1" applyFill="1" applyBorder="1" applyAlignment="1">
      <alignment horizontal="center" vertical="center"/>
    </xf>
    <xf numFmtId="0" fontId="59" fillId="2" borderId="12" xfId="0" applyFont="1" applyFill="1" applyBorder="1" applyAlignment="1">
      <alignment horizontal="left" vertical="center"/>
    </xf>
    <xf numFmtId="0" fontId="103" fillId="2" borderId="12" xfId="0" applyFont="1" applyFill="1" applyBorder="1" applyAlignment="1">
      <alignment wrapText="1"/>
    </xf>
    <xf numFmtId="0" fontId="59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83" fillId="4" borderId="12" xfId="0" applyFont="1" applyFill="1" applyBorder="1" applyAlignment="1">
      <alignment horizontal="center" wrapText="1"/>
    </xf>
    <xf numFmtId="166" fontId="104" fillId="17" borderId="10" xfId="0" applyNumberFormat="1" applyFont="1" applyFill="1" applyBorder="1" applyAlignment="1">
      <alignment horizontal="center" vertical="center"/>
    </xf>
    <xf numFmtId="166" fontId="104" fillId="2" borderId="21" xfId="0" applyNumberFormat="1" applyFont="1" applyFill="1" applyBorder="1" applyAlignment="1">
      <alignment horizontal="center" vertical="center"/>
    </xf>
    <xf numFmtId="166" fontId="104" fillId="17" borderId="15" xfId="0" applyNumberFormat="1" applyFont="1" applyFill="1" applyBorder="1" applyAlignment="1">
      <alignment horizontal="center" vertical="center"/>
    </xf>
    <xf numFmtId="166" fontId="104" fillId="2" borderId="15" xfId="0" applyNumberFormat="1" applyFont="1" applyFill="1" applyBorder="1" applyAlignment="1">
      <alignment horizontal="center" vertical="center"/>
    </xf>
    <xf numFmtId="166" fontId="104" fillId="2" borderId="10" xfId="0" applyNumberFormat="1" applyFont="1" applyFill="1" applyBorder="1" applyAlignment="1">
      <alignment horizontal="center" vertical="center"/>
    </xf>
    <xf numFmtId="0" fontId="58" fillId="2" borderId="12" xfId="0" applyFont="1" applyFill="1" applyBorder="1" applyAlignment="1">
      <alignment vertical="center"/>
    </xf>
    <xf numFmtId="0" fontId="58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88" fillId="18" borderId="12" xfId="0" applyFont="1" applyFill="1" applyBorder="1" applyAlignment="1">
      <alignment horizontal="center"/>
    </xf>
    <xf numFmtId="0" fontId="83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83" fillId="18" borderId="12" xfId="0" applyNumberFormat="1" applyFont="1" applyFill="1" applyBorder="1" applyAlignment="1">
      <alignment horizontal="center" wrapText="1"/>
    </xf>
    <xf numFmtId="14" fontId="57" fillId="2" borderId="12" xfId="0" applyNumberFormat="1" applyFont="1" applyFill="1" applyBorder="1"/>
    <xf numFmtId="0" fontId="56" fillId="2" borderId="12" xfId="0" applyFont="1" applyFill="1" applyBorder="1" applyAlignment="1">
      <alignment vertical="center"/>
    </xf>
    <xf numFmtId="0" fontId="56" fillId="2" borderId="12" xfId="0" applyFont="1" applyFill="1" applyBorder="1" applyAlignment="1">
      <alignment horizontal="center" vertical="center"/>
    </xf>
    <xf numFmtId="173" fontId="88" fillId="0" borderId="47" xfId="0" applyNumberFormat="1" applyFont="1" applyBorder="1" applyAlignment="1">
      <alignment horizontal="center"/>
    </xf>
    <xf numFmtId="1" fontId="88" fillId="0" borderId="20" xfId="0" applyNumberFormat="1" applyFont="1" applyBorder="1" applyAlignment="1">
      <alignment horizontal="center"/>
    </xf>
    <xf numFmtId="0" fontId="88" fillId="0" borderId="20" xfId="0" applyFont="1" applyBorder="1"/>
    <xf numFmtId="9" fontId="88" fillId="0" borderId="20" xfId="0" applyNumberFormat="1" applyFont="1" applyBorder="1" applyAlignment="1">
      <alignment horizontal="center"/>
    </xf>
    <xf numFmtId="0" fontId="88" fillId="0" borderId="20" xfId="0" applyFont="1" applyBorder="1" applyAlignment="1">
      <alignment horizontal="center"/>
    </xf>
    <xf numFmtId="173" fontId="88" fillId="14" borderId="12" xfId="0" applyNumberFormat="1" applyFont="1" applyFill="1" applyBorder="1" applyAlignment="1">
      <alignment horizontal="center"/>
    </xf>
    <xf numFmtId="43" fontId="88" fillId="14" borderId="12" xfId="1" applyFont="1" applyFill="1" applyBorder="1" applyAlignment="1">
      <alignment horizontal="center"/>
    </xf>
    <xf numFmtId="0" fontId="88" fillId="21" borderId="12" xfId="0" applyFont="1" applyFill="1" applyBorder="1" applyAlignment="1">
      <alignment horizontal="center"/>
    </xf>
    <xf numFmtId="0" fontId="88" fillId="14" borderId="12" xfId="0" applyFont="1" applyFill="1" applyBorder="1"/>
    <xf numFmtId="1" fontId="88" fillId="21" borderId="12" xfId="0" applyNumberFormat="1" applyFont="1" applyFill="1" applyBorder="1" applyAlignment="1">
      <alignment horizontal="center"/>
    </xf>
    <xf numFmtId="2" fontId="88" fillId="21" borderId="12" xfId="0" applyNumberFormat="1" applyFont="1" applyFill="1" applyBorder="1" applyAlignment="1">
      <alignment horizontal="center"/>
    </xf>
    <xf numFmtId="176" fontId="88" fillId="21" borderId="12" xfId="0" applyNumberFormat="1" applyFont="1" applyFill="1" applyBorder="1" applyAlignment="1">
      <alignment horizontal="center"/>
    </xf>
    <xf numFmtId="9" fontId="88" fillId="21" borderId="12" xfId="0" applyNumberFormat="1" applyFont="1" applyFill="1" applyBorder="1" applyAlignment="1">
      <alignment horizontal="center"/>
    </xf>
    <xf numFmtId="0" fontId="88" fillId="14" borderId="12" xfId="0" applyFont="1" applyFill="1" applyBorder="1" applyAlignment="1">
      <alignment horizontal="center"/>
    </xf>
    <xf numFmtId="0" fontId="90" fillId="21" borderId="12" xfId="0" applyFont="1" applyFill="1" applyBorder="1" applyAlignment="1">
      <alignment horizontal="center" wrapText="1"/>
    </xf>
    <xf numFmtId="43" fontId="88" fillId="21" borderId="12" xfId="1" applyFont="1" applyFill="1" applyBorder="1" applyAlignment="1">
      <alignment horizontal="center"/>
    </xf>
    <xf numFmtId="1" fontId="88" fillId="14" borderId="48" xfId="0" applyNumberFormat="1" applyFont="1" applyFill="1" applyBorder="1" applyAlignment="1">
      <alignment horizontal="center"/>
    </xf>
    <xf numFmtId="0" fontId="83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55" fillId="2" borderId="7" xfId="0" applyFont="1" applyFill="1" applyBorder="1" applyAlignment="1">
      <alignment vertical="center"/>
    </xf>
    <xf numFmtId="0" fontId="83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53" fillId="2" borderId="7" xfId="0" applyFont="1" applyFill="1" applyBorder="1" applyAlignment="1">
      <alignment vertical="center"/>
    </xf>
    <xf numFmtId="0" fontId="86" fillId="16" borderId="0" xfId="0" applyFont="1" applyFill="1"/>
    <xf numFmtId="0" fontId="0" fillId="16" borderId="0" xfId="0" applyFill="1"/>
    <xf numFmtId="180" fontId="86" fillId="16" borderId="0" xfId="3" applyNumberFormat="1" applyFont="1" applyFill="1"/>
    <xf numFmtId="0" fontId="83" fillId="0" borderId="0" xfId="0" applyFont="1" applyAlignment="1">
      <alignment horizontal="center"/>
    </xf>
    <xf numFmtId="0" fontId="83" fillId="18" borderId="7" xfId="0" applyFont="1" applyFill="1" applyBorder="1" applyAlignment="1">
      <alignment horizontal="center"/>
    </xf>
    <xf numFmtId="0" fontId="83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86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83" fillId="4" borderId="12" xfId="0" applyNumberFormat="1" applyFont="1" applyFill="1" applyBorder="1" applyAlignment="1">
      <alignment horizontal="center"/>
    </xf>
    <xf numFmtId="0" fontId="82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49" fillId="2" borderId="7" xfId="0" applyFont="1" applyFill="1" applyBorder="1" applyAlignment="1">
      <alignment vertical="center"/>
    </xf>
    <xf numFmtId="0" fontId="48" fillId="2" borderId="28" xfId="0" applyFont="1" applyFill="1" applyBorder="1" applyAlignment="1">
      <alignment horizontal="center" vertical="center"/>
    </xf>
    <xf numFmtId="0" fontId="48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47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82" fillId="2" borderId="13" xfId="0" applyNumberFormat="1" applyFont="1" applyFill="1" applyBorder="1" applyAlignment="1">
      <alignment vertical="center"/>
    </xf>
    <xf numFmtId="14" fontId="82" fillId="2" borderId="14" xfId="0" applyNumberFormat="1" applyFont="1" applyFill="1" applyBorder="1" applyAlignment="1">
      <alignment vertical="center"/>
    </xf>
    <xf numFmtId="1" fontId="98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43" fillId="2" borderId="12" xfId="0" applyFont="1" applyFill="1" applyBorder="1" applyAlignment="1">
      <alignment horizontal="left" vertical="center"/>
    </xf>
    <xf numFmtId="14" fontId="43" fillId="2" borderId="20" xfId="0" applyNumberFormat="1" applyFont="1" applyFill="1" applyBorder="1" applyAlignment="1">
      <alignment horizontal="center" vertical="center"/>
    </xf>
    <xf numFmtId="0" fontId="43" fillId="2" borderId="7" xfId="0" applyFont="1" applyFill="1" applyBorder="1" applyAlignment="1">
      <alignment vertical="center"/>
    </xf>
    <xf numFmtId="0" fontId="42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98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82" fillId="2" borderId="12" xfId="0" applyNumberFormat="1" applyFont="1" applyFill="1" applyBorder="1" applyAlignment="1">
      <alignment horizontal="center" vertical="center"/>
    </xf>
    <xf numFmtId="1" fontId="82" fillId="2" borderId="12" xfId="0" applyNumberFormat="1" applyFont="1" applyFill="1" applyBorder="1" applyAlignment="1">
      <alignment horizontal="center" vertical="center"/>
    </xf>
    <xf numFmtId="14" fontId="82" fillId="23" borderId="12" xfId="0" applyNumberFormat="1" applyFont="1" applyFill="1" applyBorder="1" applyAlignment="1">
      <alignment horizontal="center" vertical="center"/>
    </xf>
    <xf numFmtId="20" fontId="82" fillId="23" borderId="12" xfId="0" applyNumberFormat="1" applyFont="1" applyFill="1" applyBorder="1" applyAlignment="1">
      <alignment horizontal="center" vertical="center"/>
    </xf>
    <xf numFmtId="1" fontId="82" fillId="23" borderId="12" xfId="0" applyNumberFormat="1" applyFont="1" applyFill="1" applyBorder="1" applyAlignment="1">
      <alignment horizontal="center" vertical="center"/>
    </xf>
    <xf numFmtId="14" fontId="82" fillId="22" borderId="12" xfId="0" applyNumberFormat="1" applyFont="1" applyFill="1" applyBorder="1" applyAlignment="1">
      <alignment horizontal="center" vertical="center"/>
    </xf>
    <xf numFmtId="20" fontId="82" fillId="22" borderId="12" xfId="0" applyNumberFormat="1" applyFont="1" applyFill="1" applyBorder="1" applyAlignment="1">
      <alignment horizontal="center" vertical="center"/>
    </xf>
    <xf numFmtId="1" fontId="82" fillId="22" borderId="12" xfId="0" applyNumberFormat="1" applyFont="1" applyFill="1" applyBorder="1" applyAlignment="1">
      <alignment horizontal="center" vertical="center"/>
    </xf>
    <xf numFmtId="0" fontId="43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99" fillId="2" borderId="0" xfId="0" applyFont="1" applyFill="1" applyAlignment="1">
      <alignment horizontal="center"/>
    </xf>
    <xf numFmtId="14" fontId="53" fillId="22" borderId="10" xfId="0" applyNumberFormat="1" applyFont="1" applyFill="1" applyBorder="1" applyAlignment="1">
      <alignment horizontal="center" vertical="center"/>
    </xf>
    <xf numFmtId="14" fontId="53" fillId="22" borderId="17" xfId="0" applyNumberFormat="1" applyFont="1" applyFill="1" applyBorder="1" applyAlignment="1">
      <alignment horizontal="center" vertical="center"/>
    </xf>
    <xf numFmtId="14" fontId="51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53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53" fillId="23" borderId="17" xfId="0" applyNumberFormat="1" applyFont="1" applyFill="1" applyBorder="1" applyAlignment="1">
      <alignment horizontal="center" vertical="center"/>
    </xf>
    <xf numFmtId="14" fontId="82" fillId="23" borderId="17" xfId="0" applyNumberFormat="1" applyFont="1" applyFill="1" applyBorder="1" applyAlignment="1">
      <alignment horizontal="center" vertical="center"/>
    </xf>
    <xf numFmtId="14" fontId="54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54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52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52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82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75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47" fillId="22" borderId="12" xfId="0" applyNumberFormat="1" applyFont="1" applyFill="1" applyBorder="1" applyAlignment="1">
      <alignment horizontal="center" vertical="center" wrapText="1"/>
    </xf>
    <xf numFmtId="14" fontId="47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46" fillId="22" borderId="28" xfId="0" applyNumberFormat="1" applyFont="1" applyFill="1" applyBorder="1" applyAlignment="1">
      <alignment horizontal="center" vertical="center"/>
    </xf>
    <xf numFmtId="14" fontId="47" fillId="23" borderId="12" xfId="0" applyNumberFormat="1" applyFont="1" applyFill="1" applyBorder="1" applyAlignment="1">
      <alignment horizontal="center" vertical="center"/>
    </xf>
    <xf numFmtId="14" fontId="46" fillId="23" borderId="12" xfId="0" applyNumberFormat="1" applyFont="1" applyFill="1" applyBorder="1" applyAlignment="1">
      <alignment horizontal="center" vertical="center"/>
    </xf>
    <xf numFmtId="14" fontId="44" fillId="23" borderId="20" xfId="0" applyNumberFormat="1" applyFont="1" applyFill="1" applyBorder="1" applyAlignment="1">
      <alignment horizontal="center" vertical="center"/>
    </xf>
    <xf numFmtId="14" fontId="43" fillId="23" borderId="20" xfId="0" applyNumberFormat="1" applyFont="1" applyFill="1" applyBorder="1" applyAlignment="1">
      <alignment horizontal="center" vertical="center"/>
    </xf>
    <xf numFmtId="14" fontId="43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83" fillId="2" borderId="0" xfId="0" applyFont="1" applyFill="1"/>
    <xf numFmtId="0" fontId="83" fillId="22" borderId="10" xfId="0" applyFont="1" applyFill="1" applyBorder="1" applyAlignment="1">
      <alignment horizontal="center"/>
    </xf>
    <xf numFmtId="0" fontId="83" fillId="22" borderId="17" xfId="0" applyFont="1" applyFill="1" applyBorder="1" applyAlignment="1">
      <alignment horizontal="center"/>
    </xf>
    <xf numFmtId="0" fontId="83" fillId="23" borderId="10" xfId="0" applyFont="1" applyFill="1" applyBorder="1" applyAlignment="1">
      <alignment horizontal="center"/>
    </xf>
    <xf numFmtId="0" fontId="83" fillId="23" borderId="17" xfId="0" applyFont="1" applyFill="1" applyBorder="1" applyAlignment="1">
      <alignment horizontal="center"/>
    </xf>
    <xf numFmtId="0" fontId="83" fillId="23" borderId="28" xfId="0" applyFont="1" applyFill="1" applyBorder="1" applyAlignment="1">
      <alignment horizontal="center"/>
    </xf>
    <xf numFmtId="0" fontId="83" fillId="23" borderId="20" xfId="0" applyFont="1" applyFill="1" applyBorder="1" applyAlignment="1">
      <alignment horizontal="center"/>
    </xf>
    <xf numFmtId="0" fontId="83" fillId="22" borderId="12" xfId="0" applyFont="1" applyFill="1" applyBorder="1" applyAlignment="1">
      <alignment horizontal="center"/>
    </xf>
    <xf numFmtId="0" fontId="83" fillId="22" borderId="28" xfId="0" applyFont="1" applyFill="1" applyBorder="1" applyAlignment="1">
      <alignment horizontal="center"/>
    </xf>
    <xf numFmtId="0" fontId="83" fillId="23" borderId="12" xfId="0" applyFont="1" applyFill="1" applyBorder="1" applyAlignment="1">
      <alignment horizontal="center"/>
    </xf>
    <xf numFmtId="0" fontId="83" fillId="2" borderId="20" xfId="0" applyFont="1" applyFill="1" applyBorder="1" applyAlignment="1">
      <alignment horizontal="center"/>
    </xf>
    <xf numFmtId="0" fontId="83" fillId="2" borderId="10" xfId="0" applyFont="1" applyFill="1" applyBorder="1" applyAlignment="1">
      <alignment horizontal="center"/>
    </xf>
    <xf numFmtId="14" fontId="50" fillId="22" borderId="12" xfId="0" applyNumberFormat="1" applyFont="1" applyFill="1" applyBorder="1" applyAlignment="1">
      <alignment horizontal="center" vertical="center" wrapText="1"/>
    </xf>
    <xf numFmtId="14" fontId="45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43" fillId="22" borderId="12" xfId="0" applyNumberFormat="1" applyFont="1" applyFill="1" applyBorder="1" applyAlignment="1">
      <alignment horizontal="center" vertical="center"/>
    </xf>
    <xf numFmtId="14" fontId="44" fillId="22" borderId="12" xfId="0" applyNumberFormat="1" applyFont="1" applyFill="1" applyBorder="1" applyAlignment="1">
      <alignment horizontal="center" vertical="center"/>
    </xf>
    <xf numFmtId="14" fontId="41" fillId="22" borderId="12" xfId="0" applyNumberFormat="1" applyFont="1" applyFill="1" applyBorder="1" applyAlignment="1">
      <alignment horizontal="center" vertical="center"/>
    </xf>
    <xf numFmtId="14" fontId="73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83" fillId="2" borderId="0" xfId="0" applyFont="1" applyFill="1" applyAlignment="1">
      <alignment horizontal="center" vertical="center"/>
    </xf>
    <xf numFmtId="0" fontId="83" fillId="3" borderId="0" xfId="0" applyFont="1" applyFill="1" applyAlignment="1">
      <alignment horizontal="center" vertical="center"/>
    </xf>
    <xf numFmtId="20" fontId="79" fillId="22" borderId="12" xfId="0" applyNumberFormat="1" applyFont="1" applyFill="1" applyBorder="1" applyAlignment="1">
      <alignment horizontal="center" vertical="center"/>
    </xf>
    <xf numFmtId="0" fontId="53" fillId="22" borderId="12" xfId="0" applyFont="1" applyFill="1" applyBorder="1" applyAlignment="1">
      <alignment horizontal="left" vertical="top" wrapText="1"/>
    </xf>
    <xf numFmtId="0" fontId="52" fillId="22" borderId="12" xfId="0" applyFont="1" applyFill="1" applyBorder="1" applyAlignment="1">
      <alignment horizontal="left" vertical="center" wrapText="1"/>
    </xf>
    <xf numFmtId="0" fontId="52" fillId="23" borderId="12" xfId="0" applyFont="1" applyFill="1" applyBorder="1" applyAlignment="1">
      <alignment horizontal="left" vertical="center" wrapText="1"/>
    </xf>
    <xf numFmtId="20" fontId="76" fillId="23" borderId="12" xfId="0" applyNumberFormat="1" applyFont="1" applyFill="1" applyBorder="1" applyAlignment="1">
      <alignment horizontal="center" vertical="center"/>
    </xf>
    <xf numFmtId="0" fontId="52" fillId="23" borderId="12" xfId="0" applyFont="1" applyFill="1" applyBorder="1" applyAlignment="1">
      <alignment horizontal="left" vertical="center"/>
    </xf>
    <xf numFmtId="0" fontId="79" fillId="22" borderId="12" xfId="0" applyFont="1" applyFill="1" applyBorder="1" applyAlignment="1">
      <alignment horizontal="center" vertical="center"/>
    </xf>
    <xf numFmtId="0" fontId="78" fillId="22" borderId="12" xfId="0" applyFont="1" applyFill="1" applyBorder="1" applyAlignment="1">
      <alignment horizontal="center" vertical="center"/>
    </xf>
    <xf numFmtId="0" fontId="78" fillId="23" borderId="12" xfId="0" applyFont="1" applyFill="1" applyBorder="1" applyAlignment="1">
      <alignment horizontal="center" vertical="center"/>
    </xf>
    <xf numFmtId="0" fontId="77" fillId="23" borderId="12" xfId="0" applyFont="1" applyFill="1" applyBorder="1" applyAlignment="1">
      <alignment horizontal="center" vertical="center"/>
    </xf>
    <xf numFmtId="0" fontId="76" fillId="23" borderId="12" xfId="0" applyFont="1" applyFill="1" applyBorder="1" applyAlignment="1">
      <alignment horizontal="center" vertical="center"/>
    </xf>
    <xf numFmtId="0" fontId="72" fillId="2" borderId="12" xfId="0" applyFont="1" applyFill="1" applyBorder="1" applyAlignment="1">
      <alignment horizontal="center" vertical="center"/>
    </xf>
    <xf numFmtId="0" fontId="72" fillId="23" borderId="12" xfId="0" applyFont="1" applyFill="1" applyBorder="1" applyAlignment="1">
      <alignment horizontal="center" vertical="center"/>
    </xf>
    <xf numFmtId="14" fontId="47" fillId="22" borderId="12" xfId="0" applyNumberFormat="1" applyFont="1" applyFill="1" applyBorder="1" applyAlignment="1">
      <alignment horizontal="center" vertical="center"/>
    </xf>
    <xf numFmtId="14" fontId="74" fillId="22" borderId="12" xfId="0" applyNumberFormat="1" applyFont="1" applyFill="1" applyBorder="1" applyAlignment="1">
      <alignment horizontal="center" vertical="center"/>
    </xf>
    <xf numFmtId="0" fontId="75" fillId="22" borderId="12" xfId="0" applyFont="1" applyFill="1" applyBorder="1" applyAlignment="1">
      <alignment horizontal="center" vertical="center"/>
    </xf>
    <xf numFmtId="0" fontId="50" fillId="22" borderId="12" xfId="0" applyFont="1" applyFill="1" applyBorder="1" applyAlignment="1">
      <alignment horizontal="left" vertical="center" wrapText="1"/>
    </xf>
    <xf numFmtId="0" fontId="47" fillId="22" borderId="12" xfId="0" applyFont="1" applyFill="1" applyBorder="1" applyAlignment="1">
      <alignment horizontal="center" vertical="center"/>
    </xf>
    <xf numFmtId="0" fontId="47" fillId="22" borderId="12" xfId="0" applyFont="1" applyFill="1" applyBorder="1" applyAlignment="1">
      <alignment horizontal="left" vertical="center" wrapText="1"/>
    </xf>
    <xf numFmtId="0" fontId="73" fillId="22" borderId="12" xfId="0" applyFont="1" applyFill="1" applyBorder="1" applyAlignment="1">
      <alignment horizontal="center" vertical="center"/>
    </xf>
    <xf numFmtId="0" fontId="43" fillId="22" borderId="12" xfId="0" applyFont="1" applyFill="1" applyBorder="1" applyAlignment="1">
      <alignment horizontal="left" vertical="center" wrapText="1"/>
    </xf>
    <xf numFmtId="0" fontId="73" fillId="23" borderId="12" xfId="0" applyFont="1" applyFill="1" applyBorder="1" applyAlignment="1">
      <alignment horizontal="center" vertical="center"/>
    </xf>
    <xf numFmtId="0" fontId="46" fillId="23" borderId="12" xfId="0" applyFont="1" applyFill="1" applyBorder="1" applyAlignment="1">
      <alignment horizontal="left" vertical="center" wrapText="1"/>
    </xf>
    <xf numFmtId="0" fontId="43" fillId="23" borderId="12" xfId="0" applyFont="1" applyFill="1" applyBorder="1" applyAlignment="1">
      <alignment horizontal="center" vertical="center"/>
    </xf>
    <xf numFmtId="0" fontId="72" fillId="22" borderId="12" xfId="0" applyFont="1" applyFill="1" applyBorder="1" applyAlignment="1">
      <alignment horizontal="center" vertical="center"/>
    </xf>
    <xf numFmtId="0" fontId="41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70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40" fillId="2" borderId="20" xfId="0" applyNumberFormat="1" applyFont="1" applyFill="1" applyBorder="1" applyAlignment="1">
      <alignment horizontal="center" vertical="center"/>
    </xf>
    <xf numFmtId="14" fontId="40" fillId="23" borderId="12" xfId="0" applyNumberFormat="1" applyFont="1" applyFill="1" applyBorder="1" applyAlignment="1">
      <alignment horizontal="center" vertical="center"/>
    </xf>
    <xf numFmtId="1" fontId="82" fillId="23" borderId="28" xfId="0" applyNumberFormat="1" applyFont="1" applyFill="1" applyBorder="1" applyAlignment="1">
      <alignment horizontal="center" vertical="center"/>
    </xf>
    <xf numFmtId="0" fontId="69" fillId="23" borderId="20" xfId="0" applyFont="1" applyFill="1" applyBorder="1" applyAlignment="1">
      <alignment horizontal="center" vertical="center"/>
    </xf>
    <xf numFmtId="20" fontId="82" fillId="23" borderId="20" xfId="0" applyNumberFormat="1" applyFont="1" applyFill="1" applyBorder="1" applyAlignment="1">
      <alignment horizontal="center" vertical="center"/>
    </xf>
    <xf numFmtId="0" fontId="68" fillId="23" borderId="28" xfId="0" applyFont="1" applyFill="1" applyBorder="1" applyAlignment="1">
      <alignment horizontal="center" vertical="center"/>
    </xf>
    <xf numFmtId="20" fontId="82" fillId="23" borderId="28" xfId="0" applyNumberFormat="1" applyFont="1" applyFill="1" applyBorder="1" applyAlignment="1">
      <alignment horizontal="center" vertical="center"/>
    </xf>
    <xf numFmtId="0" fontId="68" fillId="23" borderId="70" xfId="0" applyFont="1" applyFill="1" applyBorder="1" applyAlignment="1">
      <alignment horizontal="center" vertical="center"/>
    </xf>
    <xf numFmtId="20" fontId="82" fillId="23" borderId="70" xfId="0" applyNumberFormat="1" applyFont="1" applyFill="1" applyBorder="1" applyAlignment="1">
      <alignment horizontal="center" vertical="center"/>
    </xf>
    <xf numFmtId="1" fontId="82" fillId="23" borderId="70" xfId="0" applyNumberFormat="1" applyFont="1" applyFill="1" applyBorder="1" applyAlignment="1">
      <alignment horizontal="center" vertical="center"/>
    </xf>
    <xf numFmtId="0" fontId="40" fillId="23" borderId="70" xfId="0" applyFont="1" applyFill="1" applyBorder="1" applyAlignment="1">
      <alignment horizontal="left" vertical="center" wrapText="1"/>
    </xf>
    <xf numFmtId="1" fontId="82" fillId="22" borderId="7" xfId="0" applyNumberFormat="1" applyFont="1" applyFill="1" applyBorder="1" applyAlignment="1">
      <alignment horizontal="center" vertical="center"/>
    </xf>
    <xf numFmtId="0" fontId="83" fillId="22" borderId="20" xfId="0" applyFont="1" applyFill="1" applyBorder="1" applyAlignment="1">
      <alignment horizontal="left"/>
    </xf>
    <xf numFmtId="0" fontId="40" fillId="22" borderId="68" xfId="0" applyFont="1" applyFill="1" applyBorder="1" applyAlignment="1">
      <alignment horizontal="left" vertical="center" wrapText="1"/>
    </xf>
    <xf numFmtId="1" fontId="82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39" fillId="22" borderId="12" xfId="0" applyNumberFormat="1" applyFont="1" applyFill="1" applyBorder="1" applyAlignment="1">
      <alignment horizontal="left" vertical="center" wrapText="1"/>
    </xf>
    <xf numFmtId="0" fontId="38" fillId="23" borderId="68" xfId="0" applyFont="1" applyFill="1" applyBorder="1" applyAlignment="1">
      <alignment horizontal="left" vertical="center" wrapText="1"/>
    </xf>
    <xf numFmtId="0" fontId="38" fillId="23" borderId="28" xfId="0" applyFont="1" applyFill="1" applyBorder="1" applyAlignment="1">
      <alignment horizontal="left" vertical="center" wrapText="1"/>
    </xf>
    <xf numFmtId="0" fontId="88" fillId="24" borderId="47" xfId="0" applyFont="1" applyFill="1" applyBorder="1"/>
    <xf numFmtId="173" fontId="88" fillId="24" borderId="48" xfId="0" applyNumberFormat="1" applyFont="1" applyFill="1" applyBorder="1" applyAlignment="1">
      <alignment horizontal="center"/>
    </xf>
    <xf numFmtId="1" fontId="88" fillId="24" borderId="48" xfId="0" applyNumberFormat="1" applyFont="1" applyFill="1" applyBorder="1" applyAlignment="1">
      <alignment horizontal="center"/>
    </xf>
    <xf numFmtId="174" fontId="88" fillId="24" borderId="48" xfId="0" applyNumberFormat="1" applyFont="1" applyFill="1" applyBorder="1" applyAlignment="1">
      <alignment horizontal="center"/>
    </xf>
    <xf numFmtId="176" fontId="88" fillId="24" borderId="48" xfId="0" applyNumberFormat="1" applyFont="1" applyFill="1" applyBorder="1" applyAlignment="1">
      <alignment horizontal="center"/>
    </xf>
    <xf numFmtId="9" fontId="88" fillId="24" borderId="48" xfId="0" applyNumberFormat="1" applyFont="1" applyFill="1" applyBorder="1" applyAlignment="1">
      <alignment horizontal="center"/>
    </xf>
    <xf numFmtId="9" fontId="88" fillId="24" borderId="49" xfId="0" applyNumberFormat="1" applyFont="1" applyFill="1" applyBorder="1" applyAlignment="1">
      <alignment horizontal="center"/>
    </xf>
    <xf numFmtId="9" fontId="88" fillId="24" borderId="12" xfId="0" applyNumberFormat="1" applyFont="1" applyFill="1" applyBorder="1" applyAlignment="1">
      <alignment horizontal="center"/>
    </xf>
    <xf numFmtId="0" fontId="88" fillId="24" borderId="12" xfId="0" applyFont="1" applyFill="1" applyBorder="1"/>
    <xf numFmtId="0" fontId="88" fillId="24" borderId="48" xfId="0" applyFont="1" applyFill="1" applyBorder="1"/>
    <xf numFmtId="0" fontId="88" fillId="24" borderId="48" xfId="0" applyFont="1" applyFill="1" applyBorder="1" applyAlignment="1">
      <alignment horizontal="center"/>
    </xf>
    <xf numFmtId="0" fontId="88" fillId="24" borderId="0" xfId="0" applyFont="1" applyFill="1"/>
    <xf numFmtId="0" fontId="0" fillId="24" borderId="0" xfId="0" applyFill="1"/>
    <xf numFmtId="0" fontId="88" fillId="24" borderId="47" xfId="0" applyFont="1" applyFill="1" applyBorder="1" applyAlignment="1">
      <alignment horizontal="center"/>
    </xf>
    <xf numFmtId="0" fontId="88" fillId="24" borderId="50" xfId="0" applyFont="1" applyFill="1" applyBorder="1" applyAlignment="1">
      <alignment horizontal="center"/>
    </xf>
    <xf numFmtId="1" fontId="88" fillId="24" borderId="50" xfId="0" applyNumberFormat="1" applyFont="1" applyFill="1" applyBorder="1" applyAlignment="1">
      <alignment horizontal="center"/>
    </xf>
    <xf numFmtId="176" fontId="88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88" fillId="24" borderId="49" xfId="0" applyFont="1" applyFill="1" applyBorder="1"/>
    <xf numFmtId="0" fontId="88" fillId="24" borderId="49" xfId="0" applyFont="1" applyFill="1" applyBorder="1" applyAlignment="1">
      <alignment horizontal="center"/>
    </xf>
    <xf numFmtId="9" fontId="88" fillId="24" borderId="47" xfId="0" applyNumberFormat="1" applyFont="1" applyFill="1" applyBorder="1" applyAlignment="1">
      <alignment horizontal="center"/>
    </xf>
    <xf numFmtId="2" fontId="88" fillId="24" borderId="48" xfId="0" applyNumberFormat="1" applyFont="1" applyFill="1" applyBorder="1" applyAlignment="1">
      <alignment horizontal="center"/>
    </xf>
    <xf numFmtId="1" fontId="88" fillId="24" borderId="47" xfId="0" applyNumberFormat="1" applyFont="1" applyFill="1" applyBorder="1" applyAlignment="1">
      <alignment horizontal="center"/>
    </xf>
    <xf numFmtId="1" fontId="88" fillId="24" borderId="12" xfId="0" applyNumberFormat="1" applyFont="1" applyFill="1" applyBorder="1" applyAlignment="1">
      <alignment horizontal="center"/>
    </xf>
    <xf numFmtId="0" fontId="88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83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36" fillId="2" borderId="17" xfId="0" applyNumberFormat="1" applyFont="1" applyFill="1" applyBorder="1" applyAlignment="1">
      <alignment horizontal="center" vertical="center"/>
    </xf>
    <xf numFmtId="0" fontId="83" fillId="17" borderId="0" xfId="0" applyFont="1" applyFill="1" applyAlignment="1">
      <alignment horizontal="center" vertical="center"/>
    </xf>
    <xf numFmtId="14" fontId="41" fillId="22" borderId="20" xfId="0" applyNumberFormat="1" applyFont="1" applyFill="1" applyBorder="1" applyAlignment="1">
      <alignment horizontal="center" vertical="center"/>
    </xf>
    <xf numFmtId="14" fontId="37" fillId="17" borderId="12" xfId="0" applyNumberFormat="1" applyFont="1" applyFill="1" applyBorder="1" applyAlignment="1">
      <alignment horizontal="center" vertical="center"/>
    </xf>
    <xf numFmtId="0" fontId="35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83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83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40" fillId="23" borderId="28" xfId="0" applyNumberFormat="1" applyFont="1" applyFill="1" applyBorder="1" applyAlignment="1">
      <alignment horizontal="left" vertical="center" wrapText="1"/>
    </xf>
    <xf numFmtId="0" fontId="83" fillId="23" borderId="21" xfId="0" applyFont="1" applyFill="1" applyBorder="1" applyAlignment="1">
      <alignment horizontal="center"/>
    </xf>
    <xf numFmtId="14" fontId="40" fillId="23" borderId="10" xfId="0" applyNumberFormat="1" applyFont="1" applyFill="1" applyBorder="1" applyAlignment="1">
      <alignment horizontal="center" vertical="center"/>
    </xf>
    <xf numFmtId="14" fontId="40" fillId="23" borderId="17" xfId="0" applyNumberFormat="1" applyFont="1" applyFill="1" applyBorder="1" applyAlignment="1">
      <alignment horizontal="left" vertical="center" wrapText="1"/>
    </xf>
    <xf numFmtId="14" fontId="36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34" fillId="17" borderId="28" xfId="0" applyNumberFormat="1" applyFont="1" applyFill="1" applyBorder="1" applyAlignment="1">
      <alignment horizontal="left" vertical="center" wrapText="1"/>
    </xf>
    <xf numFmtId="14" fontId="36" fillId="22" borderId="28" xfId="0" applyNumberFormat="1" applyFont="1" applyFill="1" applyBorder="1" applyAlignment="1">
      <alignment horizontal="center" vertical="center"/>
    </xf>
    <xf numFmtId="0" fontId="83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86" fillId="5" borderId="18" xfId="0" applyFont="1" applyFill="1" applyBorder="1"/>
    <xf numFmtId="0" fontId="86" fillId="5" borderId="67" xfId="0" applyFont="1" applyFill="1" applyBorder="1"/>
    <xf numFmtId="170" fontId="86" fillId="5" borderId="0" xfId="3" applyNumberFormat="1" applyFont="1" applyFill="1" applyBorder="1"/>
    <xf numFmtId="0" fontId="86" fillId="5" borderId="13" xfId="0" applyFont="1" applyFill="1" applyBorder="1"/>
    <xf numFmtId="0" fontId="86" fillId="5" borderId="51" xfId="0" applyFont="1" applyFill="1" applyBorder="1"/>
    <xf numFmtId="0" fontId="86" fillId="5" borderId="26" xfId="0" applyFont="1" applyFill="1" applyBorder="1"/>
    <xf numFmtId="181" fontId="0" fillId="2" borderId="0" xfId="0" applyNumberFormat="1" applyFill="1"/>
    <xf numFmtId="0" fontId="87" fillId="5" borderId="0" xfId="0" applyFont="1" applyFill="1"/>
    <xf numFmtId="169" fontId="86" fillId="5" borderId="0" xfId="3" applyNumberFormat="1" applyFont="1" applyFill="1" applyBorder="1"/>
    <xf numFmtId="10" fontId="87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85" fillId="2" borderId="0" xfId="0" applyFont="1" applyFill="1"/>
    <xf numFmtId="180" fontId="86" fillId="0" borderId="72" xfId="3" applyNumberFormat="1" applyFont="1" applyFill="1" applyBorder="1"/>
    <xf numFmtId="0" fontId="83" fillId="3" borderId="71" xfId="0" applyFont="1" applyFill="1" applyBorder="1"/>
    <xf numFmtId="178" fontId="0" fillId="2" borderId="72" xfId="0" applyNumberFormat="1" applyFill="1" applyBorder="1"/>
    <xf numFmtId="0" fontId="86" fillId="23" borderId="18" xfId="0" applyFont="1" applyFill="1" applyBorder="1"/>
    <xf numFmtId="0" fontId="86" fillId="23" borderId="0" xfId="0" applyFont="1" applyFill="1"/>
    <xf numFmtId="171" fontId="86" fillId="23" borderId="0" xfId="0" applyNumberFormat="1" applyFont="1" applyFill="1"/>
    <xf numFmtId="0" fontId="86" fillId="23" borderId="67" xfId="0" applyFont="1" applyFill="1" applyBorder="1"/>
    <xf numFmtId="172" fontId="86" fillId="23" borderId="0" xfId="0" applyNumberFormat="1" applyFont="1" applyFill="1"/>
    <xf numFmtId="1" fontId="82" fillId="23" borderId="20" xfId="0" applyNumberFormat="1" applyFont="1" applyFill="1" applyBorder="1" applyAlignment="1">
      <alignment horizontal="center" vertical="center"/>
    </xf>
    <xf numFmtId="0" fontId="38" fillId="23" borderId="20" xfId="0" applyFont="1" applyFill="1" applyBorder="1" applyAlignment="1">
      <alignment horizontal="left" vertical="center"/>
    </xf>
    <xf numFmtId="14" fontId="82" fillId="23" borderId="74" xfId="0" applyNumberFormat="1" applyFont="1" applyFill="1" applyBorder="1" applyAlignment="1">
      <alignment horizontal="center" vertical="center"/>
    </xf>
    <xf numFmtId="20" fontId="82" fillId="23" borderId="74" xfId="0" applyNumberFormat="1" applyFont="1" applyFill="1" applyBorder="1" applyAlignment="1">
      <alignment horizontal="center" vertical="center"/>
    </xf>
    <xf numFmtId="1" fontId="82" fillId="23" borderId="74" xfId="0" applyNumberFormat="1" applyFont="1" applyFill="1" applyBorder="1" applyAlignment="1">
      <alignment horizontal="center" vertical="center"/>
    </xf>
    <xf numFmtId="0" fontId="41" fillId="23" borderId="74" xfId="0" applyFont="1" applyFill="1" applyBorder="1" applyAlignment="1">
      <alignment horizontal="left" vertical="center" wrapText="1"/>
    </xf>
    <xf numFmtId="0" fontId="67" fillId="23" borderId="76" xfId="0" applyFont="1" applyFill="1" applyBorder="1" applyAlignment="1">
      <alignment horizontal="center" vertical="center"/>
    </xf>
    <xf numFmtId="20" fontId="82" fillId="23" borderId="76" xfId="0" applyNumberFormat="1" applyFont="1" applyFill="1" applyBorder="1" applyAlignment="1">
      <alignment horizontal="center" vertical="center"/>
    </xf>
    <xf numFmtId="1" fontId="82" fillId="23" borderId="76" xfId="0" applyNumberFormat="1" applyFont="1" applyFill="1" applyBorder="1" applyAlignment="1">
      <alignment horizontal="center" vertical="center"/>
    </xf>
    <xf numFmtId="0" fontId="67" fillId="23" borderId="76" xfId="0" applyFont="1" applyFill="1" applyBorder="1" applyAlignment="1">
      <alignment horizontal="left" vertical="center"/>
    </xf>
    <xf numFmtId="20" fontId="82" fillId="22" borderId="28" xfId="0" applyNumberFormat="1" applyFont="1" applyFill="1" applyBorder="1" applyAlignment="1">
      <alignment horizontal="center" vertical="center"/>
    </xf>
    <xf numFmtId="1" fontId="82" fillId="22" borderId="28" xfId="0" applyNumberFormat="1" applyFont="1" applyFill="1" applyBorder="1" applyAlignment="1">
      <alignment horizontal="center" vertical="center"/>
    </xf>
    <xf numFmtId="0" fontId="34" fillId="22" borderId="28" xfId="0" applyFont="1" applyFill="1" applyBorder="1" applyAlignment="1">
      <alignment horizontal="center" vertical="center"/>
    </xf>
    <xf numFmtId="14" fontId="54" fillId="22" borderId="12" xfId="0" applyNumberFormat="1" applyFont="1" applyFill="1" applyBorder="1" applyAlignment="1">
      <alignment horizontal="center" vertical="center"/>
    </xf>
    <xf numFmtId="14" fontId="53" fillId="22" borderId="12" xfId="0" applyNumberFormat="1" applyFont="1" applyFill="1" applyBorder="1" applyAlignment="1">
      <alignment horizontal="center" vertical="center"/>
    </xf>
    <xf numFmtId="14" fontId="53" fillId="23" borderId="12" xfId="0" applyNumberFormat="1" applyFont="1" applyFill="1" applyBorder="1" applyAlignment="1">
      <alignment horizontal="center" vertical="center"/>
    </xf>
    <xf numFmtId="14" fontId="52" fillId="23" borderId="12" xfId="0" applyNumberFormat="1" applyFont="1" applyFill="1" applyBorder="1" applyAlignment="1">
      <alignment horizontal="center" vertical="center"/>
    </xf>
    <xf numFmtId="0" fontId="83" fillId="2" borderId="12" xfId="0" applyFont="1" applyFill="1" applyBorder="1" applyAlignment="1">
      <alignment horizontal="center" vertical="center"/>
    </xf>
    <xf numFmtId="14" fontId="46" fillId="22" borderId="12" xfId="0" applyNumberFormat="1" applyFont="1" applyFill="1" applyBorder="1" applyAlignment="1">
      <alignment horizontal="center" vertical="center"/>
    </xf>
    <xf numFmtId="14" fontId="44" fillId="23" borderId="12" xfId="0" applyNumberFormat="1" applyFont="1" applyFill="1" applyBorder="1" applyAlignment="1">
      <alignment horizontal="center" vertical="center"/>
    </xf>
    <xf numFmtId="14" fontId="43" fillId="23" borderId="12" xfId="0" applyNumberFormat="1" applyFont="1" applyFill="1" applyBorder="1" applyAlignment="1">
      <alignment horizontal="center" vertical="center"/>
    </xf>
    <xf numFmtId="14" fontId="45" fillId="23" borderId="12" xfId="0" applyNumberFormat="1" applyFont="1" applyFill="1" applyBorder="1" applyAlignment="1">
      <alignment horizontal="center" vertical="center" wrapText="1"/>
    </xf>
    <xf numFmtId="14" fontId="43" fillId="2" borderId="12" xfId="0" applyNumberFormat="1" applyFont="1" applyFill="1" applyBorder="1" applyAlignment="1">
      <alignment horizontal="center" vertical="center"/>
    </xf>
    <xf numFmtId="14" fontId="40" fillId="2" borderId="12" xfId="0" applyNumberFormat="1" applyFont="1" applyFill="1" applyBorder="1" applyAlignment="1">
      <alignment horizontal="center" vertical="center"/>
    </xf>
    <xf numFmtId="14" fontId="40" fillId="23" borderId="12" xfId="0" applyNumberFormat="1" applyFont="1" applyFill="1" applyBorder="1" applyAlignment="1">
      <alignment horizontal="left" vertical="center" wrapText="1"/>
    </xf>
    <xf numFmtId="14" fontId="36" fillId="23" borderId="12" xfId="0" applyNumberFormat="1" applyFont="1" applyFill="1" applyBorder="1" applyAlignment="1">
      <alignment horizontal="center" vertical="center"/>
    </xf>
    <xf numFmtId="14" fontId="36" fillId="2" borderId="12" xfId="0" applyNumberFormat="1" applyFont="1" applyFill="1" applyBorder="1" applyAlignment="1">
      <alignment horizontal="center" vertical="center"/>
    </xf>
    <xf numFmtId="14" fontId="36" fillId="22" borderId="12" xfId="0" applyNumberFormat="1" applyFont="1" applyFill="1" applyBorder="1" applyAlignment="1">
      <alignment horizontal="center" vertical="center"/>
    </xf>
    <xf numFmtId="14" fontId="34" fillId="22" borderId="12" xfId="0" applyNumberFormat="1" applyFont="1" applyFill="1" applyBorder="1" applyAlignment="1">
      <alignment horizontal="center" vertical="center"/>
    </xf>
    <xf numFmtId="0" fontId="33" fillId="23" borderId="20" xfId="0" applyFont="1" applyFill="1" applyBorder="1" applyAlignment="1">
      <alignment horizontal="center" vertical="center"/>
    </xf>
    <xf numFmtId="0" fontId="33" fillId="23" borderId="74" xfId="0" applyFont="1" applyFill="1" applyBorder="1" applyAlignment="1">
      <alignment horizontal="center" vertical="center"/>
    </xf>
    <xf numFmtId="0" fontId="33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71" fillId="22" borderId="12" xfId="0" applyNumberFormat="1" applyFont="1" applyFill="1" applyBorder="1" applyAlignment="1">
      <alignment horizontal="center" vertical="center"/>
    </xf>
    <xf numFmtId="14" fontId="83" fillId="22" borderId="12" xfId="0" applyNumberFormat="1" applyFont="1" applyFill="1" applyBorder="1" applyAlignment="1">
      <alignment horizontal="center" vertical="center"/>
    </xf>
    <xf numFmtId="9" fontId="83" fillId="22" borderId="12" xfId="0" applyNumberFormat="1" applyFont="1" applyFill="1" applyBorder="1" applyAlignment="1">
      <alignment horizontal="center"/>
    </xf>
    <xf numFmtId="1" fontId="83" fillId="22" borderId="27" xfId="0" applyNumberFormat="1" applyFont="1" applyFill="1" applyBorder="1" applyAlignment="1">
      <alignment horizontal="center" vertical="center"/>
    </xf>
    <xf numFmtId="1" fontId="83" fillId="22" borderId="12" xfId="0" applyNumberFormat="1" applyFont="1" applyFill="1" applyBorder="1" applyAlignment="1">
      <alignment horizontal="center"/>
    </xf>
    <xf numFmtId="176" fontId="83" fillId="22" borderId="23" xfId="0" applyNumberFormat="1" applyFont="1" applyFill="1" applyBorder="1" applyAlignment="1">
      <alignment horizontal="center" vertical="center"/>
    </xf>
    <xf numFmtId="176" fontId="83" fillId="22" borderId="11" xfId="0" applyNumberFormat="1" applyFont="1" applyFill="1" applyBorder="1" applyAlignment="1">
      <alignment horizontal="center" vertical="center"/>
    </xf>
    <xf numFmtId="176" fontId="83" fillId="22" borderId="25" xfId="0" applyNumberFormat="1" applyFont="1" applyFill="1" applyBorder="1" applyAlignment="1">
      <alignment horizontal="center" vertical="center"/>
    </xf>
    <xf numFmtId="176" fontId="83" fillId="22" borderId="54" xfId="0" applyNumberFormat="1" applyFont="1" applyFill="1" applyBorder="1" applyAlignment="1">
      <alignment horizontal="center" vertical="center"/>
    </xf>
    <xf numFmtId="14" fontId="69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33" fillId="23" borderId="10" xfId="0" applyNumberFormat="1" applyFont="1" applyFill="1" applyBorder="1" applyAlignment="1">
      <alignment horizontal="left" vertical="center" wrapText="1"/>
    </xf>
    <xf numFmtId="14" fontId="33" fillId="22" borderId="28" xfId="0" applyNumberFormat="1" applyFont="1" applyFill="1" applyBorder="1" applyAlignment="1">
      <alignment horizontal="center" vertical="center"/>
    </xf>
    <xf numFmtId="0" fontId="83" fillId="23" borderId="12" xfId="0" applyFont="1" applyFill="1" applyBorder="1" applyAlignment="1">
      <alignment horizontal="center" vertical="center"/>
    </xf>
    <xf numFmtId="0" fontId="83" fillId="2" borderId="7" xfId="0" applyFont="1" applyFill="1" applyBorder="1" applyAlignment="1">
      <alignment horizontal="center"/>
    </xf>
    <xf numFmtId="0" fontId="76" fillId="22" borderId="12" xfId="0" applyFont="1" applyFill="1" applyBorder="1" applyAlignment="1">
      <alignment horizontal="center" vertical="center"/>
    </xf>
    <xf numFmtId="20" fontId="76" fillId="22" borderId="12" xfId="0" applyNumberFormat="1" applyFont="1" applyFill="1" applyBorder="1" applyAlignment="1">
      <alignment horizontal="center" vertical="center"/>
    </xf>
    <xf numFmtId="0" fontId="32" fillId="22" borderId="12" xfId="0" applyFont="1" applyFill="1" applyBorder="1" applyAlignment="1">
      <alignment horizontal="left" vertical="center"/>
    </xf>
    <xf numFmtId="14" fontId="37" fillId="23" borderId="12" xfId="0" applyNumberFormat="1" applyFont="1" applyFill="1" applyBorder="1" applyAlignment="1">
      <alignment horizontal="center" vertical="center"/>
    </xf>
    <xf numFmtId="14" fontId="53" fillId="23" borderId="20" xfId="0" applyNumberFormat="1" applyFont="1" applyFill="1" applyBorder="1" applyAlignment="1">
      <alignment horizontal="center" vertical="center"/>
    </xf>
    <xf numFmtId="14" fontId="52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51" fillId="2" borderId="28" xfId="0" applyNumberFormat="1" applyFont="1" applyFill="1" applyBorder="1" applyAlignment="1">
      <alignment horizontal="center" vertical="center"/>
    </xf>
    <xf numFmtId="0" fontId="83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75" fillId="23" borderId="76" xfId="0" applyNumberFormat="1" applyFont="1" applyFill="1" applyBorder="1" applyAlignment="1">
      <alignment horizontal="center" vertical="center"/>
    </xf>
    <xf numFmtId="0" fontId="83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83" fillId="3" borderId="30" xfId="0" applyFont="1" applyFill="1" applyBorder="1" applyAlignment="1">
      <alignment horizontal="center" vertical="center"/>
    </xf>
    <xf numFmtId="0" fontId="83" fillId="3" borderId="31" xfId="0" applyFont="1" applyFill="1" applyBorder="1" applyAlignment="1">
      <alignment horizontal="center" vertical="center"/>
    </xf>
    <xf numFmtId="0" fontId="83" fillId="3" borderId="20" xfId="0" applyFont="1" applyFill="1" applyBorder="1" applyAlignment="1">
      <alignment horizontal="center" vertical="center"/>
    </xf>
    <xf numFmtId="0" fontId="83" fillId="3" borderId="20" xfId="0" applyFont="1" applyFill="1" applyBorder="1" applyAlignment="1">
      <alignment horizontal="center" vertical="center" wrapText="1"/>
    </xf>
    <xf numFmtId="1" fontId="83" fillId="23" borderId="74" xfId="0" applyNumberFormat="1" applyFont="1" applyFill="1" applyBorder="1" applyAlignment="1">
      <alignment horizontal="center"/>
    </xf>
    <xf numFmtId="1" fontId="83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30" fillId="22" borderId="12" xfId="0" applyFont="1" applyFill="1" applyBorder="1" applyAlignment="1">
      <alignment horizontal="center" vertical="center"/>
    </xf>
    <xf numFmtId="0" fontId="30" fillId="22" borderId="12" xfId="0" applyFont="1" applyFill="1" applyBorder="1" applyAlignment="1">
      <alignment horizontal="left" vertical="center" wrapText="1"/>
    </xf>
    <xf numFmtId="14" fontId="31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83" fillId="23" borderId="7" xfId="0" applyFont="1" applyFill="1" applyBorder="1" applyAlignment="1">
      <alignment horizontal="center"/>
    </xf>
    <xf numFmtId="14" fontId="83" fillId="23" borderId="12" xfId="0" applyNumberFormat="1" applyFont="1" applyFill="1" applyBorder="1" applyAlignment="1">
      <alignment horizontal="center" vertical="center"/>
    </xf>
    <xf numFmtId="176" fontId="83" fillId="23" borderId="25" xfId="0" applyNumberFormat="1" applyFont="1" applyFill="1" applyBorder="1" applyAlignment="1">
      <alignment horizontal="center" vertical="center"/>
    </xf>
    <xf numFmtId="0" fontId="29" fillId="22" borderId="12" xfId="0" applyFont="1" applyFill="1" applyBorder="1" applyAlignment="1">
      <alignment horizontal="center" vertical="center"/>
    </xf>
    <xf numFmtId="166" fontId="82" fillId="23" borderId="12" xfId="0" applyNumberFormat="1" applyFont="1" applyFill="1" applyBorder="1" applyAlignment="1">
      <alignment horizontal="center" vertical="center"/>
    </xf>
    <xf numFmtId="0" fontId="29" fillId="23" borderId="12" xfId="0" applyFont="1" applyFill="1" applyBorder="1" applyAlignment="1">
      <alignment horizontal="center" vertical="center"/>
    </xf>
    <xf numFmtId="0" fontId="29" fillId="23" borderId="12" xfId="0" applyFont="1" applyFill="1" applyBorder="1" applyAlignment="1">
      <alignment horizontal="left" vertical="center" wrapText="1"/>
    </xf>
    <xf numFmtId="0" fontId="28" fillId="2" borderId="7" xfId="0" applyFont="1" applyFill="1" applyBorder="1" applyAlignment="1">
      <alignment vertical="center"/>
    </xf>
    <xf numFmtId="0" fontId="27" fillId="22" borderId="12" xfId="0" applyFont="1" applyFill="1" applyBorder="1" applyAlignment="1">
      <alignment horizontal="left" vertical="center" wrapText="1"/>
    </xf>
    <xf numFmtId="0" fontId="27" fillId="23" borderId="12" xfId="0" applyFont="1" applyFill="1" applyBorder="1" applyAlignment="1">
      <alignment horizontal="center" vertical="center"/>
    </xf>
    <xf numFmtId="0" fontId="27" fillId="23" borderId="12" xfId="0" applyFont="1" applyFill="1" applyBorder="1" applyAlignment="1">
      <alignment horizontal="left" vertical="center"/>
    </xf>
    <xf numFmtId="14" fontId="83" fillId="22" borderId="12" xfId="0" applyNumberFormat="1" applyFont="1" applyFill="1" applyBorder="1" applyAlignment="1">
      <alignment horizontal="center" vertical="center" wrapText="1"/>
    </xf>
    <xf numFmtId="14" fontId="40" fillId="23" borderId="12" xfId="0" applyNumberFormat="1" applyFont="1" applyFill="1" applyBorder="1" applyAlignment="1">
      <alignment horizontal="center" vertical="center" wrapText="1"/>
    </xf>
    <xf numFmtId="14" fontId="39" fillId="22" borderId="12" xfId="0" applyNumberFormat="1" applyFont="1" applyFill="1" applyBorder="1" applyAlignment="1">
      <alignment horizontal="center" vertical="center" wrapText="1"/>
    </xf>
    <xf numFmtId="0" fontId="26" fillId="23" borderId="12" xfId="0" applyFont="1" applyFill="1" applyBorder="1" applyAlignment="1">
      <alignment horizontal="center" vertical="center"/>
    </xf>
    <xf numFmtId="0" fontId="26" fillId="23" borderId="12" xfId="0" applyFont="1" applyFill="1" applyBorder="1" applyAlignment="1">
      <alignment horizontal="left" vertical="center" wrapText="1"/>
    </xf>
    <xf numFmtId="0" fontId="106" fillId="2" borderId="1" xfId="0" applyFont="1" applyFill="1" applyBorder="1"/>
    <xf numFmtId="0" fontId="106" fillId="2" borderId="2" xfId="0" applyFont="1" applyFill="1" applyBorder="1"/>
    <xf numFmtId="0" fontId="106" fillId="2" borderId="3" xfId="0" applyFont="1" applyFill="1" applyBorder="1"/>
    <xf numFmtId="0" fontId="106" fillId="2" borderId="0" xfId="0" applyFont="1" applyFill="1"/>
    <xf numFmtId="0" fontId="107" fillId="2" borderId="18" xfId="0" applyFont="1" applyFill="1" applyBorder="1" applyAlignment="1">
      <alignment horizontal="center"/>
    </xf>
    <xf numFmtId="0" fontId="108" fillId="2" borderId="18" xfId="0" applyFont="1" applyFill="1" applyBorder="1"/>
    <xf numFmtId="0" fontId="107" fillId="2" borderId="1" xfId="0" applyFont="1" applyFill="1" applyBorder="1"/>
    <xf numFmtId="0" fontId="107" fillId="2" borderId="2" xfId="0" applyFont="1" applyFill="1" applyBorder="1"/>
    <xf numFmtId="0" fontId="107" fillId="2" borderId="3" xfId="0" applyFont="1" applyFill="1" applyBorder="1"/>
    <xf numFmtId="0" fontId="107" fillId="2" borderId="0" xfId="0" applyFont="1" applyFill="1"/>
    <xf numFmtId="0" fontId="106" fillId="2" borderId="18" xfId="0" applyFont="1" applyFill="1" applyBorder="1"/>
    <xf numFmtId="0" fontId="106" fillId="2" borderId="67" xfId="0" applyFont="1" applyFill="1" applyBorder="1"/>
    <xf numFmtId="0" fontId="107" fillId="4" borderId="12" xfId="0" applyFont="1" applyFill="1" applyBorder="1" applyAlignment="1">
      <alignment horizontal="center"/>
    </xf>
    <xf numFmtId="0" fontId="106" fillId="2" borderId="18" xfId="0" applyFont="1" applyFill="1" applyBorder="1" applyAlignment="1">
      <alignment horizontal="center"/>
    </xf>
    <xf numFmtId="0" fontId="108" fillId="2" borderId="12" xfId="0" applyFont="1" applyFill="1" applyBorder="1" applyAlignment="1">
      <alignment horizontal="center"/>
    </xf>
    <xf numFmtId="0" fontId="106" fillId="2" borderId="12" xfId="0" applyFont="1" applyFill="1" applyBorder="1" applyAlignment="1">
      <alignment horizontal="center"/>
    </xf>
    <xf numFmtId="0" fontId="106" fillId="2" borderId="12" xfId="0" applyFont="1" applyFill="1" applyBorder="1"/>
    <xf numFmtId="0" fontId="106" fillId="2" borderId="13" xfId="0" applyFont="1" applyFill="1" applyBorder="1"/>
    <xf numFmtId="0" fontId="106" fillId="2" borderId="51" xfId="0" applyFont="1" applyFill="1" applyBorder="1"/>
    <xf numFmtId="0" fontId="106" fillId="2" borderId="26" xfId="0" applyFont="1" applyFill="1" applyBorder="1"/>
    <xf numFmtId="14" fontId="108" fillId="2" borderId="12" xfId="0" applyNumberFormat="1" applyFont="1" applyFill="1" applyBorder="1" applyAlignment="1">
      <alignment horizontal="center"/>
    </xf>
    <xf numFmtId="14" fontId="106" fillId="2" borderId="12" xfId="0" applyNumberFormat="1" applyFont="1" applyFill="1" applyBorder="1" applyAlignment="1">
      <alignment horizontal="center"/>
    </xf>
    <xf numFmtId="0" fontId="83" fillId="22" borderId="12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25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0" fillId="2" borderId="20" xfId="0" applyFill="1" applyBorder="1" applyAlignment="1">
      <alignment vertical="center"/>
    </xf>
    <xf numFmtId="0" fontId="98" fillId="18" borderId="29" xfId="0" applyFont="1" applyFill="1" applyBorder="1" applyAlignment="1">
      <alignment vertical="center"/>
    </xf>
    <xf numFmtId="0" fontId="98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98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98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83" fillId="22" borderId="12" xfId="0" applyNumberFormat="1" applyFont="1" applyFill="1" applyBorder="1" applyAlignment="1">
      <alignment horizontal="center" vertical="center"/>
    </xf>
    <xf numFmtId="9" fontId="83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83" fillId="3" borderId="12" xfId="0" applyFont="1" applyFill="1" applyBorder="1" applyAlignment="1">
      <alignment horizontal="center" vertical="center"/>
    </xf>
    <xf numFmtId="0" fontId="79" fillId="22" borderId="28" xfId="0" applyFont="1" applyFill="1" applyBorder="1" applyAlignment="1">
      <alignment horizontal="center" vertical="center"/>
    </xf>
    <xf numFmtId="20" fontId="79" fillId="22" borderId="28" xfId="0" applyNumberFormat="1" applyFont="1" applyFill="1" applyBorder="1" applyAlignment="1">
      <alignment horizontal="center" vertical="center"/>
    </xf>
    <xf numFmtId="0" fontId="53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83" fillId="3" borderId="12" xfId="0" applyFont="1" applyFill="1" applyBorder="1" applyAlignment="1">
      <alignment horizontal="center" vertical="center" wrapText="1"/>
    </xf>
    <xf numFmtId="14" fontId="83" fillId="22" borderId="28" xfId="0" applyNumberFormat="1" applyFont="1" applyFill="1" applyBorder="1" applyAlignment="1">
      <alignment horizontal="center" vertical="center"/>
    </xf>
    <xf numFmtId="14" fontId="83" fillId="2" borderId="12" xfId="0" applyNumberFormat="1" applyFont="1" applyFill="1" applyBorder="1" applyAlignment="1">
      <alignment horizontal="center" vertical="center"/>
    </xf>
    <xf numFmtId="0" fontId="83" fillId="2" borderId="20" xfId="0" applyFont="1" applyFill="1" applyBorder="1" applyAlignment="1">
      <alignment horizontal="center" vertical="center"/>
    </xf>
    <xf numFmtId="0" fontId="83" fillId="2" borderId="28" xfId="0" applyFont="1" applyFill="1" applyBorder="1" applyAlignment="1">
      <alignment horizontal="center" vertical="center"/>
    </xf>
    <xf numFmtId="14" fontId="82" fillId="17" borderId="12" xfId="0" applyNumberFormat="1" applyFont="1" applyFill="1" applyBorder="1" applyAlignment="1">
      <alignment horizontal="center" vertical="center"/>
    </xf>
    <xf numFmtId="0" fontId="83" fillId="23" borderId="20" xfId="0" applyFont="1" applyFill="1" applyBorder="1" applyAlignment="1">
      <alignment horizontal="center" vertical="center"/>
    </xf>
    <xf numFmtId="0" fontId="83" fillId="23" borderId="74" xfId="0" applyFont="1" applyFill="1" applyBorder="1" applyAlignment="1">
      <alignment horizontal="center" vertical="center"/>
    </xf>
    <xf numFmtId="0" fontId="83" fillId="23" borderId="76" xfId="0" applyFont="1" applyFill="1" applyBorder="1" applyAlignment="1">
      <alignment horizontal="center" vertical="center"/>
    </xf>
    <xf numFmtId="0" fontId="83" fillId="22" borderId="10" xfId="0" applyFont="1" applyFill="1" applyBorder="1" applyAlignment="1">
      <alignment horizontal="center" vertical="center"/>
    </xf>
    <xf numFmtId="0" fontId="83" fillId="22" borderId="20" xfId="0" applyFont="1" applyFill="1" applyBorder="1" applyAlignment="1">
      <alignment horizontal="center" vertical="center"/>
    </xf>
    <xf numFmtId="0" fontId="83" fillId="23" borderId="10" xfId="0" applyFont="1" applyFill="1" applyBorder="1" applyAlignment="1">
      <alignment horizontal="center" vertical="center"/>
    </xf>
    <xf numFmtId="0" fontId="83" fillId="2" borderId="10" xfId="0" applyFont="1" applyFill="1" applyBorder="1" applyAlignment="1">
      <alignment horizontal="center" vertical="center"/>
    </xf>
    <xf numFmtId="0" fontId="83" fillId="3" borderId="78" xfId="0" applyFont="1" applyFill="1" applyBorder="1" applyAlignment="1">
      <alignment horizontal="center" vertical="center" wrapText="1"/>
    </xf>
    <xf numFmtId="0" fontId="83" fillId="23" borderId="81" xfId="0" applyFont="1" applyFill="1" applyBorder="1" applyAlignment="1">
      <alignment horizontal="center" vertical="center"/>
    </xf>
    <xf numFmtId="0" fontId="83" fillId="23" borderId="83" xfId="0" applyFont="1" applyFill="1" applyBorder="1" applyAlignment="1">
      <alignment horizontal="center" vertical="center"/>
    </xf>
    <xf numFmtId="0" fontId="83" fillId="23" borderId="12" xfId="0" applyFont="1" applyFill="1" applyBorder="1" applyAlignment="1">
      <alignment horizontal="center" wrapText="1"/>
    </xf>
    <xf numFmtId="0" fontId="24" fillId="23" borderId="12" xfId="0" applyFont="1" applyFill="1" applyBorder="1" applyAlignment="1">
      <alignment horizontal="center" vertical="center"/>
    </xf>
    <xf numFmtId="0" fontId="24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83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98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88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23" fillId="23" borderId="12" xfId="0" applyFont="1" applyFill="1" applyBorder="1" applyAlignment="1">
      <alignment horizontal="left" vertical="center" wrapText="1"/>
    </xf>
    <xf numFmtId="166" fontId="82" fillId="17" borderId="12" xfId="0" applyNumberFormat="1" applyFont="1" applyFill="1" applyBorder="1" applyAlignment="1">
      <alignment horizontal="center" vertical="center"/>
    </xf>
    <xf numFmtId="1" fontId="82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23" fillId="17" borderId="12" xfId="0" applyFont="1" applyFill="1" applyBorder="1" applyAlignment="1">
      <alignment horizontal="center" vertical="center"/>
    </xf>
    <xf numFmtId="0" fontId="23" fillId="17" borderId="12" xfId="0" applyFont="1" applyFill="1" applyBorder="1" applyAlignment="1">
      <alignment horizontal="left" vertical="center" wrapText="1"/>
    </xf>
    <xf numFmtId="14" fontId="23" fillId="17" borderId="12" xfId="0" applyNumberFormat="1" applyFont="1" applyFill="1" applyBorder="1" applyAlignment="1">
      <alignment horizontal="center" vertical="center"/>
    </xf>
    <xf numFmtId="0" fontId="83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99" fillId="2" borderId="72" xfId="0" applyFont="1" applyFill="1" applyBorder="1" applyAlignment="1">
      <alignment wrapText="1"/>
    </xf>
    <xf numFmtId="1" fontId="110" fillId="2" borderId="71" xfId="0" applyNumberFormat="1" applyFont="1" applyFill="1" applyBorder="1" applyAlignment="1">
      <alignment horizontal="center" vertical="center"/>
    </xf>
    <xf numFmtId="1" fontId="111" fillId="2" borderId="71" xfId="0" applyNumberFormat="1" applyFont="1" applyFill="1" applyBorder="1" applyAlignment="1">
      <alignment horizontal="center" vertical="center"/>
    </xf>
    <xf numFmtId="9" fontId="112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83" fillId="18" borderId="60" xfId="0" applyFont="1" applyFill="1" applyBorder="1" applyAlignment="1">
      <alignment horizontal="center"/>
    </xf>
    <xf numFmtId="0" fontId="83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22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83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83" fillId="19" borderId="12" xfId="0" applyFont="1" applyFill="1" applyBorder="1" applyAlignment="1">
      <alignment horizontal="center" vertical="center"/>
    </xf>
    <xf numFmtId="14" fontId="82" fillId="19" borderId="12" xfId="0" applyNumberFormat="1" applyFont="1" applyFill="1" applyBorder="1" applyAlignment="1">
      <alignment horizontal="center" vertical="center"/>
    </xf>
    <xf numFmtId="0" fontId="83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34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83" fillId="4" borderId="12" xfId="0" applyNumberFormat="1" applyFont="1" applyFill="1" applyBorder="1" applyAlignment="1">
      <alignment horizontal="center"/>
    </xf>
    <xf numFmtId="14" fontId="22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83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83" fillId="18" borderId="12" xfId="0" applyNumberFormat="1" applyFont="1" applyFill="1" applyBorder="1" applyAlignment="1">
      <alignment horizontal="center"/>
    </xf>
    <xf numFmtId="14" fontId="103" fillId="2" borderId="4" xfId="0" applyNumberFormat="1" applyFont="1" applyFill="1" applyBorder="1" applyAlignment="1">
      <alignment horizontal="center" vertical="center"/>
    </xf>
    <xf numFmtId="14" fontId="21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22" fillId="19" borderId="12" xfId="0" applyFont="1" applyFill="1" applyBorder="1" applyAlignment="1">
      <alignment horizontal="center" vertical="center"/>
    </xf>
    <xf numFmtId="166" fontId="82" fillId="19" borderId="12" xfId="0" applyNumberFormat="1" applyFont="1" applyFill="1" applyBorder="1" applyAlignment="1">
      <alignment horizontal="center" vertical="center"/>
    </xf>
    <xf numFmtId="1" fontId="82" fillId="19" borderId="12" xfId="0" applyNumberFormat="1" applyFont="1" applyFill="1" applyBorder="1" applyAlignment="1">
      <alignment horizontal="center" vertical="center"/>
    </xf>
    <xf numFmtId="0" fontId="21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21" fillId="19" borderId="12" xfId="0" applyFont="1" applyFill="1" applyBorder="1" applyAlignment="1">
      <alignment horizontal="center" vertical="center"/>
    </xf>
    <xf numFmtId="0" fontId="21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88" fillId="24" borderId="12" xfId="0" applyNumberFormat="1" applyFont="1" applyFill="1" applyBorder="1" applyAlignment="1">
      <alignment horizontal="center"/>
    </xf>
    <xf numFmtId="1" fontId="103" fillId="2" borderId="15" xfId="0" applyNumberFormat="1" applyFont="1" applyFill="1" applyBorder="1" applyAlignment="1">
      <alignment horizontal="center" vertical="center"/>
    </xf>
    <xf numFmtId="1" fontId="103" fillId="2" borderId="25" xfId="0" applyNumberFormat="1" applyFont="1" applyFill="1" applyBorder="1" applyAlignment="1">
      <alignment horizontal="center" vertical="center"/>
    </xf>
    <xf numFmtId="0" fontId="103" fillId="2" borderId="5" xfId="0" applyFont="1" applyFill="1" applyBorder="1" applyAlignment="1">
      <alignment vertical="center"/>
    </xf>
    <xf numFmtId="165" fontId="103" fillId="2" borderId="5" xfId="1" applyNumberFormat="1" applyFont="1" applyFill="1" applyBorder="1" applyAlignment="1">
      <alignment horizontal="center" vertical="center"/>
    </xf>
    <xf numFmtId="166" fontId="103" fillId="2" borderId="5" xfId="0" applyNumberFormat="1" applyFont="1" applyFill="1" applyBorder="1" applyAlignment="1">
      <alignment horizontal="center" vertical="center"/>
    </xf>
    <xf numFmtId="9" fontId="103" fillId="2" borderId="5" xfId="2" applyFont="1" applyFill="1" applyBorder="1" applyAlignment="1">
      <alignment horizontal="center" vertical="center"/>
    </xf>
    <xf numFmtId="167" fontId="103" fillId="2" borderId="6" xfId="1" applyNumberFormat="1" applyFont="1" applyFill="1" applyBorder="1" applyAlignment="1">
      <alignment horizontal="center" vertical="center"/>
    </xf>
    <xf numFmtId="0" fontId="103" fillId="2" borderId="6" xfId="0" applyFont="1" applyFill="1" applyBorder="1" applyAlignment="1">
      <alignment horizontal="center" vertical="center"/>
    </xf>
    <xf numFmtId="1" fontId="103" fillId="2" borderId="6" xfId="0" applyNumberFormat="1" applyFont="1" applyFill="1" applyBorder="1" applyAlignment="1">
      <alignment horizontal="center" vertical="center"/>
    </xf>
    <xf numFmtId="1" fontId="103" fillId="2" borderId="5" xfId="0" applyNumberFormat="1" applyFont="1" applyFill="1" applyBorder="1" applyAlignment="1">
      <alignment horizontal="center" vertical="center"/>
    </xf>
    <xf numFmtId="1" fontId="103" fillId="2" borderId="59" xfId="0" applyNumberFormat="1" applyFont="1" applyFill="1" applyBorder="1" applyAlignment="1">
      <alignment horizontal="center" vertical="center"/>
    </xf>
    <xf numFmtId="167" fontId="103" fillId="2" borderId="32" xfId="1" applyNumberFormat="1" applyFont="1" applyFill="1" applyBorder="1" applyAlignment="1">
      <alignment horizontal="center" vertical="center"/>
    </xf>
    <xf numFmtId="0" fontId="103" fillId="2" borderId="32" xfId="0" applyFont="1" applyFill="1" applyBorder="1" applyAlignment="1">
      <alignment horizontal="center" vertical="center"/>
    </xf>
    <xf numFmtId="14" fontId="103" fillId="2" borderId="12" xfId="0" applyNumberFormat="1" applyFont="1" applyFill="1" applyBorder="1" applyAlignment="1">
      <alignment horizontal="center" vertical="center"/>
    </xf>
    <xf numFmtId="0" fontId="103" fillId="2" borderId="12" xfId="0" applyFont="1" applyFill="1" applyBorder="1" applyAlignment="1">
      <alignment vertical="center"/>
    </xf>
    <xf numFmtId="165" fontId="103" fillId="2" borderId="12" xfId="1" applyNumberFormat="1" applyFont="1" applyFill="1" applyBorder="1" applyAlignment="1">
      <alignment horizontal="center" vertical="center"/>
    </xf>
    <xf numFmtId="166" fontId="103" fillId="2" borderId="12" xfId="0" applyNumberFormat="1" applyFont="1" applyFill="1" applyBorder="1" applyAlignment="1">
      <alignment horizontal="center" vertical="center"/>
    </xf>
    <xf numFmtId="9" fontId="103" fillId="2" borderId="12" xfId="2" applyFont="1" applyFill="1" applyBorder="1" applyAlignment="1">
      <alignment horizontal="center" vertical="center"/>
    </xf>
    <xf numFmtId="167" fontId="103" fillId="2" borderId="12" xfId="1" applyNumberFormat="1" applyFont="1" applyFill="1" applyBorder="1" applyAlignment="1">
      <alignment horizontal="center" vertical="center"/>
    </xf>
    <xf numFmtId="0" fontId="103" fillId="2" borderId="12" xfId="0" applyFont="1" applyFill="1" applyBorder="1" applyAlignment="1">
      <alignment horizontal="center" vertical="center"/>
    </xf>
    <xf numFmtId="1" fontId="103" fillId="2" borderId="12" xfId="0" applyNumberFormat="1" applyFont="1" applyFill="1" applyBorder="1" applyAlignment="1">
      <alignment horizontal="center" vertical="center"/>
    </xf>
    <xf numFmtId="0" fontId="20" fillId="19" borderId="12" xfId="0" applyFont="1" applyFill="1" applyBorder="1" applyAlignment="1">
      <alignment horizontal="left" vertical="center" wrapText="1"/>
    </xf>
    <xf numFmtId="0" fontId="20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19" fillId="17" borderId="12" xfId="0" applyFont="1" applyFill="1" applyBorder="1" applyAlignment="1">
      <alignment horizontal="center" vertical="center"/>
    </xf>
    <xf numFmtId="0" fontId="19" fillId="17" borderId="12" xfId="0" applyFont="1" applyFill="1" applyBorder="1" applyAlignment="1">
      <alignment horizontal="left" vertical="center" wrapText="1"/>
    </xf>
    <xf numFmtId="0" fontId="83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19" fillId="19" borderId="12" xfId="0" applyNumberFormat="1" applyFont="1" applyFill="1" applyBorder="1" applyAlignment="1">
      <alignment horizontal="center" vertical="center" wrapText="1"/>
    </xf>
    <xf numFmtId="173" fontId="88" fillId="0" borderId="0" xfId="0" applyNumberFormat="1" applyFont="1" applyAlignment="1">
      <alignment horizontal="center"/>
    </xf>
    <xf numFmtId="173" fontId="88" fillId="0" borderId="49" xfId="0" applyNumberFormat="1" applyFont="1" applyBorder="1" applyAlignment="1">
      <alignment horizontal="center"/>
    </xf>
    <xf numFmtId="174" fontId="88" fillId="0" borderId="47" xfId="0" applyNumberFormat="1" applyFont="1" applyBorder="1" applyAlignment="1">
      <alignment horizontal="center"/>
    </xf>
    <xf numFmtId="176" fontId="88" fillId="0" borderId="47" xfId="0" applyNumberFormat="1" applyFont="1" applyBorder="1" applyAlignment="1">
      <alignment horizontal="center"/>
    </xf>
    <xf numFmtId="1" fontId="88" fillId="21" borderId="28" xfId="0" applyNumberFormat="1" applyFont="1" applyFill="1" applyBorder="1" applyAlignment="1">
      <alignment horizontal="center"/>
    </xf>
    <xf numFmtId="2" fontId="88" fillId="21" borderId="28" xfId="0" applyNumberFormat="1" applyFont="1" applyFill="1" applyBorder="1" applyAlignment="1">
      <alignment horizontal="center"/>
    </xf>
    <xf numFmtId="176" fontId="88" fillId="21" borderId="28" xfId="0" applyNumberFormat="1" applyFont="1" applyFill="1" applyBorder="1" applyAlignment="1">
      <alignment horizontal="center"/>
    </xf>
    <xf numFmtId="9" fontId="88" fillId="21" borderId="28" xfId="0" applyNumberFormat="1" applyFont="1" applyFill="1" applyBorder="1" applyAlignment="1">
      <alignment horizontal="center"/>
    </xf>
    <xf numFmtId="0" fontId="88" fillId="21" borderId="28" xfId="0" applyFont="1" applyFill="1" applyBorder="1" applyAlignment="1">
      <alignment horizontal="center"/>
    </xf>
    <xf numFmtId="176" fontId="88" fillId="0" borderId="12" xfId="0" applyNumberFormat="1" applyFont="1" applyBorder="1" applyAlignment="1">
      <alignment horizontal="center"/>
    </xf>
    <xf numFmtId="9" fontId="88" fillId="22" borderId="48" xfId="2" applyFont="1" applyFill="1" applyBorder="1" applyAlignment="1">
      <alignment horizontal="center" vertical="center"/>
    </xf>
    <xf numFmtId="0" fontId="88" fillId="0" borderId="49" xfId="0" applyFont="1" applyBorder="1"/>
    <xf numFmtId="0" fontId="88" fillId="24" borderId="7" xfId="0" applyFont="1" applyFill="1" applyBorder="1"/>
    <xf numFmtId="0" fontId="88" fillId="0" borderId="7" xfId="0" applyFont="1" applyBorder="1"/>
    <xf numFmtId="0" fontId="88" fillId="0" borderId="30" xfId="0" applyFont="1" applyBorder="1"/>
    <xf numFmtId="0" fontId="88" fillId="24" borderId="8" xfId="0" applyFont="1" applyFill="1" applyBorder="1" applyAlignment="1">
      <alignment horizontal="center"/>
    </xf>
    <xf numFmtId="0" fontId="88" fillId="0" borderId="8" xfId="0" applyFont="1" applyBorder="1" applyAlignment="1">
      <alignment horizontal="center"/>
    </xf>
    <xf numFmtId="0" fontId="88" fillId="0" borderId="31" xfId="0" applyFont="1" applyBorder="1" applyAlignment="1">
      <alignment horizontal="center"/>
    </xf>
    <xf numFmtId="14" fontId="18" fillId="17" borderId="12" xfId="0" applyNumberFormat="1" applyFont="1" applyFill="1" applyBorder="1" applyAlignment="1">
      <alignment horizontal="center" vertical="center"/>
    </xf>
    <xf numFmtId="0" fontId="18" fillId="17" borderId="12" xfId="0" applyFont="1" applyFill="1" applyBorder="1" applyAlignment="1">
      <alignment horizontal="center" vertical="center"/>
    </xf>
    <xf numFmtId="0" fontId="18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98" fillId="4" borderId="28" xfId="0" applyNumberFormat="1" applyFont="1" applyFill="1" applyBorder="1" applyAlignment="1">
      <alignment horizontal="center" vertical="center"/>
    </xf>
    <xf numFmtId="0" fontId="103" fillId="2" borderId="22" xfId="0" applyFont="1" applyFill="1" applyBorder="1" applyAlignment="1">
      <alignment horizontal="center" vertical="center"/>
    </xf>
    <xf numFmtId="1" fontId="103" fillId="2" borderId="21" xfId="0" applyNumberFormat="1" applyFont="1" applyFill="1" applyBorder="1" applyAlignment="1">
      <alignment horizontal="center" vertical="center"/>
    </xf>
    <xf numFmtId="1" fontId="103" fillId="2" borderId="61" xfId="0" applyNumberFormat="1" applyFont="1" applyFill="1" applyBorder="1" applyAlignment="1">
      <alignment horizontal="center" vertical="center"/>
    </xf>
    <xf numFmtId="1" fontId="103" fillId="2" borderId="32" xfId="0" applyNumberFormat="1" applyFont="1" applyFill="1" applyBorder="1" applyAlignment="1">
      <alignment horizontal="center" vertical="center"/>
    </xf>
    <xf numFmtId="165" fontId="103" fillId="2" borderId="28" xfId="0" applyNumberFormat="1" applyFont="1" applyFill="1" applyBorder="1" applyAlignment="1">
      <alignment horizontal="center" vertical="center"/>
    </xf>
    <xf numFmtId="165" fontId="103" fillId="2" borderId="66" xfId="0" applyNumberFormat="1" applyFont="1" applyFill="1" applyBorder="1" applyAlignment="1">
      <alignment horizontal="center" vertical="center"/>
    </xf>
    <xf numFmtId="165" fontId="103" fillId="2" borderId="12" xfId="0" applyNumberFormat="1" applyFont="1" applyFill="1" applyBorder="1" applyAlignment="1">
      <alignment horizontal="center" vertical="center"/>
    </xf>
    <xf numFmtId="14" fontId="103" fillId="2" borderId="33" xfId="0" applyNumberFormat="1" applyFont="1" applyFill="1" applyBorder="1" applyAlignment="1">
      <alignment horizontal="center" vertical="center"/>
    </xf>
    <xf numFmtId="0" fontId="17" fillId="17" borderId="12" xfId="0" applyFont="1" applyFill="1" applyBorder="1" applyAlignment="1">
      <alignment horizontal="center" vertical="center"/>
    </xf>
    <xf numFmtId="14" fontId="57" fillId="18" borderId="12" xfId="0" applyNumberFormat="1" applyFont="1" applyFill="1" applyBorder="1"/>
    <xf numFmtId="0" fontId="16" fillId="17" borderId="12" xfId="0" applyFont="1" applyFill="1" applyBorder="1" applyAlignment="1">
      <alignment horizontal="left" vertical="center" wrapText="1"/>
    </xf>
    <xf numFmtId="0" fontId="15" fillId="2" borderId="7" xfId="0" applyFont="1" applyFill="1" applyBorder="1" applyAlignment="1">
      <alignment vertical="center"/>
    </xf>
    <xf numFmtId="14" fontId="15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15" fillId="17" borderId="12" xfId="0" applyFont="1" applyFill="1" applyBorder="1" applyAlignment="1">
      <alignment horizontal="center" vertical="center"/>
    </xf>
    <xf numFmtId="166" fontId="15" fillId="17" borderId="12" xfId="0" applyNumberFormat="1" applyFont="1" applyFill="1" applyBorder="1" applyAlignment="1">
      <alignment horizontal="center" vertical="center"/>
    </xf>
    <xf numFmtId="0" fontId="15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14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14" fillId="17" borderId="12" xfId="0" applyFont="1" applyFill="1" applyBorder="1" applyAlignment="1">
      <alignment horizontal="center" vertical="center"/>
    </xf>
    <xf numFmtId="0" fontId="14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13" fillId="17" borderId="12" xfId="0" applyFon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left" vertical="center" wrapText="1"/>
    </xf>
    <xf numFmtId="14" fontId="13" fillId="17" borderId="12" xfId="0" applyNumberFormat="1" applyFont="1" applyFill="1" applyBorder="1" applyAlignment="1">
      <alignment horizontal="center" vertical="center"/>
    </xf>
    <xf numFmtId="174" fontId="106" fillId="2" borderId="12" xfId="0" applyNumberFormat="1" applyFont="1" applyFill="1" applyBorder="1" applyAlignment="1">
      <alignment horizontal="center"/>
    </xf>
    <xf numFmtId="0" fontId="13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83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98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12" fillId="17" borderId="12" xfId="0" applyNumberFormat="1" applyFont="1" applyFill="1" applyBorder="1" applyAlignment="1">
      <alignment horizontal="center" vertical="center"/>
    </xf>
    <xf numFmtId="0" fontId="11" fillId="17" borderId="12" xfId="0" applyFont="1" applyFill="1" applyBorder="1" applyAlignment="1">
      <alignment horizontal="center" vertical="center"/>
    </xf>
    <xf numFmtId="166" fontId="11" fillId="17" borderId="12" xfId="0" applyNumberFormat="1" applyFont="1" applyFill="1" applyBorder="1" applyAlignment="1">
      <alignment horizontal="center" vertical="center"/>
    </xf>
    <xf numFmtId="0" fontId="11" fillId="17" borderId="12" xfId="0" applyFont="1" applyFill="1" applyBorder="1" applyAlignment="1">
      <alignment horizontal="left" vertical="center"/>
    </xf>
    <xf numFmtId="14" fontId="11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11" fillId="2" borderId="7" xfId="0" applyFont="1" applyFill="1" applyBorder="1" applyAlignment="1">
      <alignment vertical="center"/>
    </xf>
    <xf numFmtId="0" fontId="10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10" fillId="19" borderId="12" xfId="0" applyFont="1" applyFill="1" applyBorder="1" applyAlignment="1">
      <alignment horizontal="center" vertical="center"/>
    </xf>
    <xf numFmtId="166" fontId="10" fillId="19" borderId="12" xfId="0" applyNumberFormat="1" applyFont="1" applyFill="1" applyBorder="1" applyAlignment="1">
      <alignment horizontal="center" vertical="center"/>
    </xf>
    <xf numFmtId="0" fontId="10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9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93" fillId="4" borderId="12" xfId="0" applyFont="1" applyFill="1" applyBorder="1" applyAlignment="1">
      <alignment horizontal="center" vertical="center"/>
    </xf>
    <xf numFmtId="0" fontId="93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9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9" fillId="19" borderId="12" xfId="0" applyFont="1" applyFill="1" applyBorder="1" applyAlignment="1">
      <alignment horizontal="center" vertical="center"/>
    </xf>
    <xf numFmtId="0" fontId="9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8" fillId="19" borderId="12" xfId="0" applyFont="1" applyFill="1" applyBorder="1" applyAlignment="1">
      <alignment horizontal="center" vertical="center"/>
    </xf>
    <xf numFmtId="0" fontId="8" fillId="19" borderId="12" xfId="0" applyFont="1" applyFill="1" applyBorder="1" applyAlignment="1">
      <alignment horizontal="left" vertical="center" wrapText="1"/>
    </xf>
    <xf numFmtId="0" fontId="8" fillId="2" borderId="7" xfId="0" applyFont="1" applyFill="1" applyBorder="1" applyAlignment="1">
      <alignment vertical="center"/>
    </xf>
    <xf numFmtId="176" fontId="0" fillId="0" borderId="0" xfId="0" applyNumberFormat="1"/>
    <xf numFmtId="14" fontId="7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83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83" fillId="18" borderId="20" xfId="1" applyFont="1" applyFill="1" applyBorder="1" applyAlignment="1">
      <alignment horizontal="center"/>
    </xf>
    <xf numFmtId="43" fontId="83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83" fillId="19" borderId="12" xfId="0" applyFont="1" applyFill="1" applyBorder="1"/>
    <xf numFmtId="1" fontId="83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6" fillId="2" borderId="7" xfId="0" applyFont="1" applyFill="1" applyBorder="1" applyAlignment="1">
      <alignment vertical="center"/>
    </xf>
    <xf numFmtId="0" fontId="6" fillId="19" borderId="12" xfId="0" applyFont="1" applyFill="1" applyBorder="1" applyAlignment="1">
      <alignment horizontal="center" vertical="center"/>
    </xf>
    <xf numFmtId="0" fontId="6" fillId="19" borderId="12" xfId="0" applyFont="1" applyFill="1" applyBorder="1" applyAlignment="1">
      <alignment horizontal="left" vertical="center"/>
    </xf>
    <xf numFmtId="0" fontId="6" fillId="19" borderId="12" xfId="0" applyFont="1" applyFill="1" applyBorder="1" applyAlignment="1">
      <alignment horizontal="left" vertical="center" wrapText="1"/>
    </xf>
    <xf numFmtId="0" fontId="6" fillId="17" borderId="12" xfId="0" applyFont="1" applyFill="1" applyBorder="1" applyAlignment="1">
      <alignment horizontal="center" vertical="center"/>
    </xf>
    <xf numFmtId="0" fontId="6" fillId="17" borderId="12" xfId="0" applyFont="1" applyFill="1" applyBorder="1" applyAlignment="1">
      <alignment horizontal="left" vertical="center" wrapText="1"/>
    </xf>
    <xf numFmtId="0" fontId="6" fillId="17" borderId="12" xfId="0" applyFont="1" applyFill="1" applyBorder="1" applyAlignment="1">
      <alignment horizontal="left" vertical="center"/>
    </xf>
    <xf numFmtId="14" fontId="6" fillId="17" borderId="12" xfId="0" applyNumberFormat="1" applyFont="1" applyFill="1" applyBorder="1" applyAlignment="1">
      <alignment horizontal="center" vertical="center"/>
    </xf>
    <xf numFmtId="14" fontId="5" fillId="17" borderId="12" xfId="0" applyNumberFormat="1" applyFont="1" applyFill="1" applyBorder="1" applyAlignment="1">
      <alignment horizontal="center" vertical="center"/>
    </xf>
    <xf numFmtId="0" fontId="5" fillId="17" borderId="12" xfId="0" applyFont="1" applyFill="1" applyBorder="1" applyAlignment="1">
      <alignment horizontal="center" vertical="center"/>
    </xf>
    <xf numFmtId="0" fontId="5" fillId="17" borderId="12" xfId="0" applyFont="1" applyFill="1" applyBorder="1" applyAlignment="1">
      <alignment horizontal="left" vertical="center"/>
    </xf>
    <xf numFmtId="0" fontId="5" fillId="17" borderId="12" xfId="0" applyFont="1" applyFill="1" applyBorder="1" applyAlignment="1">
      <alignment horizontal="left" vertical="center" wrapText="1"/>
    </xf>
    <xf numFmtId="0" fontId="4" fillId="17" borderId="12" xfId="0" applyFont="1" applyFill="1" applyBorder="1" applyAlignment="1">
      <alignment horizontal="center" vertical="center"/>
    </xf>
    <xf numFmtId="0" fontId="4" fillId="17" borderId="12" xfId="0" applyFont="1" applyFill="1" applyBorder="1" applyAlignment="1">
      <alignment horizontal="left" vertical="center"/>
    </xf>
    <xf numFmtId="0" fontId="4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3" fillId="19" borderId="12" xfId="0" applyNumberFormat="1" applyFont="1" applyFill="1" applyBorder="1" applyAlignment="1">
      <alignment horizontal="center" vertical="center"/>
    </xf>
    <xf numFmtId="0" fontId="82" fillId="2" borderId="0" xfId="0" applyFont="1" applyFill="1" applyAlignment="1">
      <alignment vertical="center"/>
    </xf>
    <xf numFmtId="0" fontId="98" fillId="4" borderId="12" xfId="0" applyFont="1" applyFill="1" applyBorder="1"/>
    <xf numFmtId="165" fontId="103" fillId="2" borderId="52" xfId="0" applyNumberFormat="1" applyFont="1" applyFill="1" applyBorder="1" applyAlignment="1">
      <alignment horizontal="center" vertical="center"/>
    </xf>
    <xf numFmtId="0" fontId="83" fillId="19" borderId="7" xfId="0" applyFont="1" applyFill="1" applyBorder="1" applyAlignment="1">
      <alignment horizontal="center"/>
    </xf>
    <xf numFmtId="0" fontId="82" fillId="19" borderId="12" xfId="0" applyFont="1" applyFill="1" applyBorder="1" applyAlignment="1">
      <alignment horizontal="center" vertical="center"/>
    </xf>
    <xf numFmtId="0" fontId="2" fillId="19" borderId="12" xfId="0" applyFont="1" applyFill="1" applyBorder="1" applyAlignment="1">
      <alignment horizontal="left" vertical="center"/>
    </xf>
    <xf numFmtId="0" fontId="82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176" fontId="0" fillId="19" borderId="25" xfId="0" applyNumberFormat="1" applyFill="1" applyBorder="1" applyAlignment="1">
      <alignment vertical="center"/>
    </xf>
    <xf numFmtId="2" fontId="0" fillId="19" borderId="54" xfId="0" applyNumberFormat="1" applyFill="1" applyBorder="1" applyAlignment="1">
      <alignment vertical="center"/>
    </xf>
    <xf numFmtId="1" fontId="0" fillId="19" borderId="23" xfId="0" applyNumberFormat="1" applyFill="1" applyBorder="1" applyAlignment="1">
      <alignment vertical="center"/>
    </xf>
    <xf numFmtId="1" fontId="0" fillId="19" borderId="11" xfId="0" applyNumberFormat="1" applyFill="1" applyBorder="1" applyAlignment="1">
      <alignment vertical="center"/>
    </xf>
    <xf numFmtId="0" fontId="103" fillId="2" borderId="28" xfId="0" applyFont="1" applyFill="1" applyBorder="1"/>
    <xf numFmtId="165" fontId="98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113" fillId="17" borderId="20" xfId="0" applyFont="1" applyFill="1" applyBorder="1" applyAlignment="1">
      <alignment horizontal="center" vertical="center"/>
    </xf>
    <xf numFmtId="0" fontId="113" fillId="17" borderId="21" xfId="0" applyFont="1" applyFill="1" applyBorder="1" applyAlignment="1">
      <alignment horizontal="center" vertical="center"/>
    </xf>
    <xf numFmtId="0" fontId="113" fillId="17" borderId="28" xfId="0" applyFont="1" applyFill="1" applyBorder="1" applyAlignment="1">
      <alignment horizontal="center" vertical="center"/>
    </xf>
    <xf numFmtId="0" fontId="113" fillId="22" borderId="20" xfId="0" applyFont="1" applyFill="1" applyBorder="1" applyAlignment="1">
      <alignment horizontal="center" vertical="center"/>
    </xf>
    <xf numFmtId="0" fontId="113" fillId="22" borderId="21" xfId="0" applyFont="1" applyFill="1" applyBorder="1" applyAlignment="1">
      <alignment horizontal="center" vertical="center"/>
    </xf>
    <xf numFmtId="0" fontId="113" fillId="22" borderId="28" xfId="0" applyFont="1" applyFill="1" applyBorder="1" applyAlignment="1">
      <alignment horizontal="center" vertical="center"/>
    </xf>
    <xf numFmtId="0" fontId="83" fillId="18" borderId="0" xfId="0" applyFont="1" applyFill="1" applyAlignment="1">
      <alignment horizontal="center"/>
    </xf>
    <xf numFmtId="0" fontId="105" fillId="23" borderId="20" xfId="0" applyFont="1" applyFill="1" applyBorder="1" applyAlignment="1">
      <alignment horizontal="center" vertical="center"/>
    </xf>
    <xf numFmtId="0" fontId="105" fillId="23" borderId="21" xfId="0" applyFont="1" applyFill="1" applyBorder="1" applyAlignment="1">
      <alignment horizontal="center" vertical="center"/>
    </xf>
    <xf numFmtId="0" fontId="105" fillId="23" borderId="28" xfId="0" applyFont="1" applyFill="1" applyBorder="1" applyAlignment="1">
      <alignment horizontal="center" vertical="center"/>
    </xf>
    <xf numFmtId="0" fontId="105" fillId="22" borderId="20" xfId="0" applyFont="1" applyFill="1" applyBorder="1" applyAlignment="1">
      <alignment horizontal="center" vertical="center"/>
    </xf>
    <xf numFmtId="0" fontId="105" fillId="22" borderId="21" xfId="0" applyFont="1" applyFill="1" applyBorder="1" applyAlignment="1">
      <alignment horizontal="center" vertical="center"/>
    </xf>
    <xf numFmtId="0" fontId="105" fillId="22" borderId="28" xfId="0" applyFont="1" applyFill="1" applyBorder="1" applyAlignment="1">
      <alignment horizontal="center" vertical="center"/>
    </xf>
    <xf numFmtId="0" fontId="98" fillId="17" borderId="20" xfId="0" applyFont="1" applyFill="1" applyBorder="1" applyAlignment="1">
      <alignment horizontal="center" vertical="center"/>
    </xf>
    <xf numFmtId="0" fontId="98" fillId="17" borderId="21" xfId="0" applyFont="1" applyFill="1" applyBorder="1" applyAlignment="1">
      <alignment horizontal="center" vertical="center"/>
    </xf>
    <xf numFmtId="0" fontId="98" fillId="17" borderId="28" xfId="0" applyFont="1" applyFill="1" applyBorder="1" applyAlignment="1">
      <alignment horizontal="center" vertical="center"/>
    </xf>
    <xf numFmtId="0" fontId="102" fillId="17" borderId="20" xfId="0" applyFont="1" applyFill="1" applyBorder="1" applyAlignment="1">
      <alignment horizontal="center" vertical="center"/>
    </xf>
    <xf numFmtId="0" fontId="102" fillId="17" borderId="21" xfId="0" applyFont="1" applyFill="1" applyBorder="1" applyAlignment="1">
      <alignment horizontal="center" vertical="center"/>
    </xf>
    <xf numFmtId="0" fontId="102" fillId="17" borderId="28" xfId="0" applyFont="1" applyFill="1" applyBorder="1" applyAlignment="1">
      <alignment horizontal="center" vertical="center"/>
    </xf>
    <xf numFmtId="0" fontId="83" fillId="4" borderId="12" xfId="0" applyFont="1" applyFill="1" applyBorder="1" applyAlignment="1">
      <alignment horizontal="center"/>
    </xf>
    <xf numFmtId="0" fontId="83" fillId="20" borderId="12" xfId="0" applyFont="1" applyFill="1" applyBorder="1" applyAlignment="1">
      <alignment horizontal="center"/>
    </xf>
    <xf numFmtId="0" fontId="90" fillId="3" borderId="41" xfId="0" applyFont="1" applyFill="1" applyBorder="1" applyAlignment="1">
      <alignment horizontal="center" vertical="center" wrapText="1"/>
    </xf>
    <xf numFmtId="0" fontId="89" fillId="3" borderId="42" xfId="0" applyFont="1" applyFill="1" applyBorder="1" applyAlignment="1">
      <alignment vertical="center"/>
    </xf>
    <xf numFmtId="0" fontId="89" fillId="3" borderId="43" xfId="0" applyFont="1" applyFill="1" applyBorder="1" applyAlignment="1">
      <alignment vertical="center"/>
    </xf>
    <xf numFmtId="0" fontId="95" fillId="15" borderId="51" xfId="0" applyFont="1" applyFill="1" applyBorder="1" applyAlignment="1">
      <alignment horizontal="center"/>
    </xf>
    <xf numFmtId="0" fontId="96" fillId="15" borderId="0" xfId="0" applyFont="1" applyFill="1" applyAlignment="1">
      <alignment horizontal="center"/>
    </xf>
    <xf numFmtId="0" fontId="100" fillId="3" borderId="42" xfId="0" applyFont="1" applyFill="1" applyBorder="1" applyAlignment="1">
      <alignment horizontal="center" vertical="center"/>
    </xf>
    <xf numFmtId="0" fontId="100" fillId="3" borderId="43" xfId="0" applyFont="1" applyFill="1" applyBorder="1" applyAlignment="1">
      <alignment horizontal="center" vertical="center"/>
    </xf>
    <xf numFmtId="0" fontId="90" fillId="3" borderId="42" xfId="0" applyFont="1" applyFill="1" applyBorder="1" applyAlignment="1">
      <alignment horizontal="center" vertical="center" wrapText="1"/>
    </xf>
    <xf numFmtId="0" fontId="90" fillId="3" borderId="43" xfId="0" applyFont="1" applyFill="1" applyBorder="1" applyAlignment="1">
      <alignment horizontal="center" vertical="center" wrapText="1"/>
    </xf>
    <xf numFmtId="0" fontId="90" fillId="3" borderId="40" xfId="0" applyFont="1" applyFill="1" applyBorder="1" applyAlignment="1">
      <alignment horizontal="center" vertical="center" wrapText="1"/>
    </xf>
    <xf numFmtId="0" fontId="89" fillId="3" borderId="44" xfId="0" applyFont="1" applyFill="1" applyBorder="1" applyAlignment="1">
      <alignment vertical="center"/>
    </xf>
    <xf numFmtId="1" fontId="90" fillId="3" borderId="41" xfId="0" applyNumberFormat="1" applyFont="1" applyFill="1" applyBorder="1" applyAlignment="1">
      <alignment horizontal="center" vertical="center" wrapText="1"/>
    </xf>
    <xf numFmtId="1" fontId="90" fillId="3" borderId="40" xfId="0" applyNumberFormat="1" applyFont="1" applyFill="1" applyBorder="1" applyAlignment="1">
      <alignment horizontal="center" vertical="center" wrapText="1"/>
    </xf>
    <xf numFmtId="0" fontId="89" fillId="3" borderId="46" xfId="0" applyFont="1" applyFill="1" applyBorder="1" applyAlignment="1">
      <alignment vertical="center"/>
    </xf>
    <xf numFmtId="1" fontId="90" fillId="3" borderId="44" xfId="0" applyNumberFormat="1" applyFont="1" applyFill="1" applyBorder="1" applyAlignment="1">
      <alignment horizontal="center" vertical="center" wrapText="1"/>
    </xf>
    <xf numFmtId="177" fontId="83" fillId="4" borderId="12" xfId="0" applyNumberFormat="1" applyFont="1" applyFill="1" applyBorder="1" applyAlignment="1">
      <alignment horizontal="center"/>
    </xf>
    <xf numFmtId="0" fontId="83" fillId="19" borderId="57" xfId="0" applyFont="1" applyFill="1" applyBorder="1" applyAlignment="1">
      <alignment horizontal="center"/>
    </xf>
    <xf numFmtId="0" fontId="83" fillId="19" borderId="10" xfId="0" applyFont="1" applyFill="1" applyBorder="1" applyAlignment="1">
      <alignment horizontal="center"/>
    </xf>
    <xf numFmtId="177" fontId="83" fillId="19" borderId="10" xfId="0" applyNumberFormat="1" applyFont="1" applyFill="1" applyBorder="1" applyAlignment="1">
      <alignment horizontal="center"/>
    </xf>
    <xf numFmtId="0" fontId="83" fillId="19" borderId="23" xfId="0" applyFont="1" applyFill="1" applyBorder="1" applyAlignment="1">
      <alignment horizontal="center"/>
    </xf>
    <xf numFmtId="0" fontId="98" fillId="18" borderId="0" xfId="0" applyFont="1" applyFill="1" applyAlignment="1">
      <alignment horizontal="center"/>
    </xf>
    <xf numFmtId="0" fontId="83" fillId="3" borderId="7" xfId="0" applyFont="1" applyFill="1" applyBorder="1" applyAlignment="1">
      <alignment horizontal="center"/>
    </xf>
    <xf numFmtId="0" fontId="83" fillId="3" borderId="8" xfId="0" applyFont="1" applyFill="1" applyBorder="1" applyAlignment="1">
      <alignment horizontal="center"/>
    </xf>
    <xf numFmtId="0" fontId="83" fillId="3" borderId="29" xfId="0" applyFont="1" applyFill="1" applyBorder="1" applyAlignment="1">
      <alignment horizontal="center"/>
    </xf>
    <xf numFmtId="0" fontId="83" fillId="3" borderId="53" xfId="0" applyFont="1" applyFill="1" applyBorder="1" applyAlignment="1">
      <alignment horizontal="center"/>
    </xf>
    <xf numFmtId="0" fontId="83" fillId="3" borderId="33" xfId="0" applyFont="1" applyFill="1" applyBorder="1" applyAlignment="1">
      <alignment horizontal="center"/>
    </xf>
    <xf numFmtId="0" fontId="83" fillId="18" borderId="7" xfId="0" applyFont="1" applyFill="1" applyBorder="1" applyAlignment="1">
      <alignment horizontal="center"/>
    </xf>
    <xf numFmtId="0" fontId="83" fillId="18" borderId="29" xfId="0" applyFont="1" applyFill="1" applyBorder="1" applyAlignment="1">
      <alignment horizontal="center"/>
    </xf>
    <xf numFmtId="0" fontId="83" fillId="18" borderId="8" xfId="0" applyFont="1" applyFill="1" applyBorder="1" applyAlignment="1">
      <alignment horizontal="center"/>
    </xf>
    <xf numFmtId="14" fontId="103" fillId="2" borderId="12" xfId="0" applyNumberFormat="1" applyFont="1" applyFill="1" applyBorder="1" applyAlignment="1">
      <alignment horizontal="center" vertical="center"/>
    </xf>
    <xf numFmtId="165" fontId="103" fillId="2" borderId="20" xfId="0" applyNumberFormat="1" applyFont="1" applyFill="1" applyBorder="1" applyAlignment="1">
      <alignment horizontal="center" vertical="center"/>
    </xf>
    <xf numFmtId="165" fontId="103" fillId="2" borderId="28" xfId="0" applyNumberFormat="1" applyFont="1" applyFill="1" applyBorder="1" applyAlignment="1">
      <alignment horizontal="center" vertical="center"/>
    </xf>
    <xf numFmtId="165" fontId="103" fillId="2" borderId="12" xfId="0" applyNumberFormat="1" applyFont="1" applyFill="1" applyBorder="1" applyAlignment="1">
      <alignment horizontal="center" vertical="center"/>
    </xf>
    <xf numFmtId="14" fontId="103" fillId="2" borderId="1" xfId="0" applyNumberFormat="1" applyFont="1" applyFill="1" applyBorder="1" applyAlignment="1">
      <alignment horizontal="center" vertical="center"/>
    </xf>
    <xf numFmtId="14" fontId="103" fillId="2" borderId="4" xfId="0" applyNumberFormat="1" applyFont="1" applyFill="1" applyBorder="1" applyAlignment="1">
      <alignment horizontal="center" vertical="center"/>
    </xf>
    <xf numFmtId="14" fontId="103" fillId="2" borderId="18" xfId="0" applyNumberFormat="1" applyFont="1" applyFill="1" applyBorder="1" applyAlignment="1">
      <alignment horizontal="center" vertical="center"/>
    </xf>
    <xf numFmtId="14" fontId="103" fillId="2" borderId="19" xfId="0" applyNumberFormat="1" applyFont="1" applyFill="1" applyBorder="1" applyAlignment="1">
      <alignment horizontal="center" vertical="center"/>
    </xf>
    <xf numFmtId="165" fontId="103" fillId="2" borderId="63" xfId="0" applyNumberFormat="1" applyFont="1" applyFill="1" applyBorder="1" applyAlignment="1">
      <alignment horizontal="center" vertical="center"/>
    </xf>
    <xf numFmtId="165" fontId="103" fillId="2" borderId="64" xfId="0" applyNumberFormat="1" applyFont="1" applyFill="1" applyBorder="1" applyAlignment="1">
      <alignment horizontal="center" vertical="center"/>
    </xf>
    <xf numFmtId="165" fontId="103" fillId="2" borderId="65" xfId="0" applyNumberFormat="1" applyFont="1" applyFill="1" applyBorder="1" applyAlignment="1">
      <alignment horizontal="center" vertical="center"/>
    </xf>
    <xf numFmtId="165" fontId="103" fillId="2" borderId="86" xfId="0" applyNumberFormat="1" applyFont="1" applyFill="1" applyBorder="1" applyAlignment="1">
      <alignment horizontal="center" vertical="center"/>
    </xf>
    <xf numFmtId="14" fontId="103" fillId="2" borderId="13" xfId="0" applyNumberFormat="1" applyFont="1" applyFill="1" applyBorder="1" applyAlignment="1">
      <alignment horizontal="center" vertical="center"/>
    </xf>
    <xf numFmtId="14" fontId="103" fillId="2" borderId="14" xfId="0" applyNumberFormat="1" applyFont="1" applyFill="1" applyBorder="1" applyAlignment="1">
      <alignment horizontal="center" vertical="center"/>
    </xf>
    <xf numFmtId="165" fontId="103" fillId="2" borderId="6" xfId="0" applyNumberFormat="1" applyFont="1" applyFill="1" applyBorder="1" applyAlignment="1">
      <alignment horizontal="center" vertical="center"/>
    </xf>
    <xf numFmtId="0" fontId="103" fillId="2" borderId="16" xfId="0" applyFont="1" applyFill="1" applyBorder="1" applyAlignment="1">
      <alignment horizontal="center" vertical="center"/>
    </xf>
    <xf numFmtId="165" fontId="103" fillId="2" borderId="5" xfId="0" applyNumberFormat="1" applyFont="1" applyFill="1" applyBorder="1" applyAlignment="1">
      <alignment horizontal="center" vertical="center"/>
    </xf>
    <xf numFmtId="165" fontId="103" fillId="2" borderId="15" xfId="0" applyNumberFormat="1" applyFont="1" applyFill="1" applyBorder="1" applyAlignment="1">
      <alignment horizontal="center" vertical="center"/>
    </xf>
    <xf numFmtId="165" fontId="103" fillId="2" borderId="0" xfId="0" applyNumberFormat="1" applyFont="1" applyFill="1" applyAlignment="1">
      <alignment horizontal="center" vertical="center"/>
    </xf>
    <xf numFmtId="0" fontId="103" fillId="2" borderId="53" xfId="0" applyFont="1" applyFill="1" applyBorder="1" applyAlignment="1">
      <alignment horizontal="center" vertical="center"/>
    </xf>
    <xf numFmtId="14" fontId="103" fillId="17" borderId="1" xfId="0" applyNumberFormat="1" applyFont="1" applyFill="1" applyBorder="1" applyAlignment="1">
      <alignment horizontal="center" vertical="center"/>
    </xf>
    <xf numFmtId="14" fontId="103" fillId="17" borderId="4" xfId="0" applyNumberFormat="1" applyFont="1" applyFill="1" applyBorder="1" applyAlignment="1">
      <alignment horizontal="center" vertical="center"/>
    </xf>
    <xf numFmtId="14" fontId="103" fillId="17" borderId="13" xfId="0" applyNumberFormat="1" applyFont="1" applyFill="1" applyBorder="1" applyAlignment="1">
      <alignment horizontal="center" vertical="center"/>
    </xf>
    <xf numFmtId="14" fontId="103" fillId="17" borderId="14" xfId="0" applyNumberFormat="1" applyFont="1" applyFill="1" applyBorder="1" applyAlignment="1">
      <alignment horizontal="center" vertical="center"/>
    </xf>
    <xf numFmtId="165" fontId="103" fillId="17" borderId="5" xfId="0" applyNumberFormat="1" applyFont="1" applyFill="1" applyBorder="1" applyAlignment="1">
      <alignment horizontal="center" vertical="center"/>
    </xf>
    <xf numFmtId="165" fontId="103" fillId="17" borderId="15" xfId="0" applyNumberFormat="1" applyFont="1" applyFill="1" applyBorder="1" applyAlignment="1">
      <alignment horizontal="center" vertical="center"/>
    </xf>
    <xf numFmtId="0" fontId="98" fillId="3" borderId="18" xfId="0" applyFont="1" applyFill="1" applyBorder="1" applyAlignment="1">
      <alignment horizontal="center" vertical="center"/>
    </xf>
    <xf numFmtId="0" fontId="98" fillId="3" borderId="19" xfId="0" applyFont="1" applyFill="1" applyBorder="1" applyAlignment="1">
      <alignment horizontal="center" vertical="center"/>
    </xf>
    <xf numFmtId="0" fontId="113" fillId="3" borderId="36" xfId="0" applyFont="1" applyFill="1" applyBorder="1" applyAlignment="1">
      <alignment horizontal="center"/>
    </xf>
    <xf numFmtId="0" fontId="113" fillId="3" borderId="55" xfId="0" applyFont="1" applyFill="1" applyBorder="1" applyAlignment="1">
      <alignment horizontal="center"/>
    </xf>
    <xf numFmtId="0" fontId="113" fillId="3" borderId="56" xfId="0" applyFont="1" applyFill="1" applyBorder="1" applyAlignment="1">
      <alignment horizontal="center"/>
    </xf>
    <xf numFmtId="165" fontId="103" fillId="2" borderId="21" xfId="0" applyNumberFormat="1" applyFont="1" applyFill="1" applyBorder="1" applyAlignment="1">
      <alignment horizontal="center" vertical="center"/>
    </xf>
    <xf numFmtId="14" fontId="98" fillId="4" borderId="18" xfId="0" applyNumberFormat="1" applyFont="1" applyFill="1" applyBorder="1" applyAlignment="1">
      <alignment horizontal="center" vertical="center"/>
    </xf>
    <xf numFmtId="14" fontId="98" fillId="4" borderId="19" xfId="0" applyNumberFormat="1" applyFont="1" applyFill="1" applyBorder="1" applyAlignment="1">
      <alignment horizontal="center" vertical="center"/>
    </xf>
    <xf numFmtId="0" fontId="98" fillId="4" borderId="24" xfId="0" applyFont="1" applyFill="1" applyBorder="1" applyAlignment="1">
      <alignment horizontal="center"/>
    </xf>
    <xf numFmtId="0" fontId="98" fillId="4" borderId="17" xfId="0" applyFont="1" applyFill="1" applyBorder="1" applyAlignment="1">
      <alignment horizontal="center"/>
    </xf>
    <xf numFmtId="0" fontId="103" fillId="2" borderId="20" xfId="0" applyFont="1" applyFill="1" applyBorder="1" applyAlignment="1">
      <alignment horizontal="left" wrapText="1"/>
    </xf>
    <xf numFmtId="0" fontId="103" fillId="2" borderId="28" xfId="0" applyFont="1" applyFill="1" applyBorder="1" applyAlignment="1">
      <alignment horizontal="left" wrapText="1"/>
    </xf>
    <xf numFmtId="0" fontId="93" fillId="20" borderId="7" xfId="0" applyFont="1" applyFill="1" applyBorder="1" applyAlignment="1">
      <alignment horizontal="center"/>
    </xf>
    <xf numFmtId="0" fontId="93" fillId="20" borderId="8" xfId="0" applyFont="1" applyFill="1" applyBorder="1" applyAlignment="1">
      <alignment horizontal="center"/>
    </xf>
    <xf numFmtId="0" fontId="83" fillId="2" borderId="0" xfId="0" applyFont="1" applyFill="1" applyAlignment="1">
      <alignment horizontal="center"/>
    </xf>
    <xf numFmtId="14" fontId="80" fillId="2" borderId="32" xfId="0" applyNumberFormat="1" applyFont="1" applyFill="1" applyBorder="1" applyAlignment="1">
      <alignment horizontal="center" vertical="center"/>
    </xf>
    <xf numFmtId="14" fontId="82" fillId="2" borderId="33" xfId="0" applyNumberFormat="1" applyFont="1" applyFill="1" applyBorder="1" applyAlignment="1">
      <alignment horizontal="center" vertical="center"/>
    </xf>
    <xf numFmtId="0" fontId="83" fillId="3" borderId="30" xfId="0" applyFont="1" applyFill="1" applyBorder="1" applyAlignment="1">
      <alignment horizontal="center"/>
    </xf>
    <xf numFmtId="0" fontId="83" fillId="3" borderId="34" xfId="0" applyFont="1" applyFill="1" applyBorder="1" applyAlignment="1">
      <alignment horizontal="center"/>
    </xf>
    <xf numFmtId="0" fontId="83" fillId="3" borderId="31" xfId="0" applyFont="1" applyFill="1" applyBorder="1" applyAlignment="1">
      <alignment horizontal="center"/>
    </xf>
    <xf numFmtId="0" fontId="82" fillId="3" borderId="36" xfId="0" applyFont="1" applyFill="1" applyBorder="1" applyAlignment="1">
      <alignment horizontal="center"/>
    </xf>
    <xf numFmtId="0" fontId="82" fillId="3" borderId="37" xfId="0" applyFont="1" applyFill="1" applyBorder="1" applyAlignment="1">
      <alignment horizontal="center"/>
    </xf>
    <xf numFmtId="0" fontId="98" fillId="2" borderId="0" xfId="0" applyFont="1" applyFill="1" applyAlignment="1">
      <alignment horizontal="center"/>
    </xf>
    <xf numFmtId="0" fontId="107" fillId="2" borderId="18" xfId="0" applyFont="1" applyFill="1" applyBorder="1" applyAlignment="1">
      <alignment horizontal="center"/>
    </xf>
    <xf numFmtId="0" fontId="107" fillId="2" borderId="0" xfId="0" applyFont="1" applyFill="1" applyAlignment="1">
      <alignment horizontal="center"/>
    </xf>
    <xf numFmtId="0" fontId="107" fillId="2" borderId="67" xfId="0" applyFont="1" applyFill="1" applyBorder="1" applyAlignment="1">
      <alignment horizontal="center"/>
    </xf>
    <xf numFmtId="0" fontId="107" fillId="2" borderId="13" xfId="0" applyFont="1" applyFill="1" applyBorder="1" applyAlignment="1">
      <alignment horizontal="center"/>
    </xf>
    <xf numFmtId="0" fontId="107" fillId="2" borderId="51" xfId="0" applyFont="1" applyFill="1" applyBorder="1" applyAlignment="1">
      <alignment horizontal="center"/>
    </xf>
    <xf numFmtId="0" fontId="107" fillId="2" borderId="26" xfId="0" applyFont="1" applyFill="1" applyBorder="1" applyAlignment="1">
      <alignment horizontal="center"/>
    </xf>
    <xf numFmtId="0" fontId="109" fillId="2" borderId="18" xfId="0" applyFont="1" applyFill="1" applyBorder="1" applyAlignment="1">
      <alignment horizontal="center"/>
    </xf>
    <xf numFmtId="0" fontId="109" fillId="2" borderId="0" xfId="0" applyFont="1" applyFill="1" applyAlignment="1">
      <alignment horizontal="center"/>
    </xf>
    <xf numFmtId="0" fontId="109" fillId="2" borderId="67" xfId="0" applyFont="1" applyFill="1" applyBorder="1" applyAlignment="1">
      <alignment horizontal="center"/>
    </xf>
    <xf numFmtId="0" fontId="109" fillId="2" borderId="13" xfId="0" applyFont="1" applyFill="1" applyBorder="1" applyAlignment="1">
      <alignment horizontal="center"/>
    </xf>
    <xf numFmtId="0" fontId="109" fillId="2" borderId="51" xfId="0" applyFont="1" applyFill="1" applyBorder="1" applyAlignment="1">
      <alignment horizontal="center"/>
    </xf>
    <xf numFmtId="0" fontId="109" fillId="2" borderId="26" xfId="0" applyFont="1" applyFill="1" applyBorder="1" applyAlignment="1">
      <alignment horizontal="center"/>
    </xf>
    <xf numFmtId="0" fontId="106" fillId="2" borderId="0" xfId="0" applyFont="1" applyFill="1" applyAlignment="1">
      <alignment horizontal="center"/>
    </xf>
    <xf numFmtId="14" fontId="65" fillId="2" borderId="12" xfId="0" applyNumberFormat="1" applyFont="1" applyFill="1" applyBorder="1" applyAlignment="1">
      <alignment horizontal="center" vertical="center"/>
    </xf>
    <xf numFmtId="14" fontId="82" fillId="2" borderId="12" xfId="0" applyNumberFormat="1" applyFont="1" applyFill="1" applyBorder="1" applyAlignment="1">
      <alignment horizontal="center" vertical="center"/>
    </xf>
    <xf numFmtId="14" fontId="65" fillId="19" borderId="12" xfId="0" applyNumberFormat="1" applyFont="1" applyFill="1" applyBorder="1" applyAlignment="1">
      <alignment horizontal="center" vertical="center"/>
    </xf>
    <xf numFmtId="14" fontId="82" fillId="19" borderId="12" xfId="0" applyNumberFormat="1" applyFont="1" applyFill="1" applyBorder="1" applyAlignment="1">
      <alignment horizontal="center" vertical="center"/>
    </xf>
    <xf numFmtId="9" fontId="83" fillId="17" borderId="12" xfId="2" applyFont="1" applyFill="1" applyBorder="1" applyAlignment="1">
      <alignment horizontal="center" vertical="center"/>
    </xf>
    <xf numFmtId="14" fontId="65" fillId="17" borderId="12" xfId="0" applyNumberFormat="1" applyFont="1" applyFill="1" applyBorder="1" applyAlignment="1">
      <alignment horizontal="center" vertical="center"/>
    </xf>
    <xf numFmtId="14" fontId="82" fillId="17" borderId="12" xfId="0" applyNumberFormat="1" applyFont="1" applyFill="1" applyBorder="1" applyAlignment="1">
      <alignment horizontal="center" vertical="center"/>
    </xf>
    <xf numFmtId="14" fontId="65" fillId="23" borderId="12" xfId="0" applyNumberFormat="1" applyFont="1" applyFill="1" applyBorder="1" applyAlignment="1">
      <alignment horizontal="center" vertical="center"/>
    </xf>
    <xf numFmtId="14" fontId="82" fillId="23" borderId="12" xfId="0" applyNumberFormat="1" applyFont="1" applyFill="1" applyBorder="1" applyAlignment="1">
      <alignment horizontal="center" vertical="center"/>
    </xf>
    <xf numFmtId="14" fontId="65" fillId="23" borderId="73" xfId="0" applyNumberFormat="1" applyFont="1" applyFill="1" applyBorder="1" applyAlignment="1">
      <alignment horizontal="center" vertical="center"/>
    </xf>
    <xf numFmtId="14" fontId="82" fillId="23" borderId="74" xfId="0" applyNumberFormat="1" applyFont="1" applyFill="1" applyBorder="1" applyAlignment="1">
      <alignment horizontal="center" vertical="center"/>
    </xf>
    <xf numFmtId="14" fontId="65" fillId="22" borderId="12" xfId="0" applyNumberFormat="1" applyFont="1" applyFill="1" applyBorder="1" applyAlignment="1">
      <alignment horizontal="center" vertical="center"/>
    </xf>
    <xf numFmtId="14" fontId="82" fillId="22" borderId="12" xfId="0" applyNumberFormat="1" applyFont="1" applyFill="1" applyBorder="1" applyAlignment="1">
      <alignment horizontal="center" vertical="center"/>
    </xf>
    <xf numFmtId="9" fontId="83" fillId="19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05" fillId="22" borderId="80" xfId="0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14" fontId="65" fillId="22" borderId="28" xfId="0" applyNumberFormat="1" applyFont="1" applyFill="1" applyBorder="1" applyAlignment="1">
      <alignment horizontal="center" vertical="center"/>
    </xf>
    <xf numFmtId="14" fontId="82" fillId="22" borderId="28" xfId="0" applyNumberFormat="1" applyFont="1" applyFill="1" applyBorder="1" applyAlignment="1">
      <alignment horizontal="center" vertical="center"/>
    </xf>
    <xf numFmtId="0" fontId="105" fillId="23" borderId="34" xfId="0" applyFont="1" applyFill="1" applyBorder="1" applyAlignment="1">
      <alignment horizontal="center" vertical="center"/>
    </xf>
    <xf numFmtId="0" fontId="105" fillId="23" borderId="0" xfId="0" applyFont="1" applyFill="1" applyAlignment="1">
      <alignment horizontal="center" vertical="center"/>
    </xf>
    <xf numFmtId="0" fontId="105" fillId="23" borderId="77" xfId="0" applyFont="1" applyFill="1" applyBorder="1" applyAlignment="1">
      <alignment horizontal="center" vertical="center"/>
    </xf>
    <xf numFmtId="0" fontId="105" fillId="23" borderId="30" xfId="0" applyFont="1" applyFill="1" applyBorder="1" applyAlignment="1">
      <alignment horizontal="center" vertical="center"/>
    </xf>
    <xf numFmtId="0" fontId="105" fillId="23" borderId="22" xfId="0" applyFont="1" applyFill="1" applyBorder="1" applyAlignment="1">
      <alignment horizontal="center" vertical="center"/>
    </xf>
    <xf numFmtId="0" fontId="105" fillId="23" borderId="32" xfId="0" applyFont="1" applyFill="1" applyBorder="1" applyAlignment="1">
      <alignment horizontal="center" vertical="center"/>
    </xf>
    <xf numFmtId="14" fontId="65" fillId="23" borderId="69" xfId="0" applyNumberFormat="1" applyFont="1" applyFill="1" applyBorder="1" applyAlignment="1">
      <alignment horizontal="center" vertical="center"/>
    </xf>
    <xf numFmtId="14" fontId="82" fillId="23" borderId="70" xfId="0" applyNumberFormat="1" applyFont="1" applyFill="1" applyBorder="1" applyAlignment="1">
      <alignment horizontal="center" vertical="center"/>
    </xf>
    <xf numFmtId="14" fontId="65" fillId="23" borderId="28" xfId="0" applyNumberFormat="1" applyFont="1" applyFill="1" applyBorder="1" applyAlignment="1">
      <alignment horizontal="center" vertical="center"/>
    </xf>
    <xf numFmtId="14" fontId="82" fillId="23" borderId="28" xfId="0" applyNumberFormat="1" applyFont="1" applyFill="1" applyBorder="1" applyAlignment="1">
      <alignment horizontal="center" vertical="center"/>
    </xf>
    <xf numFmtId="14" fontId="65" fillId="23" borderId="20" xfId="0" applyNumberFormat="1" applyFont="1" applyFill="1" applyBorder="1" applyAlignment="1">
      <alignment horizontal="center" vertical="center"/>
    </xf>
    <xf numFmtId="14" fontId="82" fillId="23" borderId="20" xfId="0" applyNumberFormat="1" applyFont="1" applyFill="1" applyBorder="1" applyAlignment="1">
      <alignment horizontal="center" vertical="center"/>
    </xf>
    <xf numFmtId="14" fontId="65" fillId="23" borderId="75" xfId="0" applyNumberFormat="1" applyFont="1" applyFill="1" applyBorder="1" applyAlignment="1">
      <alignment horizontal="center" vertical="center"/>
    </xf>
    <xf numFmtId="14" fontId="82" fillId="23" borderId="76" xfId="0" applyNumberFormat="1" applyFont="1" applyFill="1" applyBorder="1" applyAlignment="1">
      <alignment horizontal="center" vertical="center"/>
    </xf>
    <xf numFmtId="0" fontId="83" fillId="3" borderId="22" xfId="0" applyFont="1" applyFill="1" applyBorder="1" applyAlignment="1">
      <alignment horizontal="center"/>
    </xf>
    <xf numFmtId="0" fontId="83" fillId="3" borderId="0" xfId="0" applyFont="1" applyFill="1" applyAlignment="1">
      <alignment horizontal="center"/>
    </xf>
    <xf numFmtId="0" fontId="83" fillId="3" borderId="12" xfId="0" applyFont="1" applyFill="1" applyBorder="1" applyAlignment="1">
      <alignment horizontal="center" vertical="center"/>
    </xf>
    <xf numFmtId="0" fontId="105" fillId="22" borderId="30" xfId="0" applyFont="1" applyFill="1" applyBorder="1" applyAlignment="1">
      <alignment horizontal="center" vertical="center"/>
    </xf>
    <xf numFmtId="0" fontId="105" fillId="22" borderId="22" xfId="0" applyFont="1" applyFill="1" applyBorder="1" applyAlignment="1">
      <alignment horizontal="center" vertical="center"/>
    </xf>
    <xf numFmtId="0" fontId="105" fillId="22" borderId="53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98" fillId="19" borderId="20" xfId="0" applyFont="1" applyFill="1" applyBorder="1" applyAlignment="1">
      <alignment horizontal="center" vertical="center"/>
    </xf>
    <xf numFmtId="0" fontId="98" fillId="19" borderId="21" xfId="0" applyFont="1" applyFill="1" applyBorder="1" applyAlignment="1">
      <alignment horizontal="center" vertical="center"/>
    </xf>
    <xf numFmtId="0" fontId="98" fillId="19" borderId="28" xfId="0" applyFont="1" applyFill="1" applyBorder="1" applyAlignment="1">
      <alignment horizontal="center" vertical="center"/>
    </xf>
    <xf numFmtId="0" fontId="105" fillId="19" borderId="20" xfId="0" applyFont="1" applyFill="1" applyBorder="1" applyAlignment="1">
      <alignment horizontal="center" vertical="center"/>
    </xf>
    <xf numFmtId="0" fontId="105" fillId="19" borderId="21" xfId="0" applyFont="1" applyFill="1" applyBorder="1" applyAlignment="1">
      <alignment horizontal="center" vertical="center"/>
    </xf>
    <xf numFmtId="0" fontId="105" fillId="19" borderId="28" xfId="0" applyFont="1" applyFill="1" applyBorder="1" applyAlignment="1">
      <alignment horizontal="center" vertical="center"/>
    </xf>
    <xf numFmtId="0" fontId="105" fillId="23" borderId="20" xfId="0" applyFont="1" applyFill="1" applyBorder="1" applyAlignment="1">
      <alignment horizontal="center" vertical="center" wrapText="1"/>
    </xf>
    <xf numFmtId="0" fontId="105" fillId="23" borderId="21" xfId="0" applyFont="1" applyFill="1" applyBorder="1" applyAlignment="1">
      <alignment horizontal="center" vertical="center" wrapText="1"/>
    </xf>
    <xf numFmtId="0" fontId="105" fillId="23" borderId="28" xfId="0" applyFont="1" applyFill="1" applyBorder="1" applyAlignment="1">
      <alignment horizontal="center" vertical="center" wrapText="1"/>
    </xf>
    <xf numFmtId="0" fontId="83" fillId="18" borderId="20" xfId="0" applyFont="1" applyFill="1" applyBorder="1" applyAlignment="1">
      <alignment horizontal="center" vertical="center"/>
    </xf>
    <xf numFmtId="0" fontId="83" fillId="18" borderId="21" xfId="0" applyFont="1" applyFill="1" applyBorder="1" applyAlignment="1">
      <alignment horizontal="center" vertical="center"/>
    </xf>
    <xf numFmtId="0" fontId="83" fillId="18" borderId="28" xfId="0" applyFont="1" applyFill="1" applyBorder="1" applyAlignment="1">
      <alignment horizontal="center" vertical="center"/>
    </xf>
    <xf numFmtId="0" fontId="87" fillId="17" borderId="20" xfId="0" applyFont="1" applyFill="1" applyBorder="1" applyAlignment="1">
      <alignment horizontal="center" vertical="center"/>
    </xf>
    <xf numFmtId="0" fontId="87" fillId="17" borderId="21" xfId="0" applyFont="1" applyFill="1" applyBorder="1" applyAlignment="1">
      <alignment horizontal="center" vertical="center"/>
    </xf>
    <xf numFmtId="0" fontId="87" fillId="17" borderId="28" xfId="0" applyFont="1" applyFill="1" applyBorder="1" applyAlignment="1">
      <alignment horizontal="center" vertical="center"/>
    </xf>
    <xf numFmtId="0" fontId="98" fillId="22" borderId="20" xfId="0" applyFont="1" applyFill="1" applyBorder="1" applyAlignment="1">
      <alignment horizontal="center" vertical="center"/>
    </xf>
    <xf numFmtId="0" fontId="98" fillId="22" borderId="21" xfId="0" applyFont="1" applyFill="1" applyBorder="1" applyAlignment="1">
      <alignment horizontal="center" vertical="center"/>
    </xf>
    <xf numFmtId="0" fontId="98" fillId="22" borderId="28" xfId="0" applyFont="1" applyFill="1" applyBorder="1" applyAlignment="1">
      <alignment horizontal="center" vertical="center"/>
    </xf>
    <xf numFmtId="0" fontId="98" fillId="23" borderId="20" xfId="0" applyFont="1" applyFill="1" applyBorder="1" applyAlignment="1">
      <alignment horizontal="center" vertical="center"/>
    </xf>
    <xf numFmtId="0" fontId="98" fillId="23" borderId="21" xfId="0" applyFont="1" applyFill="1" applyBorder="1" applyAlignment="1">
      <alignment horizontal="center" vertical="center"/>
    </xf>
    <xf numFmtId="0" fontId="98" fillId="23" borderId="28" xfId="0" applyFont="1" applyFill="1" applyBorder="1" applyAlignment="1">
      <alignment horizontal="center" vertical="center"/>
    </xf>
    <xf numFmtId="0" fontId="83" fillId="18" borderId="12" xfId="0" applyFont="1" applyFill="1" applyBorder="1" applyAlignment="1">
      <alignment horizontal="center" vertical="center"/>
    </xf>
    <xf numFmtId="0" fontId="0" fillId="22" borderId="20" xfId="0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83" fillId="18" borderId="57" xfId="0" applyFont="1" applyFill="1" applyBorder="1" applyAlignment="1">
      <alignment horizontal="center"/>
    </xf>
    <xf numFmtId="0" fontId="83" fillId="18" borderId="10" xfId="0" applyFont="1" applyFill="1" applyBorder="1" applyAlignment="1">
      <alignment horizontal="center"/>
    </xf>
    <xf numFmtId="0" fontId="83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98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14" fontId="82" fillId="2" borderId="1" xfId="0" applyNumberFormat="1" applyFont="1" applyFill="1" applyBorder="1" applyAlignment="1">
      <alignment horizontal="center" vertical="center"/>
    </xf>
    <xf numFmtId="14" fontId="82" fillId="2" borderId="4" xfId="0" applyNumberFormat="1" applyFont="1" applyFill="1" applyBorder="1" applyAlignment="1">
      <alignment horizontal="center" vertical="center"/>
    </xf>
    <xf numFmtId="14" fontId="82" fillId="2" borderId="13" xfId="0" applyNumberFormat="1" applyFont="1" applyFill="1" applyBorder="1" applyAlignment="1">
      <alignment horizontal="center" vertical="center"/>
    </xf>
    <xf numFmtId="14" fontId="82" fillId="2" borderId="14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0" fontId="83" fillId="17" borderId="67" xfId="0" applyFont="1" applyFill="1" applyBorder="1" applyAlignment="1">
      <alignment horizontal="center" vertical="center"/>
    </xf>
    <xf numFmtId="0" fontId="98" fillId="19" borderId="67" xfId="0" applyFont="1" applyFill="1" applyBorder="1" applyAlignment="1">
      <alignment horizontal="center" vertical="center"/>
    </xf>
    <xf numFmtId="0" fontId="83" fillId="4" borderId="0" xfId="0" applyFont="1" applyFill="1" applyAlignment="1">
      <alignment horizontal="center"/>
    </xf>
    <xf numFmtId="0" fontId="83" fillId="3" borderId="30" xfId="0" applyFont="1" applyFill="1" applyBorder="1" applyAlignment="1">
      <alignment horizontal="center" vertical="center"/>
    </xf>
    <xf numFmtId="0" fontId="83" fillId="3" borderId="31" xfId="0" applyFont="1" applyFill="1" applyBorder="1" applyAlignment="1">
      <alignment horizontal="center" vertical="center"/>
    </xf>
    <xf numFmtId="0" fontId="83" fillId="22" borderId="12" xfId="0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0" fontId="83" fillId="2" borderId="20" xfId="0" applyFont="1" applyFill="1" applyBorder="1" applyAlignment="1">
      <alignment horizontal="center" vertical="center"/>
    </xf>
    <xf numFmtId="0" fontId="83" fillId="2" borderId="28" xfId="0" applyFont="1" applyFill="1" applyBorder="1" applyAlignment="1">
      <alignment horizontal="center" vertical="center"/>
    </xf>
    <xf numFmtId="14" fontId="82" fillId="17" borderId="1" xfId="0" applyNumberFormat="1" applyFont="1" applyFill="1" applyBorder="1" applyAlignment="1">
      <alignment horizontal="center" vertical="center"/>
    </xf>
    <xf numFmtId="14" fontId="82" fillId="17" borderId="4" xfId="0" applyNumberFormat="1" applyFont="1" applyFill="1" applyBorder="1" applyAlignment="1">
      <alignment horizontal="center" vertical="center"/>
    </xf>
    <xf numFmtId="14" fontId="82" fillId="17" borderId="13" xfId="0" applyNumberFormat="1" applyFont="1" applyFill="1" applyBorder="1" applyAlignment="1">
      <alignment horizontal="center" vertical="center"/>
    </xf>
    <xf numFmtId="14" fontId="82" fillId="17" borderId="14" xfId="0" applyNumberFormat="1" applyFont="1" applyFill="1" applyBorder="1" applyAlignment="1">
      <alignment horizontal="center" vertical="center"/>
    </xf>
    <xf numFmtId="0" fontId="98" fillId="17" borderId="67" xfId="0" applyFont="1" applyFill="1" applyBorder="1" applyAlignment="1">
      <alignment horizontal="center" vertical="center"/>
    </xf>
    <xf numFmtId="0" fontId="83" fillId="19" borderId="67" xfId="0" applyFont="1" applyFill="1" applyBorder="1" applyAlignment="1">
      <alignment horizontal="center" vertical="center"/>
    </xf>
    <xf numFmtId="0" fontId="83" fillId="23" borderId="67" xfId="0" applyFont="1" applyFill="1" applyBorder="1" applyAlignment="1">
      <alignment horizontal="center" vertical="center"/>
    </xf>
    <xf numFmtId="0" fontId="83" fillId="22" borderId="67" xfId="0" applyFont="1" applyFill="1" applyBorder="1" applyAlignment="1">
      <alignment horizontal="center" vertical="center"/>
    </xf>
    <xf numFmtId="14" fontId="51" fillId="23" borderId="74" xfId="0" applyNumberFormat="1" applyFont="1" applyFill="1" applyBorder="1" applyAlignment="1">
      <alignment horizontal="center" vertical="center" wrapText="1"/>
    </xf>
    <xf numFmtId="14" fontId="82" fillId="23" borderId="76" xfId="0" applyNumberFormat="1" applyFont="1" applyFill="1" applyBorder="1" applyAlignment="1">
      <alignment horizontal="center" vertical="center" wrapText="1"/>
    </xf>
    <xf numFmtId="0" fontId="83" fillId="23" borderId="12" xfId="0" applyFont="1" applyFill="1" applyBorder="1" applyAlignment="1">
      <alignment horizontal="center" vertical="center"/>
    </xf>
    <xf numFmtId="0" fontId="83" fillId="23" borderId="7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" fontId="83" fillId="22" borderId="12" xfId="0" applyNumberFormat="1" applyFont="1" applyFill="1" applyBorder="1" applyAlignment="1">
      <alignment horizontal="center" vertical="center"/>
    </xf>
    <xf numFmtId="14" fontId="82" fillId="0" borderId="28" xfId="0" applyNumberFormat="1" applyFont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83" fillId="23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83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82" fillId="23" borderId="73" xfId="0" applyNumberFormat="1" applyFont="1" applyFill="1" applyBorder="1" applyAlignment="1">
      <alignment horizontal="center" vertical="center"/>
    </xf>
    <xf numFmtId="14" fontId="82" fillId="23" borderId="75" xfId="0" applyNumberFormat="1" applyFont="1" applyFill="1" applyBorder="1" applyAlignment="1">
      <alignment horizontal="center" vertical="center"/>
    </xf>
    <xf numFmtId="1" fontId="83" fillId="23" borderId="21" xfId="0" applyNumberFormat="1" applyFont="1" applyFill="1" applyBorder="1" applyAlignment="1">
      <alignment horizontal="center" vertical="center"/>
    </xf>
    <xf numFmtId="1" fontId="83" fillId="23" borderId="28" xfId="0" applyNumberFormat="1" applyFon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14" fontId="82" fillId="19" borderId="1" xfId="0" applyNumberFormat="1" applyFont="1" applyFill="1" applyBorder="1" applyAlignment="1">
      <alignment horizontal="center" vertical="center"/>
    </xf>
    <xf numFmtId="14" fontId="82" fillId="19" borderId="4" xfId="0" applyNumberFormat="1" applyFont="1" applyFill="1" applyBorder="1" applyAlignment="1">
      <alignment horizontal="center" vertical="center"/>
    </xf>
    <xf numFmtId="14" fontId="82" fillId="19" borderId="13" xfId="0" applyNumberFormat="1" applyFont="1" applyFill="1" applyBorder="1" applyAlignment="1">
      <alignment horizontal="center" vertical="center"/>
    </xf>
    <xf numFmtId="14" fontId="82" fillId="19" borderId="14" xfId="0" applyNumberFormat="1" applyFont="1" applyFill="1" applyBorder="1" applyAlignment="1">
      <alignment horizontal="center" vertical="center"/>
    </xf>
    <xf numFmtId="14" fontId="82" fillId="23" borderId="1" xfId="0" applyNumberFormat="1" applyFont="1" applyFill="1" applyBorder="1" applyAlignment="1">
      <alignment horizontal="center" vertical="center"/>
    </xf>
    <xf numFmtId="14" fontId="82" fillId="23" borderId="4" xfId="0" applyNumberFormat="1" applyFont="1" applyFill="1" applyBorder="1" applyAlignment="1">
      <alignment horizontal="center" vertical="center"/>
    </xf>
    <xf numFmtId="14" fontId="82" fillId="23" borderId="13" xfId="0" applyNumberFormat="1" applyFont="1" applyFill="1" applyBorder="1" applyAlignment="1">
      <alignment horizontal="center" vertical="center"/>
    </xf>
    <xf numFmtId="14" fontId="82" fillId="23" borderId="14" xfId="0" applyNumberFormat="1" applyFont="1" applyFill="1" applyBorder="1" applyAlignment="1">
      <alignment horizontal="center" vertical="center"/>
    </xf>
    <xf numFmtId="14" fontId="82" fillId="22" borderId="1" xfId="0" applyNumberFormat="1" applyFont="1" applyFill="1" applyBorder="1" applyAlignment="1">
      <alignment horizontal="center" vertical="center"/>
    </xf>
    <xf numFmtId="14" fontId="82" fillId="22" borderId="4" xfId="0" applyNumberFormat="1" applyFont="1" applyFill="1" applyBorder="1" applyAlignment="1">
      <alignment horizontal="center" vertical="center"/>
    </xf>
    <xf numFmtId="14" fontId="82" fillId="22" borderId="13" xfId="0" applyNumberFormat="1" applyFont="1" applyFill="1" applyBorder="1" applyAlignment="1">
      <alignment horizontal="center" vertical="center"/>
    </xf>
    <xf numFmtId="14" fontId="82" fillId="22" borderId="14" xfId="0" applyNumberFormat="1" applyFont="1" applyFill="1" applyBorder="1" applyAlignment="1">
      <alignment horizontal="center" vertical="center"/>
    </xf>
    <xf numFmtId="14" fontId="82" fillId="2" borderId="84" xfId="0" applyNumberFormat="1" applyFont="1" applyFill="1" applyBorder="1" applyAlignment="1">
      <alignment horizontal="center" vertical="center"/>
    </xf>
    <xf numFmtId="14" fontId="82" fillId="2" borderId="31" xfId="0" applyNumberFormat="1" applyFont="1" applyFill="1" applyBorder="1" applyAlignment="1">
      <alignment horizontal="center" vertical="center"/>
    </xf>
    <xf numFmtId="14" fontId="82" fillId="22" borderId="84" xfId="0" applyNumberFormat="1" applyFont="1" applyFill="1" applyBorder="1" applyAlignment="1">
      <alignment horizontal="center" vertical="center"/>
    </xf>
    <xf numFmtId="14" fontId="82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0" fontId="84" fillId="25" borderId="36" xfId="0" applyFont="1" applyFill="1" applyBorder="1" applyAlignment="1">
      <alignment horizontal="center" vertical="center" wrapText="1"/>
    </xf>
    <xf numFmtId="0" fontId="84" fillId="25" borderId="55" xfId="0" applyFont="1" applyFill="1" applyBorder="1" applyAlignment="1">
      <alignment horizontal="center" vertical="center" wrapText="1"/>
    </xf>
    <xf numFmtId="0" fontId="84" fillId="25" borderId="56" xfId="0" applyFont="1" applyFill="1" applyBorder="1" applyAlignment="1">
      <alignment horizontal="center" vertical="center" wrapText="1"/>
    </xf>
    <xf numFmtId="14" fontId="82" fillId="2" borderId="18" xfId="0" applyNumberFormat="1" applyFont="1" applyFill="1" applyBorder="1" applyAlignment="1">
      <alignment horizontal="center" vertical="center"/>
    </xf>
    <xf numFmtId="14" fontId="82" fillId="2" borderId="19" xfId="0" applyNumberFormat="1" applyFon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0" fontId="93" fillId="16" borderId="36" xfId="0" applyFont="1" applyFill="1" applyBorder="1" applyAlignment="1">
      <alignment horizontal="center"/>
    </xf>
    <xf numFmtId="0" fontId="93" fillId="16" borderId="55" xfId="0" applyFont="1" applyFill="1" applyBorder="1" applyAlignment="1">
      <alignment horizontal="center"/>
    </xf>
    <xf numFmtId="0" fontId="93" fillId="16" borderId="56" xfId="0" applyFont="1" applyFill="1" applyBorder="1" applyAlignment="1">
      <alignment horizontal="center"/>
    </xf>
    <xf numFmtId="0" fontId="83" fillId="4" borderId="18" xfId="0" applyFont="1" applyFill="1" applyBorder="1" applyAlignment="1">
      <alignment horizontal="center"/>
    </xf>
    <xf numFmtId="0" fontId="83" fillId="4" borderId="67" xfId="0" applyFont="1" applyFill="1" applyBorder="1" applyAlignment="1">
      <alignment horizontal="center"/>
    </xf>
    <xf numFmtId="0" fontId="98" fillId="4" borderId="0" xfId="0" applyFont="1" applyFill="1" applyAlignment="1">
      <alignment horizontal="center"/>
    </xf>
    <xf numFmtId="14" fontId="82" fillId="2" borderId="32" xfId="0" applyNumberFormat="1" applyFont="1" applyFill="1" applyBorder="1" applyAlignment="1">
      <alignment horizontal="center" vertical="center"/>
    </xf>
    <xf numFmtId="0" fontId="83" fillId="18" borderId="20" xfId="0" applyFont="1" applyFill="1" applyBorder="1" applyAlignment="1">
      <alignment horizontal="center" wrapText="1"/>
    </xf>
    <xf numFmtId="0" fontId="83" fillId="18" borderId="28" xfId="0" applyFont="1" applyFill="1" applyBorder="1" applyAlignment="1">
      <alignment horizontal="center" wrapText="1"/>
    </xf>
    <xf numFmtId="0" fontId="83" fillId="18" borderId="12" xfId="0" applyFont="1" applyFill="1" applyBorder="1" applyAlignment="1">
      <alignment horizontal="center"/>
    </xf>
    <xf numFmtId="0" fontId="102" fillId="4" borderId="36" xfId="0" applyFont="1" applyFill="1" applyBorder="1" applyAlignment="1">
      <alignment horizontal="center"/>
    </xf>
    <xf numFmtId="0" fontId="102" fillId="4" borderId="55" xfId="0" applyFont="1" applyFill="1" applyBorder="1" applyAlignment="1">
      <alignment horizontal="center"/>
    </xf>
    <xf numFmtId="0" fontId="102" fillId="4" borderId="56" xfId="0" applyFont="1" applyFill="1" applyBorder="1" applyAlignment="1">
      <alignment horizontal="center"/>
    </xf>
    <xf numFmtId="0" fontId="83" fillId="18" borderId="12" xfId="0" applyFont="1" applyFill="1" applyBorder="1" applyAlignment="1">
      <alignment horizontal="center" vertical="center" wrapText="1"/>
    </xf>
    <xf numFmtId="17" fontId="102" fillId="4" borderId="36" xfId="0" applyNumberFormat="1" applyFont="1" applyFill="1" applyBorder="1" applyAlignment="1">
      <alignment horizontal="center"/>
    </xf>
    <xf numFmtId="17" fontId="102" fillId="4" borderId="55" xfId="0" applyNumberFormat="1" applyFont="1" applyFill="1" applyBorder="1" applyAlignment="1">
      <alignment horizontal="center"/>
    </xf>
    <xf numFmtId="17" fontId="102" fillId="4" borderId="56" xfId="0" applyNumberFormat="1" applyFont="1" applyFill="1" applyBorder="1" applyAlignment="1">
      <alignment horizontal="center"/>
    </xf>
    <xf numFmtId="0" fontId="83" fillId="18" borderId="20" xfId="0" applyFont="1" applyFill="1" applyBorder="1" applyAlignment="1">
      <alignment horizontal="center" vertical="center" wrapText="1"/>
    </xf>
    <xf numFmtId="0" fontId="83" fillId="18" borderId="21" xfId="0" applyFont="1" applyFill="1" applyBorder="1" applyAlignment="1">
      <alignment horizontal="center" vertical="center" wrapText="1"/>
    </xf>
    <xf numFmtId="0" fontId="83" fillId="18" borderId="28" xfId="0" applyFont="1" applyFill="1" applyBorder="1" applyAlignment="1">
      <alignment horizontal="center" vertical="center" wrapText="1"/>
    </xf>
    <xf numFmtId="0" fontId="83" fillId="18" borderId="30" xfId="0" applyFont="1" applyFill="1" applyBorder="1" applyAlignment="1">
      <alignment horizontal="center" vertical="center"/>
    </xf>
    <xf numFmtId="0" fontId="83" fillId="18" borderId="34" xfId="0" applyFont="1" applyFill="1" applyBorder="1" applyAlignment="1">
      <alignment horizontal="center" vertical="center"/>
    </xf>
    <xf numFmtId="0" fontId="83" fillId="18" borderId="31" xfId="0" applyFont="1" applyFill="1" applyBorder="1" applyAlignment="1">
      <alignment horizontal="center" vertical="center"/>
    </xf>
    <xf numFmtId="0" fontId="83" fillId="18" borderId="32" xfId="0" applyFont="1" applyFill="1" applyBorder="1" applyAlignment="1">
      <alignment horizontal="center" vertical="center"/>
    </xf>
    <xf numFmtId="0" fontId="83" fillId="18" borderId="53" xfId="0" applyFont="1" applyFill="1" applyBorder="1" applyAlignment="1">
      <alignment horizontal="center" vertical="center"/>
    </xf>
    <xf numFmtId="0" fontId="83" fillId="18" borderId="33" xfId="0" applyFont="1" applyFill="1" applyBorder="1" applyAlignment="1">
      <alignment horizontal="center" vertical="center"/>
    </xf>
    <xf numFmtId="43" fontId="83" fillId="18" borderId="20" xfId="1" applyFont="1" applyFill="1" applyBorder="1" applyAlignment="1">
      <alignment horizontal="center" vertical="center"/>
    </xf>
    <xf numFmtId="43" fontId="83" fillId="18" borderId="21" xfId="1" applyFont="1" applyFill="1" applyBorder="1" applyAlignment="1">
      <alignment horizontal="center" vertical="center"/>
    </xf>
    <xf numFmtId="43" fontId="83" fillId="18" borderId="28" xfId="1" applyFont="1" applyFill="1" applyBorder="1" applyAlignment="1">
      <alignment horizontal="center" vertical="center"/>
    </xf>
    <xf numFmtId="0" fontId="83" fillId="19" borderId="7" xfId="0" applyFont="1" applyFill="1" applyBorder="1" applyAlignment="1">
      <alignment horizontal="center"/>
    </xf>
    <xf numFmtId="0" fontId="83" fillId="19" borderId="29" xfId="0" applyFont="1" applyFill="1" applyBorder="1" applyAlignment="1">
      <alignment horizontal="center"/>
    </xf>
    <xf numFmtId="0" fontId="83" fillId="19" borderId="8" xfId="0" applyFont="1" applyFill="1" applyBorder="1" applyAlignment="1">
      <alignment horizontal="center"/>
    </xf>
    <xf numFmtId="178" fontId="83" fillId="18" borderId="7" xfId="0" applyNumberFormat="1" applyFont="1" applyFill="1" applyBorder="1" applyAlignment="1">
      <alignment horizontal="center"/>
    </xf>
    <xf numFmtId="178" fontId="83" fillId="18" borderId="29" xfId="0" applyNumberFormat="1" applyFont="1" applyFill="1" applyBorder="1" applyAlignment="1">
      <alignment horizontal="center"/>
    </xf>
    <xf numFmtId="178" fontId="83" fillId="18" borderId="8" xfId="0" applyNumberFormat="1" applyFont="1" applyFill="1" applyBorder="1" applyAlignment="1">
      <alignment horizontal="center"/>
    </xf>
    <xf numFmtId="0" fontId="97" fillId="4" borderId="1" xfId="0" applyFont="1" applyFill="1" applyBorder="1" applyAlignment="1">
      <alignment horizontal="center" vertical="center"/>
    </xf>
    <xf numFmtId="0" fontId="97" fillId="4" borderId="2" xfId="0" applyFont="1" applyFill="1" applyBorder="1" applyAlignment="1">
      <alignment horizontal="center" vertical="center"/>
    </xf>
    <xf numFmtId="0" fontId="97" fillId="4" borderId="3" xfId="0" applyFont="1" applyFill="1" applyBorder="1" applyAlignment="1">
      <alignment horizontal="center" vertical="center"/>
    </xf>
    <xf numFmtId="0" fontId="97" fillId="4" borderId="13" xfId="0" applyFont="1" applyFill="1" applyBorder="1" applyAlignment="1">
      <alignment horizontal="center" vertical="center"/>
    </xf>
    <xf numFmtId="0" fontId="97" fillId="4" borderId="51" xfId="0" applyFont="1" applyFill="1" applyBorder="1" applyAlignment="1">
      <alignment horizontal="center" vertical="center"/>
    </xf>
    <xf numFmtId="0" fontId="97" fillId="4" borderId="26" xfId="0" applyFont="1" applyFill="1" applyBorder="1" applyAlignment="1">
      <alignment horizontal="center" vertical="center"/>
    </xf>
    <xf numFmtId="0" fontId="88" fillId="8" borderId="12" xfId="0" applyFont="1" applyFill="1" applyBorder="1" applyAlignment="1">
      <alignment horizontal="center" vertical="center"/>
    </xf>
    <xf numFmtId="0" fontId="88" fillId="8" borderId="20" xfId="0" applyFont="1" applyFill="1" applyBorder="1" applyAlignment="1">
      <alignment horizontal="center" vertical="center"/>
    </xf>
    <xf numFmtId="0" fontId="88" fillId="8" borderId="21" xfId="0" applyFont="1" applyFill="1" applyBorder="1" applyAlignment="1">
      <alignment horizontal="center" vertical="center"/>
    </xf>
    <xf numFmtId="0" fontId="88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89" fillId="2" borderId="20" xfId="0" applyFont="1" applyFill="1" applyBorder="1" applyAlignment="1">
      <alignment horizontal="center"/>
    </xf>
    <xf numFmtId="0" fontId="89" fillId="2" borderId="21" xfId="0" applyFont="1" applyFill="1" applyBorder="1" applyAlignment="1">
      <alignment horizontal="center"/>
    </xf>
    <xf numFmtId="0" fontId="89" fillId="2" borderId="28" xfId="0" applyFont="1" applyFill="1" applyBorder="1" applyAlignment="1">
      <alignment horizontal="center"/>
    </xf>
    <xf numFmtId="0" fontId="88" fillId="2" borderId="59" xfId="0" applyFont="1" applyFill="1" applyBorder="1" applyAlignment="1">
      <alignment horizontal="center" vertical="top" wrapText="1"/>
    </xf>
    <xf numFmtId="0" fontId="88" fillId="2" borderId="61" xfId="0" applyFont="1" applyFill="1" applyBorder="1" applyAlignment="1">
      <alignment horizontal="center" vertical="top" wrapText="1"/>
    </xf>
    <xf numFmtId="0" fontId="88" fillId="2" borderId="62" xfId="0" applyFont="1" applyFill="1" applyBorder="1" applyAlignment="1">
      <alignment horizontal="center" vertical="top" wrapText="1"/>
    </xf>
    <xf numFmtId="0" fontId="88" fillId="2" borderId="63" xfId="0" applyFont="1" applyFill="1" applyBorder="1" applyAlignment="1">
      <alignment horizontal="center" vertical="top" wrapText="1"/>
    </xf>
    <xf numFmtId="0" fontId="88" fillId="2" borderId="64" xfId="0" applyFont="1" applyFill="1" applyBorder="1" applyAlignment="1">
      <alignment horizontal="center" vertical="top" wrapText="1"/>
    </xf>
    <xf numFmtId="0" fontId="88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88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89" fillId="2" borderId="12" xfId="0" applyFont="1" applyFill="1" applyBorder="1"/>
    <xf numFmtId="14" fontId="88" fillId="7" borderId="12" xfId="0" applyNumberFormat="1" applyFont="1" applyFill="1" applyBorder="1" applyAlignment="1">
      <alignment horizontal="center" vertical="center"/>
    </xf>
    <xf numFmtId="14" fontId="88" fillId="2" borderId="12" xfId="0" applyNumberFormat="1" applyFont="1" applyFill="1" applyBorder="1" applyAlignment="1">
      <alignment horizontal="center" vertical="center"/>
    </xf>
    <xf numFmtId="0" fontId="83" fillId="10" borderId="12" xfId="0" applyFont="1" applyFill="1" applyBorder="1" applyAlignment="1">
      <alignment horizontal="center" vertical="center"/>
    </xf>
    <xf numFmtId="14" fontId="88" fillId="7" borderId="20" xfId="0" applyNumberFormat="1" applyFont="1" applyFill="1" applyBorder="1" applyAlignment="1">
      <alignment horizontal="center" vertical="center"/>
    </xf>
    <xf numFmtId="14" fontId="88" fillId="7" borderId="21" xfId="0" applyNumberFormat="1" applyFont="1" applyFill="1" applyBorder="1" applyAlignment="1">
      <alignment horizontal="center" vertical="center"/>
    </xf>
    <xf numFmtId="0" fontId="83" fillId="10" borderId="12" xfId="0" applyFont="1" applyFill="1" applyBorder="1" applyAlignment="1">
      <alignment horizontal="center"/>
    </xf>
    <xf numFmtId="14" fontId="88" fillId="7" borderId="57" xfId="0" applyNumberFormat="1" applyFont="1" applyFill="1" applyBorder="1" applyAlignment="1">
      <alignment horizontal="center" vertical="center"/>
    </xf>
    <xf numFmtId="14" fontId="88" fillId="7" borderId="60" xfId="0" applyNumberFormat="1" applyFont="1" applyFill="1" applyBorder="1" applyAlignment="1">
      <alignment horizontal="center" vertical="center"/>
    </xf>
    <xf numFmtId="14" fontId="88" fillId="7" borderId="24" xfId="0" applyNumberFormat="1" applyFont="1" applyFill="1" applyBorder="1" applyAlignment="1">
      <alignment horizontal="center" vertical="center"/>
    </xf>
    <xf numFmtId="14" fontId="88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89" fillId="2" borderId="20" xfId="0" applyFont="1" applyFill="1" applyBorder="1" applyAlignment="1">
      <alignment horizontal="center" vertical="center"/>
    </xf>
    <xf numFmtId="0" fontId="89" fillId="2" borderId="21" xfId="0" applyFont="1" applyFill="1" applyBorder="1" applyAlignment="1">
      <alignment horizontal="center" vertical="center"/>
    </xf>
    <xf numFmtId="0" fontId="89" fillId="2" borderId="28" xfId="0" applyFont="1" applyFill="1" applyBorder="1" applyAlignment="1">
      <alignment horizontal="center" vertical="center"/>
    </xf>
    <xf numFmtId="0" fontId="90" fillId="11" borderId="7" xfId="0" applyFont="1" applyFill="1" applyBorder="1" applyAlignment="1">
      <alignment horizontal="center" vertical="center"/>
    </xf>
    <xf numFmtId="0" fontId="90" fillId="11" borderId="29" xfId="0" applyFont="1" applyFill="1" applyBorder="1" applyAlignment="1">
      <alignment horizontal="center" vertical="center"/>
    </xf>
    <xf numFmtId="0" fontId="90" fillId="11" borderId="8" xfId="0" applyFont="1" applyFill="1" applyBorder="1" applyAlignment="1">
      <alignment horizontal="center" vertical="center"/>
    </xf>
    <xf numFmtId="20" fontId="90" fillId="11" borderId="7" xfId="0" applyNumberFormat="1" applyFont="1" applyFill="1" applyBorder="1" applyAlignment="1">
      <alignment horizontal="center" vertical="center"/>
    </xf>
    <xf numFmtId="20" fontId="90" fillId="11" borderId="29" xfId="0" applyNumberFormat="1" applyFont="1" applyFill="1" applyBorder="1" applyAlignment="1">
      <alignment horizontal="center" vertical="center"/>
    </xf>
    <xf numFmtId="20" fontId="90" fillId="11" borderId="8" xfId="0" applyNumberFormat="1" applyFont="1" applyFill="1" applyBorder="1" applyAlignment="1">
      <alignment horizontal="center" vertical="center"/>
    </xf>
    <xf numFmtId="20" fontId="92" fillId="10" borderId="7" xfId="0" applyNumberFormat="1" applyFont="1" applyFill="1" applyBorder="1" applyAlignment="1">
      <alignment horizontal="center"/>
    </xf>
    <xf numFmtId="20" fontId="92" fillId="10" borderId="29" xfId="0" applyNumberFormat="1" applyFont="1" applyFill="1" applyBorder="1" applyAlignment="1">
      <alignment horizontal="center"/>
    </xf>
    <xf numFmtId="20" fontId="92" fillId="10" borderId="8" xfId="0" applyNumberFormat="1" applyFont="1" applyFill="1" applyBorder="1" applyAlignment="1">
      <alignment horizontal="center"/>
    </xf>
    <xf numFmtId="14" fontId="88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83" fillId="22" borderId="0" xfId="0" applyFont="1" applyFill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51" fillId="23" borderId="5" xfId="0" applyNumberFormat="1" applyFont="1" applyFill="1" applyBorder="1" applyAlignment="1">
      <alignment horizontal="center" vertical="center" wrapText="1"/>
    </xf>
    <xf numFmtId="14" fontId="82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4" fontId="82" fillId="23" borderId="18" xfId="0" applyNumberFormat="1" applyFont="1" applyFill="1" applyBorder="1" applyAlignment="1">
      <alignment horizontal="center" vertical="center"/>
    </xf>
    <xf numFmtId="14" fontId="82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82" fillId="23" borderId="36" xfId="0" applyNumberFormat="1" applyFont="1" applyFill="1" applyBorder="1" applyAlignment="1">
      <alignment horizontal="center" vertical="center"/>
    </xf>
    <xf numFmtId="14" fontId="82" fillId="23" borderId="37" xfId="0" applyNumberFormat="1" applyFont="1" applyFill="1" applyBorder="1" applyAlignment="1">
      <alignment horizontal="center" vertical="center"/>
    </xf>
    <xf numFmtId="14" fontId="82" fillId="0" borderId="30" xfId="0" applyNumberFormat="1" applyFont="1" applyBorder="1" applyAlignment="1">
      <alignment horizontal="center" vertical="center"/>
    </xf>
    <xf numFmtId="14" fontId="82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0" fontId="1" fillId="19" borderId="12" xfId="0" applyFont="1" applyFill="1" applyBorder="1" applyAlignment="1">
      <alignment horizontal="left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5825</c:v>
                </c:pt>
                <c:pt idx="1">
                  <c:v>4150</c:v>
                </c:pt>
                <c:pt idx="2">
                  <c:v>3000</c:v>
                </c:pt>
                <c:pt idx="3">
                  <c:v>325</c:v>
                </c:pt>
                <c:pt idx="4" formatCode="0">
                  <c:v>100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1.4583268377938192</c:v>
                </c:pt>
                <c:pt idx="1">
                  <c:v>1.0389796355097596</c:v>
                </c:pt>
                <c:pt idx="2">
                  <c:v>0.75106961603115152</c:v>
                </c:pt>
                <c:pt idx="3">
                  <c:v>8.1365875070041407E-2</c:v>
                </c:pt>
                <c:pt idx="4">
                  <c:v>2.5035653867705052E-2</c:v>
                </c:pt>
                <c:pt idx="5">
                  <c:v>5.2574873122180607E-2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Hours'!$Q$5:$Q$32</c:f>
              <c:numCache>
                <c:formatCode>0</c:formatCode>
                <c:ptCount val="28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  <c:pt idx="18">
                  <c:v>21.083333333333332</c:v>
                </c:pt>
                <c:pt idx="19">
                  <c:v>18</c:v>
                </c:pt>
                <c:pt idx="20">
                  <c:v>0</c:v>
                </c:pt>
                <c:pt idx="21">
                  <c:v>13.916666666666666</c:v>
                </c:pt>
                <c:pt idx="22">
                  <c:v>21.25</c:v>
                </c:pt>
                <c:pt idx="23">
                  <c:v>19.5</c:v>
                </c:pt>
                <c:pt idx="24">
                  <c:v>24</c:v>
                </c:pt>
                <c:pt idx="25">
                  <c:v>9.3166666666666664</c:v>
                </c:pt>
                <c:pt idx="26">
                  <c:v>0</c:v>
                </c:pt>
                <c:pt idx="27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Hours'!$S$5:$S$33</c:f>
              <c:numCache>
                <c:formatCode>0</c:formatCode>
                <c:ptCount val="29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  <c:pt idx="18">
                  <c:v>2.9166666666666665</c:v>
                </c:pt>
                <c:pt idx="19">
                  <c:v>6</c:v>
                </c:pt>
                <c:pt idx="20">
                  <c:v>24</c:v>
                </c:pt>
                <c:pt idx="21">
                  <c:v>10.083333333333334</c:v>
                </c:pt>
                <c:pt idx="22">
                  <c:v>2.75</c:v>
                </c:pt>
                <c:pt idx="23">
                  <c:v>4.5</c:v>
                </c:pt>
                <c:pt idx="24">
                  <c:v>0</c:v>
                </c:pt>
                <c:pt idx="25">
                  <c:v>14.683333333333334</c:v>
                </c:pt>
                <c:pt idx="26">
                  <c:v>24</c:v>
                </c:pt>
                <c:pt idx="27">
                  <c:v>5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Inventory'!$Q$9:$Q$135</c:f>
              <c:numCache>
                <c:formatCode>General</c:formatCode>
                <c:ptCount val="12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17</c:v>
                </c:pt>
                <c:pt idx="15">
                  <c:v>21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32</c:v>
                </c:pt>
                <c:pt idx="20">
                  <c:v>33</c:v>
                </c:pt>
                <c:pt idx="21">
                  <c:v>34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5">
                  <c:v>38</c:v>
                </c:pt>
                <c:pt idx="26">
                  <c:v>39</c:v>
                </c:pt>
                <c:pt idx="27">
                  <c:v>40</c:v>
                </c:pt>
                <c:pt idx="28">
                  <c:v>41</c:v>
                </c:pt>
                <c:pt idx="29">
                  <c:v>42</c:v>
                </c:pt>
                <c:pt idx="30">
                  <c:v>43</c:v>
                </c:pt>
                <c:pt idx="31">
                  <c:v>44</c:v>
                </c:pt>
                <c:pt idx="32">
                  <c:v>45</c:v>
                </c:pt>
                <c:pt idx="33">
                  <c:v>46</c:v>
                </c:pt>
                <c:pt idx="34">
                  <c:v>47</c:v>
                </c:pt>
                <c:pt idx="35">
                  <c:v>48</c:v>
                </c:pt>
                <c:pt idx="36">
                  <c:v>49</c:v>
                </c:pt>
                <c:pt idx="37">
                  <c:v>50</c:v>
                </c:pt>
                <c:pt idx="38">
                  <c:v>51</c:v>
                </c:pt>
                <c:pt idx="39">
                  <c:v>52</c:v>
                </c:pt>
                <c:pt idx="40">
                  <c:v>53</c:v>
                </c:pt>
                <c:pt idx="41">
                  <c:v>54</c:v>
                </c:pt>
                <c:pt idx="42">
                  <c:v>55</c:v>
                </c:pt>
                <c:pt idx="43">
                  <c:v>56</c:v>
                </c:pt>
                <c:pt idx="44">
                  <c:v>57</c:v>
                </c:pt>
                <c:pt idx="45">
                  <c:v>58</c:v>
                </c:pt>
                <c:pt idx="46">
                  <c:v>59</c:v>
                </c:pt>
                <c:pt idx="47">
                  <c:v>60</c:v>
                </c:pt>
                <c:pt idx="48">
                  <c:v>61</c:v>
                </c:pt>
                <c:pt idx="49">
                  <c:v>62</c:v>
                </c:pt>
                <c:pt idx="50">
                  <c:v>63</c:v>
                </c:pt>
                <c:pt idx="51">
                  <c:v>64</c:v>
                </c:pt>
                <c:pt idx="52">
                  <c:v>65</c:v>
                </c:pt>
                <c:pt idx="53">
                  <c:v>66</c:v>
                </c:pt>
                <c:pt idx="54">
                  <c:v>67</c:v>
                </c:pt>
                <c:pt idx="55">
                  <c:v>68</c:v>
                </c:pt>
                <c:pt idx="56">
                  <c:v>69</c:v>
                </c:pt>
                <c:pt idx="57">
                  <c:v>70</c:v>
                </c:pt>
                <c:pt idx="58">
                  <c:v>71</c:v>
                </c:pt>
                <c:pt idx="59">
                  <c:v>72</c:v>
                </c:pt>
                <c:pt idx="60">
                  <c:v>73</c:v>
                </c:pt>
                <c:pt idx="61">
                  <c:v>74</c:v>
                </c:pt>
                <c:pt idx="62">
                  <c:v>75</c:v>
                </c:pt>
                <c:pt idx="63">
                  <c:v>76</c:v>
                </c:pt>
                <c:pt idx="64">
                  <c:v>77</c:v>
                </c:pt>
                <c:pt idx="65">
                  <c:v>78</c:v>
                </c:pt>
                <c:pt idx="66">
                  <c:v>79</c:v>
                </c:pt>
                <c:pt idx="67">
                  <c:v>80</c:v>
                </c:pt>
                <c:pt idx="68">
                  <c:v>81</c:v>
                </c:pt>
                <c:pt idx="69">
                  <c:v>82</c:v>
                </c:pt>
                <c:pt idx="70">
                  <c:v>83</c:v>
                </c:pt>
                <c:pt idx="71">
                  <c:v>84</c:v>
                </c:pt>
                <c:pt idx="72">
                  <c:v>85</c:v>
                </c:pt>
                <c:pt idx="73">
                  <c:v>86</c:v>
                </c:pt>
                <c:pt idx="74">
                  <c:v>87</c:v>
                </c:pt>
                <c:pt idx="75">
                  <c:v>88</c:v>
                </c:pt>
                <c:pt idx="76">
                  <c:v>89</c:v>
                </c:pt>
                <c:pt idx="77">
                  <c:v>90</c:v>
                </c:pt>
                <c:pt idx="78">
                  <c:v>91</c:v>
                </c:pt>
                <c:pt idx="79">
                  <c:v>92</c:v>
                </c:pt>
                <c:pt idx="80">
                  <c:v>93</c:v>
                </c:pt>
                <c:pt idx="81">
                  <c:v>94</c:v>
                </c:pt>
                <c:pt idx="82">
                  <c:v>95</c:v>
                </c:pt>
                <c:pt idx="83">
                  <c:v>96</c:v>
                </c:pt>
                <c:pt idx="84">
                  <c:v>97</c:v>
                </c:pt>
                <c:pt idx="85">
                  <c:v>98</c:v>
                </c:pt>
                <c:pt idx="86">
                  <c:v>99</c:v>
                </c:pt>
                <c:pt idx="87">
                  <c:v>100</c:v>
                </c:pt>
                <c:pt idx="88">
                  <c:v>101</c:v>
                </c:pt>
                <c:pt idx="89">
                  <c:v>102</c:v>
                </c:pt>
                <c:pt idx="90">
                  <c:v>103</c:v>
                </c:pt>
                <c:pt idx="91">
                  <c:v>104</c:v>
                </c:pt>
                <c:pt idx="92">
                  <c:v>105</c:v>
                </c:pt>
                <c:pt idx="93">
                  <c:v>106</c:v>
                </c:pt>
                <c:pt idx="94">
                  <c:v>107</c:v>
                </c:pt>
                <c:pt idx="95">
                  <c:v>108</c:v>
                </c:pt>
                <c:pt idx="96">
                  <c:v>109</c:v>
                </c:pt>
                <c:pt idx="97">
                  <c:v>110</c:v>
                </c:pt>
                <c:pt idx="98">
                  <c:v>111</c:v>
                </c:pt>
                <c:pt idx="99">
                  <c:v>112</c:v>
                </c:pt>
                <c:pt idx="100">
                  <c:v>113</c:v>
                </c:pt>
                <c:pt idx="101">
                  <c:v>114</c:v>
                </c:pt>
                <c:pt idx="102">
                  <c:v>115</c:v>
                </c:pt>
                <c:pt idx="103">
                  <c:v>116</c:v>
                </c:pt>
                <c:pt idx="104">
                  <c:v>117</c:v>
                </c:pt>
                <c:pt idx="105">
                  <c:v>118</c:v>
                </c:pt>
                <c:pt idx="106">
                  <c:v>119</c:v>
                </c:pt>
                <c:pt idx="107">
                  <c:v>120</c:v>
                </c:pt>
                <c:pt idx="108">
                  <c:v>121</c:v>
                </c:pt>
                <c:pt idx="109">
                  <c:v>122</c:v>
                </c:pt>
                <c:pt idx="110">
                  <c:v>123</c:v>
                </c:pt>
                <c:pt idx="111">
                  <c:v>124</c:v>
                </c:pt>
                <c:pt idx="112">
                  <c:v>125</c:v>
                </c:pt>
                <c:pt idx="113">
                  <c:v>126</c:v>
                </c:pt>
                <c:pt idx="114">
                  <c:v>127</c:v>
                </c:pt>
                <c:pt idx="115">
                  <c:v>128</c:v>
                </c:pt>
                <c:pt idx="116">
                  <c:v>129</c:v>
                </c:pt>
                <c:pt idx="117">
                  <c:v>130</c:v>
                </c:pt>
                <c:pt idx="118">
                  <c:v>131</c:v>
                </c:pt>
                <c:pt idx="119">
                  <c:v>132</c:v>
                </c:pt>
                <c:pt idx="120">
                  <c:v>133</c:v>
                </c:pt>
                <c:pt idx="121">
                  <c:v>134</c:v>
                </c:pt>
                <c:pt idx="122">
                  <c:v>135</c:v>
                </c:pt>
                <c:pt idx="123">
                  <c:v>136</c:v>
                </c:pt>
                <c:pt idx="124">
                  <c:v>137</c:v>
                </c:pt>
                <c:pt idx="125">
                  <c:v>138</c:v>
                </c:pt>
                <c:pt idx="126">
                  <c:v>139</c:v>
                </c:pt>
              </c:numCache>
            </c:numRef>
          </c:xVal>
          <c:yVal>
            <c:numRef>
              <c:f>'Rom File Inventory'!$T$9:$T$135</c:f>
              <c:numCache>
                <c:formatCode>General</c:formatCode>
                <c:ptCount val="127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5">
                  <c:v>0.74399999999999999</c:v>
                </c:pt>
                <c:pt idx="26">
                  <c:v>0.56299999999999994</c:v>
                </c:pt>
                <c:pt idx="27">
                  <c:v>0.438</c:v>
                </c:pt>
                <c:pt idx="28">
                  <c:v>0.45800000000000002</c:v>
                </c:pt>
                <c:pt idx="29">
                  <c:v>0.55800000000000005</c:v>
                </c:pt>
                <c:pt idx="30">
                  <c:v>0.501</c:v>
                </c:pt>
                <c:pt idx="31">
                  <c:v>1.25</c:v>
                </c:pt>
                <c:pt idx="32">
                  <c:v>0.35099999999999998</c:v>
                </c:pt>
                <c:pt idx="33">
                  <c:v>2.028</c:v>
                </c:pt>
                <c:pt idx="34">
                  <c:v>1.8380000000000001</c:v>
                </c:pt>
                <c:pt idx="35">
                  <c:v>1.3220000000000001</c:v>
                </c:pt>
                <c:pt idx="36">
                  <c:v>0.65100000000000002</c:v>
                </c:pt>
                <c:pt idx="37">
                  <c:v>0.50600000000000001</c:v>
                </c:pt>
                <c:pt idx="38">
                  <c:v>0.67300000000000004</c:v>
                </c:pt>
                <c:pt idx="39">
                  <c:v>0.66200000000000003</c:v>
                </c:pt>
                <c:pt idx="40">
                  <c:v>0.55500000000000005</c:v>
                </c:pt>
                <c:pt idx="41">
                  <c:v>0.81299999999999994</c:v>
                </c:pt>
                <c:pt idx="42">
                  <c:v>1.147</c:v>
                </c:pt>
                <c:pt idx="43">
                  <c:v>1.9410000000000001</c:v>
                </c:pt>
                <c:pt idx="44">
                  <c:v>0.48899999999999999</c:v>
                </c:pt>
                <c:pt idx="45">
                  <c:v>0.55600000000000005</c:v>
                </c:pt>
                <c:pt idx="46">
                  <c:v>3.032</c:v>
                </c:pt>
                <c:pt idx="47">
                  <c:v>0.63200000000000001</c:v>
                </c:pt>
                <c:pt idx="48">
                  <c:v>1.0429999999999999</c:v>
                </c:pt>
                <c:pt idx="49">
                  <c:v>1.59</c:v>
                </c:pt>
                <c:pt idx="50">
                  <c:v>0.33700000000000002</c:v>
                </c:pt>
                <c:pt idx="51">
                  <c:v>0.252</c:v>
                </c:pt>
                <c:pt idx="52">
                  <c:v>0.90500000000000003</c:v>
                </c:pt>
                <c:pt idx="53">
                  <c:v>0.91200000000000003</c:v>
                </c:pt>
                <c:pt idx="54">
                  <c:v>0.21199999999999999</c:v>
                </c:pt>
                <c:pt idx="55">
                  <c:v>0.32300000000000001</c:v>
                </c:pt>
                <c:pt idx="56">
                  <c:v>0.63500000000000001</c:v>
                </c:pt>
                <c:pt idx="57">
                  <c:v>0.45500000000000002</c:v>
                </c:pt>
                <c:pt idx="58">
                  <c:v>9.9000000000000005E-2</c:v>
                </c:pt>
                <c:pt idx="59">
                  <c:v>0.69599999999999995</c:v>
                </c:pt>
                <c:pt idx="60">
                  <c:v>0.34</c:v>
                </c:pt>
                <c:pt idx="61">
                  <c:v>0.98199999999999998</c:v>
                </c:pt>
                <c:pt idx="62">
                  <c:v>1.0880000000000001</c:v>
                </c:pt>
                <c:pt idx="63">
                  <c:v>0.57399999999999995</c:v>
                </c:pt>
                <c:pt idx="64">
                  <c:v>0.35399999999999998</c:v>
                </c:pt>
                <c:pt idx="65">
                  <c:v>0.80200000000000005</c:v>
                </c:pt>
                <c:pt idx="66">
                  <c:v>0.16</c:v>
                </c:pt>
                <c:pt idx="67">
                  <c:v>0.96199999999999997</c:v>
                </c:pt>
                <c:pt idx="68">
                  <c:v>0.42199999999999999</c:v>
                </c:pt>
                <c:pt idx="69">
                  <c:v>0.16700000000000001</c:v>
                </c:pt>
                <c:pt idx="70">
                  <c:v>0.31</c:v>
                </c:pt>
                <c:pt idx="71">
                  <c:v>0.23100000000000001</c:v>
                </c:pt>
                <c:pt idx="72">
                  <c:v>2.5209999999999999</c:v>
                </c:pt>
                <c:pt idx="73">
                  <c:v>0.308</c:v>
                </c:pt>
                <c:pt idx="74">
                  <c:v>0.35099999999999998</c:v>
                </c:pt>
                <c:pt idx="75">
                  <c:v>0.751</c:v>
                </c:pt>
                <c:pt idx="76">
                  <c:v>0.60399999999999998</c:v>
                </c:pt>
                <c:pt idx="77">
                  <c:v>4.7E-2</c:v>
                </c:pt>
                <c:pt idx="78">
                  <c:v>0.35699999999999998</c:v>
                </c:pt>
                <c:pt idx="79">
                  <c:v>0.40699999999999997</c:v>
                </c:pt>
                <c:pt idx="80">
                  <c:v>0.318</c:v>
                </c:pt>
                <c:pt idx="81">
                  <c:v>0.502</c:v>
                </c:pt>
                <c:pt idx="82">
                  <c:v>0.38800000000000001</c:v>
                </c:pt>
                <c:pt idx="83">
                  <c:v>1.0409999999999999</c:v>
                </c:pt>
                <c:pt idx="84">
                  <c:v>1.47</c:v>
                </c:pt>
                <c:pt idx="85">
                  <c:v>3.8769999999999998</c:v>
                </c:pt>
                <c:pt idx="86">
                  <c:v>0.35099999999999998</c:v>
                </c:pt>
                <c:pt idx="87">
                  <c:v>0.32600000000000001</c:v>
                </c:pt>
                <c:pt idx="88">
                  <c:v>0.24</c:v>
                </c:pt>
                <c:pt idx="89">
                  <c:v>1.077</c:v>
                </c:pt>
                <c:pt idx="90">
                  <c:v>0.253</c:v>
                </c:pt>
                <c:pt idx="91">
                  <c:v>0.73199999999999998</c:v>
                </c:pt>
                <c:pt idx="92">
                  <c:v>0.45400000000000001</c:v>
                </c:pt>
                <c:pt idx="93">
                  <c:v>0.61599999999999999</c:v>
                </c:pt>
                <c:pt idx="94">
                  <c:v>0.24199999999999999</c:v>
                </c:pt>
                <c:pt idx="95">
                  <c:v>2.0979999999999999</c:v>
                </c:pt>
                <c:pt idx="96">
                  <c:v>0.86299999999999999</c:v>
                </c:pt>
                <c:pt idx="97">
                  <c:v>0.17899999999999999</c:v>
                </c:pt>
                <c:pt idx="98">
                  <c:v>0.17799999999999999</c:v>
                </c:pt>
                <c:pt idx="99">
                  <c:v>1.1000000000000001</c:v>
                </c:pt>
                <c:pt idx="100">
                  <c:v>0.61299999999999999</c:v>
                </c:pt>
                <c:pt idx="101">
                  <c:v>0.33600000000000002</c:v>
                </c:pt>
                <c:pt idx="102">
                  <c:v>0.61299999999999999</c:v>
                </c:pt>
                <c:pt idx="103">
                  <c:v>1.125</c:v>
                </c:pt>
                <c:pt idx="104">
                  <c:v>1.2949999999999999</c:v>
                </c:pt>
                <c:pt idx="105">
                  <c:v>0.53800000000000003</c:v>
                </c:pt>
                <c:pt idx="106">
                  <c:v>1.3080000000000001</c:v>
                </c:pt>
                <c:pt idx="107">
                  <c:v>0.48799999999999999</c:v>
                </c:pt>
                <c:pt idx="108">
                  <c:v>1.7190000000000001</c:v>
                </c:pt>
                <c:pt idx="109">
                  <c:v>1.718</c:v>
                </c:pt>
                <c:pt idx="110">
                  <c:v>1.3280000000000001</c:v>
                </c:pt>
                <c:pt idx="111">
                  <c:v>0.61099999999999999</c:v>
                </c:pt>
                <c:pt idx="112">
                  <c:v>0.35799999999999998</c:v>
                </c:pt>
                <c:pt idx="113">
                  <c:v>0.21</c:v>
                </c:pt>
                <c:pt idx="114">
                  <c:v>0.42</c:v>
                </c:pt>
                <c:pt idx="115">
                  <c:v>1.044</c:v>
                </c:pt>
                <c:pt idx="116">
                  <c:v>0.38800000000000001</c:v>
                </c:pt>
                <c:pt idx="117">
                  <c:v>0.91700000000000004</c:v>
                </c:pt>
                <c:pt idx="118">
                  <c:v>0.98599999999999999</c:v>
                </c:pt>
                <c:pt idx="119">
                  <c:v>1.2170000000000001</c:v>
                </c:pt>
                <c:pt idx="120">
                  <c:v>0.83599999999999997</c:v>
                </c:pt>
                <c:pt idx="121">
                  <c:v>0.217</c:v>
                </c:pt>
                <c:pt idx="122">
                  <c:v>7.5999999999999998E-2</c:v>
                </c:pt>
                <c:pt idx="123">
                  <c:v>0.35099999999999998</c:v>
                </c:pt>
                <c:pt idx="124">
                  <c:v>0.184</c:v>
                </c:pt>
                <c:pt idx="125">
                  <c:v>0.373</c:v>
                </c:pt>
                <c:pt idx="126">
                  <c:v>0.50600000000000001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Inventory'!$AG$35:$AG$167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Inventory'!$AH$35:$AH$167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4.png"/><Relationship Id="rId4" Type="http://schemas.openxmlformats.org/officeDocument/2006/relationships/image" Target="../media/image5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22899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15</xdr:row>
      <xdr:rowOff>158338</xdr:rowOff>
    </xdr:from>
    <xdr:to>
      <xdr:col>28</xdr:col>
      <xdr:colOff>583870</xdr:colOff>
      <xdr:row>31</xdr:row>
      <xdr:rowOff>148442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37788" y="3267298"/>
              <a:ext cx="5256702" cy="29390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107</xdr:row>
      <xdr:rowOff>150121</xdr:rowOff>
    </xdr:from>
    <xdr:to>
      <xdr:col>10</xdr:col>
      <xdr:colOff>613913</xdr:colOff>
      <xdr:row>135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3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220" t="s">
        <v>337</v>
      </c>
      <c r="D3" s="1220"/>
      <c r="E3" s="1220"/>
      <c r="F3" s="1220"/>
      <c r="G3" s="1220"/>
      <c r="H3" s="1220"/>
      <c r="L3" s="1220" t="s">
        <v>337</v>
      </c>
      <c r="M3" s="1220"/>
      <c r="N3" s="1220"/>
      <c r="O3" s="1220"/>
      <c r="P3" s="1220"/>
      <c r="Q3" s="1220"/>
    </row>
    <row r="4" spans="3:17" x14ac:dyDescent="0.3">
      <c r="C4" s="14" t="s">
        <v>70</v>
      </c>
      <c r="D4" s="14" t="s">
        <v>338</v>
      </c>
      <c r="E4" s="14" t="s">
        <v>0</v>
      </c>
      <c r="F4" s="14" t="s">
        <v>339</v>
      </c>
      <c r="G4" s="14" t="s">
        <v>340</v>
      </c>
      <c r="H4" s="14" t="s">
        <v>341</v>
      </c>
      <c r="L4" s="14" t="s">
        <v>70</v>
      </c>
      <c r="M4" s="14" t="s">
        <v>338</v>
      </c>
      <c r="N4" s="14" t="s">
        <v>0</v>
      </c>
      <c r="O4" s="14" t="s">
        <v>339</v>
      </c>
      <c r="P4" s="14" t="s">
        <v>340</v>
      </c>
      <c r="Q4" s="14" t="s">
        <v>341</v>
      </c>
    </row>
    <row r="5" spans="3:17" x14ac:dyDescent="0.3">
      <c r="C5" s="120">
        <v>1</v>
      </c>
      <c r="D5" s="120" t="s">
        <v>342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395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343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396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344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397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345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398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346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399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347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400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348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401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349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402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350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403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351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383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352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384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353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385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354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404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355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405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356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389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357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391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358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393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359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395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360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397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361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399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362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401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363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403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357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384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358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404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359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406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360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389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361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391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362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393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363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395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364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397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365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399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366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401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374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403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375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384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376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391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377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393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378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395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379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397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380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399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381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401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382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403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383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384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384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404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385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389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389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391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390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393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391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395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392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397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393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399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394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401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403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384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397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399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401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403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384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404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406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topLeftCell="A13" zoomScale="62" zoomScaleNormal="40" workbookViewId="0">
      <pane xSplit="2" topLeftCell="C1" activePane="topRight" state="frozen"/>
      <selection activeCell="A2" sqref="A2"/>
      <selection pane="topRight" activeCell="E49" sqref="E49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225" t="s">
        <v>124</v>
      </c>
      <c r="I1" s="1225"/>
      <c r="J1" s="1225"/>
      <c r="K1" s="1225"/>
      <c r="L1" s="1225"/>
      <c r="M1" s="1225"/>
      <c r="N1" s="1225"/>
      <c r="O1" s="1225"/>
      <c r="P1" s="1225"/>
      <c r="Q1" s="1225"/>
      <c r="R1" s="1225"/>
      <c r="S1" s="1225"/>
      <c r="T1" s="1225"/>
      <c r="U1" s="1225"/>
      <c r="V1" s="1225"/>
      <c r="W1" s="1225"/>
      <c r="X1" s="1225"/>
      <c r="Y1" s="1225"/>
      <c r="Z1" s="1225"/>
      <c r="AA1" s="1225"/>
      <c r="AB1" s="1225"/>
      <c r="AC1" s="1225"/>
      <c r="AD1" s="1225"/>
      <c r="AE1" s="1225"/>
      <c r="AF1" s="1225"/>
      <c r="AG1" s="1225"/>
      <c r="AH1" s="1225"/>
      <c r="AI1" s="1225"/>
      <c r="AJ1" s="1225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226" t="s">
        <v>125</v>
      </c>
      <c r="I2" s="1226"/>
      <c r="J2" s="1226"/>
      <c r="K2" s="1226"/>
      <c r="L2" s="1226"/>
      <c r="M2" s="1226"/>
      <c r="N2" s="1226"/>
      <c r="O2" s="1226"/>
      <c r="P2" s="1226"/>
      <c r="Q2" s="1226"/>
      <c r="R2" s="1226"/>
      <c r="S2" s="1226"/>
      <c r="T2" s="1226"/>
      <c r="U2" s="1226"/>
      <c r="V2" s="1226"/>
      <c r="W2" s="1226"/>
      <c r="X2" s="1226"/>
      <c r="Y2" s="1226"/>
      <c r="Z2" s="1226"/>
      <c r="AA2" s="1226"/>
      <c r="AB2" s="1226"/>
      <c r="AC2" s="1226"/>
      <c r="AD2" s="1226"/>
      <c r="AE2" s="1226"/>
      <c r="AF2" s="1226"/>
      <c r="AG2" s="1226"/>
      <c r="AH2" s="1226"/>
      <c r="AI2" s="1226"/>
      <c r="AJ2" s="1226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231" t="s">
        <v>72</v>
      </c>
      <c r="C5" s="1233" t="s">
        <v>73</v>
      </c>
      <c r="D5" s="1223"/>
      <c r="E5" s="1223"/>
      <c r="F5" s="1223"/>
      <c r="G5" s="1223"/>
      <c r="H5" s="1224"/>
      <c r="I5" s="1234" t="s">
        <v>431</v>
      </c>
      <c r="J5" s="1234" t="s">
        <v>320</v>
      </c>
      <c r="K5" s="1222" t="s">
        <v>74</v>
      </c>
      <c r="L5" s="1223"/>
      <c r="M5" s="1223"/>
      <c r="N5" s="1231" t="s">
        <v>75</v>
      </c>
      <c r="O5" s="1227" t="s">
        <v>177</v>
      </c>
      <c r="P5" s="1227"/>
      <c r="Q5" s="1227"/>
      <c r="R5" s="1227"/>
      <c r="S5" s="1227"/>
      <c r="T5" s="1227"/>
      <c r="U5" s="1227"/>
      <c r="V5" s="1227"/>
      <c r="W5" s="1227"/>
      <c r="X5" s="1227"/>
      <c r="Y5" s="1228"/>
      <c r="Z5" s="1222" t="s">
        <v>76</v>
      </c>
      <c r="AA5" s="1229"/>
      <c r="AB5" s="1229"/>
      <c r="AC5" s="1229"/>
      <c r="AD5" s="1229"/>
      <c r="AE5" s="1229"/>
      <c r="AF5" s="1229"/>
      <c r="AG5" s="1230"/>
      <c r="AH5" s="1222" t="s">
        <v>77</v>
      </c>
      <c r="AI5" s="1224"/>
      <c r="AJ5" s="1222" t="s">
        <v>78</v>
      </c>
      <c r="AK5" s="1223"/>
      <c r="AL5" s="1223"/>
      <c r="AM5" s="1223"/>
      <c r="AN5" s="1223"/>
      <c r="AO5" s="1224"/>
      <c r="AP5" s="1222" t="s">
        <v>79</v>
      </c>
      <c r="AQ5" s="1224"/>
      <c r="AR5" s="74"/>
      <c r="AS5" s="84" t="s">
        <v>80</v>
      </c>
    </row>
    <row r="6" spans="1:45" ht="29.4" thickBot="1" x14ac:dyDescent="0.35">
      <c r="A6" s="83"/>
      <c r="B6" s="1232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232"/>
      <c r="J6" s="1236"/>
      <c r="K6" s="85" t="s">
        <v>86</v>
      </c>
      <c r="L6" s="85" t="s">
        <v>87</v>
      </c>
      <c r="M6" s="85" t="s">
        <v>126</v>
      </c>
      <c r="N6" s="1235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317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9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78.043500000000009</v>
      </c>
      <c r="D8" s="644">
        <f t="shared" ref="D8:D13" si="0">D7+C8</f>
        <v>78.043500000000009</v>
      </c>
      <c r="E8" s="644">
        <f t="shared" ref="E8:E11" si="1">C8/I8</f>
        <v>7.0734290030211486</v>
      </c>
      <c r="F8" s="652">
        <v>1.45</v>
      </c>
      <c r="G8" s="644">
        <f>C8*F8</f>
        <v>113.16307500000001</v>
      </c>
      <c r="H8" s="646">
        <f>G8/1000</f>
        <v>0.113163075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9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17.712000000000003</v>
      </c>
      <c r="D9" s="644">
        <f t="shared" si="0"/>
        <v>95.755500000000012</v>
      </c>
      <c r="E9" s="644">
        <f t="shared" si="1"/>
        <v>1.6053172205438069</v>
      </c>
      <c r="F9" s="656">
        <v>1.45</v>
      </c>
      <c r="G9" s="657">
        <f t="shared" ref="G9:G16" si="5">F9*C9</f>
        <v>25.682400000000005</v>
      </c>
      <c r="H9" s="658">
        <f t="shared" ref="H9:H17" si="6">G9/1000</f>
        <v>2.5682400000000005E-2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9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157.9905</v>
      </c>
      <c r="D10" s="644">
        <f t="shared" si="0"/>
        <v>253.74600000000001</v>
      </c>
      <c r="E10" s="644">
        <f t="shared" si="1"/>
        <v>16.74810954063604</v>
      </c>
      <c r="F10" s="652">
        <v>1.45</v>
      </c>
      <c r="G10" s="657">
        <f t="shared" si="5"/>
        <v>229.08622499999998</v>
      </c>
      <c r="H10" s="658">
        <f t="shared" si="6"/>
        <v>0.22908622499999998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9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37.919199999999996</v>
      </c>
      <c r="D11" s="644">
        <f t="shared" si="0"/>
        <v>291.66520000000003</v>
      </c>
      <c r="E11" s="644">
        <f t="shared" si="1"/>
        <v>18.648786885245901</v>
      </c>
      <c r="F11" s="652">
        <v>0.77</v>
      </c>
      <c r="G11" s="657">
        <f t="shared" si="5"/>
        <v>29.197783999999999</v>
      </c>
      <c r="H11" s="658">
        <f t="shared" si="6"/>
        <v>2.9197783999999997E-2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9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283.17079999999999</v>
      </c>
      <c r="D12" s="644">
        <f t="shared" si="0"/>
        <v>574.83600000000001</v>
      </c>
      <c r="E12" s="644">
        <f>C12/I12</f>
        <v>25.665027190332324</v>
      </c>
      <c r="F12" s="661">
        <v>1.0209999999999999</v>
      </c>
      <c r="G12" s="657">
        <f>F12*C12</f>
        <v>289.11738679999996</v>
      </c>
      <c r="H12" s="658">
        <f t="shared" si="6"/>
        <v>0.28911738679999999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9" t="str">
        <f t="shared" si="4"/>
        <v/>
      </c>
      <c r="V12" s="651"/>
      <c r="W12" s="651"/>
      <c r="X12" s="651"/>
      <c r="Y12" s="651"/>
      <c r="Z12" s="652">
        <f>'Reagent Consumption'!O13</f>
        <v>275</v>
      </c>
      <c r="AA12" s="644">
        <f>'Fuel Consumption'!D9</f>
        <v>397</v>
      </c>
      <c r="AB12" s="652">
        <f>'Reagent Consumption'!Q13</f>
        <v>1000</v>
      </c>
      <c r="AC12" s="652">
        <f>'Reagent Consumption'!P13</f>
        <v>500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25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337.14449999999999</v>
      </c>
      <c r="D13" s="644">
        <f t="shared" si="0"/>
        <v>911.98050000000001</v>
      </c>
      <c r="E13" s="645">
        <f t="shared" ref="E13:E23" si="8">C13/I13</f>
        <v>33.658352745424288</v>
      </c>
      <c r="F13" s="652">
        <v>0.60399999999999998</v>
      </c>
      <c r="G13" s="644">
        <f>F13*C13</f>
        <v>203.635278</v>
      </c>
      <c r="H13" s="646">
        <f t="shared" si="6"/>
        <v>0.203635278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9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250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293.35949999999997</v>
      </c>
      <c r="D14" s="644">
        <f>D13+C14</f>
        <v>1205.3399999999999</v>
      </c>
      <c r="E14" s="645">
        <f t="shared" si="8"/>
        <v>31.098180212014125</v>
      </c>
      <c r="F14" s="652">
        <v>0.442</v>
      </c>
      <c r="G14" s="644">
        <f>F14*C14</f>
        <v>129.66489899999999</v>
      </c>
      <c r="H14" s="646">
        <f t="shared" si="6"/>
        <v>0.129664899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9" t="str">
        <f t="shared" si="4"/>
        <v/>
      </c>
      <c r="V14" s="651"/>
      <c r="W14" s="651"/>
      <c r="X14" s="651"/>
      <c r="Y14" s="651"/>
      <c r="Z14" s="652">
        <f>'Reagent Consumption'!O16</f>
        <v>0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25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197.0325</v>
      </c>
      <c r="D15" s="644">
        <f t="shared" ref="D15:D36" si="9">D14+C15</f>
        <v>1402.3724999999999</v>
      </c>
      <c r="E15" s="645">
        <f t="shared" si="8"/>
        <v>21.852033271719037</v>
      </c>
      <c r="F15" s="646">
        <f>AVERAGE('Rom File Inventory'!T87:T95)</f>
        <v>0.96788888888888869</v>
      </c>
      <c r="G15" s="644">
        <f t="shared" si="5"/>
        <v>190.70556749999997</v>
      </c>
      <c r="H15" s="646">
        <f t="shared" si="6"/>
        <v>0.19070556749999998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9" t="str">
        <f t="shared" si="4"/>
        <v/>
      </c>
      <c r="V15" s="651"/>
      <c r="W15" s="651"/>
      <c r="X15" s="651"/>
      <c r="Y15" s="651"/>
      <c r="Z15" s="652">
        <f>'Reagent Consumption'!O17</f>
        <v>100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1402.3724999999999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9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500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165.13199999999998</v>
      </c>
      <c r="D17" s="644">
        <f>D16+C17</f>
        <v>1567.5045</v>
      </c>
      <c r="E17" s="645">
        <f>C17/I17</f>
        <v>16.485723793677202</v>
      </c>
      <c r="F17" s="663">
        <f>AVERAGE('Rom File Inventory'!T96:T104)</f>
        <v>0.67088888888888887</v>
      </c>
      <c r="G17" s="644">
        <f>F17*C17</f>
        <v>110.78522399999999</v>
      </c>
      <c r="H17" s="646">
        <f t="shared" si="6"/>
        <v>0.11078522399999999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9" t="str">
        <f t="shared" si="4"/>
        <v/>
      </c>
      <c r="V17" s="651"/>
      <c r="W17" s="651"/>
      <c r="X17" s="651"/>
      <c r="Y17" s="651"/>
      <c r="Z17" s="652">
        <f>'Reagent Consumption'!O19</f>
        <v>300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750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1567.5045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9" t="str">
        <f t="shared" si="4"/>
        <v/>
      </c>
      <c r="V18" s="90"/>
      <c r="W18" s="90"/>
      <c r="X18" s="90"/>
      <c r="Y18" s="90"/>
      <c r="Z18" s="92">
        <f>'Reagent Consumption'!O21</f>
        <v>175</v>
      </c>
      <c r="AA18" s="88">
        <f>'Fuel Consumption'!D15</f>
        <v>510</v>
      </c>
      <c r="AB18" s="92">
        <f>'Reagent Consumption'!Q21</f>
        <v>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1567.5045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9" t="str">
        <f t="shared" si="4"/>
        <v/>
      </c>
      <c r="V19" s="90"/>
      <c r="W19" s="90"/>
      <c r="X19" s="90"/>
      <c r="Y19" s="90"/>
      <c r="Z19" s="92">
        <f>'Reagent Consumption'!O22</f>
        <v>175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124.94709999999999</v>
      </c>
      <c r="D20" s="644">
        <f t="shared" si="9"/>
        <v>1692.4516000000001</v>
      </c>
      <c r="E20" s="645">
        <f t="shared" si="8"/>
        <v>23.724132911392402</v>
      </c>
      <c r="F20" s="646">
        <f>AVERAGE('Rom File Inventory'!T105:T111)</f>
        <v>0.5545714285714286</v>
      </c>
      <c r="G20" s="644">
        <f t="shared" si="10"/>
        <v>69.292091742857139</v>
      </c>
      <c r="H20" s="646">
        <f t="shared" si="11"/>
        <v>6.9292091742857137E-2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9" t="str">
        <f t="shared" si="4"/>
        <v/>
      </c>
      <c r="V20" s="651"/>
      <c r="W20" s="651"/>
      <c r="X20" s="651"/>
      <c r="Y20" s="651"/>
      <c r="Z20" s="652">
        <f>'Reagent Consumption'!O24</f>
        <v>300</v>
      </c>
      <c r="AA20" s="644">
        <f>'Fuel Consumption'!D17</f>
        <v>300</v>
      </c>
      <c r="AB20" s="652">
        <f>'Reagent Consumption'!Q24</f>
        <v>500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167.76500000000001</v>
      </c>
      <c r="D21" s="644">
        <f t="shared" si="9"/>
        <v>1860.2166000000002</v>
      </c>
      <c r="E21" s="645">
        <f>C21/I21</f>
        <v>20.927027027027027</v>
      </c>
      <c r="F21" s="646">
        <f>AVERAGE('Rom File Inventory'!T112:T120)</f>
        <v>1.1255555555555554</v>
      </c>
      <c r="G21" s="644">
        <f t="shared" si="10"/>
        <v>188.82882777777778</v>
      </c>
      <c r="H21" s="646">
        <f t="shared" si="11"/>
        <v>0.18882882777777776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9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500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50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240.43500000000003</v>
      </c>
      <c r="D22" s="644">
        <f t="shared" si="9"/>
        <v>2100.6516000000001</v>
      </c>
      <c r="E22" s="645">
        <f t="shared" si="8"/>
        <v>24.003494176372712</v>
      </c>
      <c r="F22" s="652">
        <f>AVERAGE('Rom File Inventory'!T121:T131)</f>
        <v>0.60627272727272719</v>
      </c>
      <c r="G22" s="644">
        <f t="shared" si="10"/>
        <v>145.76918318181819</v>
      </c>
      <c r="H22" s="646">
        <f t="shared" si="11"/>
        <v>0.1457691831818182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9" t="str">
        <f t="shared" si="4"/>
        <v/>
      </c>
      <c r="V22" s="651"/>
      <c r="W22" s="651"/>
      <c r="X22" s="651"/>
      <c r="Y22" s="651"/>
      <c r="Z22" s="652">
        <f>'Reagent Consumption'!O27</f>
        <v>100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53.820000000000007</v>
      </c>
      <c r="D23" s="644">
        <f t="shared" si="9"/>
        <v>2154.4716000000003</v>
      </c>
      <c r="E23" s="645">
        <f t="shared" si="8"/>
        <v>26.4688524590164</v>
      </c>
      <c r="F23" s="652">
        <f>AVERAGE('Rom File Inventory'!T132:T135)</f>
        <v>0.35349999999999998</v>
      </c>
      <c r="G23" s="644">
        <f t="shared" si="10"/>
        <v>19.025370000000002</v>
      </c>
      <c r="H23" s="646">
        <f t="shared" si="11"/>
        <v>1.9025370000000003E-2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9" t="str">
        <f t="shared" si="4"/>
        <v/>
      </c>
      <c r="V23" s="651"/>
      <c r="W23" s="651"/>
      <c r="X23" s="651"/>
      <c r="Y23" s="651"/>
      <c r="Z23" s="652">
        <f>'Reagent Consumption'!O28</f>
        <v>225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0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2154.4716000000003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9" t="str">
        <f t="shared" si="4"/>
        <v/>
      </c>
      <c r="V24" s="90"/>
      <c r="W24" s="90"/>
      <c r="X24" s="90"/>
      <c r="Y24" s="90"/>
      <c r="Z24" s="92">
        <f>'Reagent Consumption'!O29</f>
        <v>125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2154.4716000000003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9" t="str">
        <f t="shared" si="4"/>
        <v/>
      </c>
      <c r="V25" s="90"/>
      <c r="W25" s="90"/>
      <c r="X25" s="90"/>
      <c r="Y25" s="90"/>
      <c r="Z25" s="92">
        <f>'Reagent Consumption'!O30</f>
        <v>375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25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2154.4716000000003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9" t="str">
        <f t="shared" si="4"/>
        <v/>
      </c>
      <c r="V26" s="90"/>
      <c r="W26" s="90"/>
      <c r="X26" s="90"/>
      <c r="Y26" s="90"/>
      <c r="Z26" s="92">
        <f>'Reagent Consumption'!O31</f>
        <v>200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2154.4716000000003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9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2154.4716000000003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9" t="str">
        <f t="shared" si="4"/>
        <v/>
      </c>
      <c r="V28" s="90"/>
      <c r="W28" s="90"/>
      <c r="X28" s="90"/>
      <c r="Y28" s="90"/>
      <c r="Z28" s="92">
        <f>'Reagent Consumption'!O33</f>
        <v>275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325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25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2154.4716000000003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9" t="str">
        <f t="shared" si="4"/>
        <v/>
      </c>
      <c r="V29" s="90"/>
      <c r="W29" s="90"/>
      <c r="X29" s="90"/>
      <c r="Y29" s="90"/>
      <c r="Z29" s="92">
        <f>'Reagent Consumption'!O38</f>
        <v>0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0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2154.4716000000003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9" t="str">
        <f t="shared" si="4"/>
        <v/>
      </c>
      <c r="V30" s="90"/>
      <c r="W30" s="90"/>
      <c r="X30" s="90"/>
      <c r="Y30" s="90"/>
      <c r="Z30" s="92">
        <f>'Reagent Consumption'!O39</f>
        <v>0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2154.4716000000003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9" t="str">
        <f t="shared" si="4"/>
        <v/>
      </c>
      <c r="V31" s="90"/>
      <c r="W31" s="90"/>
      <c r="X31" s="90"/>
      <c r="Y31" s="90"/>
      <c r="Z31" s="92">
        <f>'Reagent Consumption'!O41</f>
        <v>175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2154.4716000000003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9" t="str">
        <f t="shared" si="4"/>
        <v/>
      </c>
      <c r="V32" s="90"/>
      <c r="W32" s="90"/>
      <c r="X32" s="90"/>
      <c r="Y32" s="90"/>
      <c r="Z32" s="92">
        <f>'Reagent Consumption'!O43</f>
        <v>250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0</v>
      </c>
      <c r="AE32" s="92">
        <f>'Reagent Consumption'!S43</f>
        <v>0</v>
      </c>
      <c r="AF32" s="92">
        <f>'Reagent Consumption'!T43</f>
        <v>50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2154.4716000000003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9" t="str">
        <f t="shared" si="4"/>
        <v/>
      </c>
      <c r="V33" s="90"/>
      <c r="W33" s="90"/>
      <c r="X33" s="90"/>
      <c r="Y33" s="90"/>
      <c r="Z33" s="132">
        <f>'Reagent Consumption'!O45</f>
        <v>125</v>
      </c>
      <c r="AA33" s="211">
        <f>'Fuel Consumption'!D30</f>
        <v>1278</v>
      </c>
      <c r="AB33" s="132">
        <f>'Reagent Consumption'!Q45</f>
        <v>0</v>
      </c>
      <c r="AC33" s="132">
        <f>'Reagent Consumption'!P45</f>
        <v>0</v>
      </c>
      <c r="AD33" s="132">
        <f>'Reagent Consumption'!R45</f>
        <v>0</v>
      </c>
      <c r="AE33" s="132">
        <f>'Reagent Consumption'!S45</f>
        <v>0</v>
      </c>
      <c r="AF33" s="132">
        <f>'Reagent Consumption'!T45</f>
        <v>0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73.125</v>
      </c>
      <c r="D34" s="644">
        <f t="shared" si="9"/>
        <v>2227.5966000000003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9" t="str">
        <f t="shared" si="4"/>
        <v/>
      </c>
      <c r="V34" s="651"/>
      <c r="W34" s="651"/>
      <c r="X34" s="651"/>
      <c r="Y34" s="660"/>
      <c r="Z34" s="666">
        <f>'Reagent Consumption'!O47</f>
        <v>675</v>
      </c>
      <c r="AA34" s="665">
        <f>'Fuel Consumption'!D31</f>
        <v>1099</v>
      </c>
      <c r="AB34" s="666">
        <f>'Reagent Consumption'!Q47</f>
        <v>0</v>
      </c>
      <c r="AC34" s="666">
        <f>'Reagent Consumption'!P47</f>
        <v>325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25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2227.5966000000003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9" t="str">
        <f t="shared" si="4"/>
        <v/>
      </c>
      <c r="V35" s="90"/>
      <c r="W35" s="90"/>
      <c r="X35" s="90"/>
      <c r="Y35" s="1050"/>
      <c r="Z35" s="214">
        <f>'Reagent Consumption'!O49</f>
        <v>175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328.77</v>
      </c>
      <c r="D36" s="664">
        <f t="shared" si="9"/>
        <v>2556.3666000000003</v>
      </c>
      <c r="E36" s="89" t="str">
        <f t="shared" si="12"/>
        <v/>
      </c>
      <c r="F36" s="935">
        <f>AVERAGE('Rom File Inventory'!$T$136:$T$147)</f>
        <v>0.52608333333333335</v>
      </c>
      <c r="G36" s="644">
        <f t="shared" si="10"/>
        <v>172.96041750000001</v>
      </c>
      <c r="H36" s="646">
        <f t="shared" si="11"/>
        <v>0.17296041750000002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9" t="str">
        <f t="shared" si="4"/>
        <v/>
      </c>
      <c r="V36" s="642"/>
      <c r="W36" s="642"/>
      <c r="X36" s="642"/>
      <c r="Y36" s="653"/>
      <c r="Z36" s="666">
        <f>'Reagent Consumption'!O51</f>
        <v>0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0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262.66500000000002</v>
      </c>
      <c r="D37" s="665">
        <f>D36+C37</f>
        <v>2819.0316000000003</v>
      </c>
      <c r="E37" s="89" t="str">
        <f t="shared" si="12"/>
        <v/>
      </c>
      <c r="F37" s="1002">
        <f>AVERAGE('Rom File Inventory'!T142:T155)</f>
        <v>0.62457142857142867</v>
      </c>
      <c r="G37" s="644">
        <f t="shared" si="10"/>
        <v>164.05305428571432</v>
      </c>
      <c r="H37" s="646">
        <f t="shared" si="11"/>
        <v>0.16405305428571432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9" t="str">
        <f t="shared" si="4"/>
        <v/>
      </c>
      <c r="V37" s="650"/>
      <c r="W37" s="650"/>
      <c r="X37" s="650"/>
      <c r="Y37" s="1051"/>
      <c r="Z37" s="666">
        <f>'Reagent Consumption'!O52</f>
        <v>150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4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2819.0316000000003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9" t="str">
        <f t="shared" si="4"/>
        <v/>
      </c>
      <c r="V38" s="94"/>
      <c r="W38" s="94"/>
      <c r="X38" s="94"/>
      <c r="Y38" s="1052"/>
      <c r="Z38" s="214">
        <f>'Reagent Consumption'!O54</f>
        <v>175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25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5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5" si="14">D38+C39</f>
        <v>2819.0316000000003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9" t="str">
        <f t="shared" si="4"/>
        <v/>
      </c>
      <c r="V39" s="94"/>
      <c r="W39" s="94"/>
      <c r="X39" s="94"/>
      <c r="Y39" s="1052"/>
      <c r="Z39" s="214">
        <f>'Reagent Consumption'!O56</f>
        <v>175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5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2819.0316000000003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9" t="str">
        <f t="shared" si="4"/>
        <v/>
      </c>
      <c r="V40" s="94"/>
      <c r="W40" s="94"/>
      <c r="X40" s="94"/>
      <c r="Y40" s="1052"/>
      <c r="Z40" s="214">
        <f>'Reagent Consumption'!O57</f>
        <v>0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5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2819.0316000000003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9" t="str">
        <f t="shared" si="4"/>
        <v/>
      </c>
      <c r="V41" s="94"/>
      <c r="W41" s="94"/>
      <c r="X41" s="94"/>
      <c r="Y41" s="1052"/>
      <c r="Z41" s="214">
        <f>'Reagent Consumption'!O58</f>
        <v>0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5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201.24</v>
      </c>
      <c r="D42" s="212">
        <f t="shared" si="14"/>
        <v>3020.2716</v>
      </c>
      <c r="E42" s="89" t="str">
        <f t="shared" si="12"/>
        <v/>
      </c>
      <c r="F42" s="1048">
        <f>F43</f>
        <v>0.58594117647058819</v>
      </c>
      <c r="G42" s="88">
        <f t="shared" si="10"/>
        <v>117.91480235294117</v>
      </c>
      <c r="H42" s="129">
        <f t="shared" si="11"/>
        <v>0.11791480235294116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9" t="str">
        <f t="shared" si="4"/>
        <v/>
      </c>
      <c r="V42" s="94"/>
      <c r="W42" s="94"/>
      <c r="X42" s="94"/>
      <c r="Y42" s="1052"/>
      <c r="Z42" s="214">
        <f>'Reagent Consumption'!O59</f>
        <v>0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5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324.20960000000002</v>
      </c>
      <c r="D43" s="212">
        <f>D42+C43</f>
        <v>3344.4812000000002</v>
      </c>
      <c r="E43" s="89" t="str">
        <f t="shared" si="12"/>
        <v/>
      </c>
      <c r="F43" s="1048">
        <f>AVERAGE('Rom File Inventory'!T150:T166)</f>
        <v>0.58594117647058819</v>
      </c>
      <c r="G43" s="88">
        <f t="shared" si="10"/>
        <v>189.96775444705881</v>
      </c>
      <c r="H43" s="129">
        <f t="shared" si="11"/>
        <v>0.1899677544470588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9" t="str">
        <f t="shared" si="4"/>
        <v/>
      </c>
      <c r="V43" s="94"/>
      <c r="W43" s="94"/>
      <c r="X43" s="94"/>
      <c r="Y43" s="1052"/>
      <c r="Z43" s="214">
        <f>'Reagent Consumption'!O60</f>
        <v>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100</v>
      </c>
      <c r="AE43" s="214">
        <f>'Reagent Consumption'!S60</f>
        <v>7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5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209.989</v>
      </c>
      <c r="D44" s="212">
        <f t="shared" si="14"/>
        <v>3554.4702000000002</v>
      </c>
      <c r="E44" s="89" t="str">
        <f t="shared" si="12"/>
        <v/>
      </c>
      <c r="F44" s="1048">
        <f>IFERROR(AVERAGE('Rom File Inventory'!T167:T179),"")</f>
        <v>0.86646153846153839</v>
      </c>
      <c r="G44" s="88">
        <f>IFERROR(F44*C44,"")</f>
        <v>181.94739199999998</v>
      </c>
      <c r="H44" s="129">
        <f>IFERROR(G44/1000,"")</f>
        <v>0.18194739199999999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9" t="str">
        <f t="shared" si="4"/>
        <v/>
      </c>
      <c r="V44" s="94"/>
      <c r="W44" s="94"/>
      <c r="X44" s="94"/>
      <c r="Y44" s="1052"/>
      <c r="Z44" s="214">
        <f>'Reagent Consumption'!O61</f>
        <v>175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5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3802.9002</v>
      </c>
      <c r="E45" s="89" t="str">
        <f t="shared" si="12"/>
        <v/>
      </c>
      <c r="F45" s="1048">
        <f>AVERAGE('Rom File Inventory'!T180:T189)</f>
        <v>0.74890000000000001</v>
      </c>
      <c r="G45" s="88">
        <f t="shared" si="10"/>
        <v>186.049227</v>
      </c>
      <c r="H45" s="129">
        <f t="shared" si="11"/>
        <v>0.18604922700000001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9" t="str">
        <f t="shared" si="4"/>
        <v/>
      </c>
      <c r="V45" s="94"/>
      <c r="W45" s="94"/>
      <c r="X45" s="94"/>
      <c r="Y45" s="1052"/>
      <c r="Z45" s="214">
        <f>'Reagent Consumption'!O63</f>
        <v>0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5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3936.2802000000001</v>
      </c>
      <c r="E46" s="89" t="str">
        <f t="shared" si="12"/>
        <v/>
      </c>
      <c r="F46" s="1048">
        <f>AVERAGE('Rom File Inventory'!T190:T193)</f>
        <v>1.21225</v>
      </c>
      <c r="G46" s="88">
        <f t="shared" si="10"/>
        <v>161.68990500000004</v>
      </c>
      <c r="H46" s="129">
        <f t="shared" si="11"/>
        <v>0.16168990500000005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9" t="str">
        <f t="shared" si="4"/>
        <v/>
      </c>
      <c r="V46" s="94"/>
      <c r="W46" s="94"/>
      <c r="X46" s="94"/>
      <c r="Y46" s="1052"/>
      <c r="Z46" s="214">
        <f>'Reagent Consumption'!O64</f>
        <v>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5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4338.9162000000006</v>
      </c>
      <c r="E47" s="89" t="str">
        <f t="shared" si="12"/>
        <v/>
      </c>
      <c r="F47" s="1048">
        <f>AVERAGE('Rom File Inventory'!T194:T205)</f>
        <v>0.73433333333333328</v>
      </c>
      <c r="G47" s="88">
        <f t="shared" si="10"/>
        <v>295.66903600000006</v>
      </c>
      <c r="H47" s="129">
        <f t="shared" si="11"/>
        <v>0.29566903600000005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9" t="str">
        <f t="shared" si="4"/>
        <v/>
      </c>
      <c r="V47" s="94"/>
      <c r="W47" s="94"/>
      <c r="X47" s="94"/>
      <c r="Y47" s="1052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5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4558.8372000000008</v>
      </c>
      <c r="E48" s="89">
        <f t="shared" si="12"/>
        <v>3.3346626231993937</v>
      </c>
      <c r="F48" s="1048">
        <f>AVERAGE('Rom File Inventory'!T207:T210)</f>
        <v>0.65225</v>
      </c>
      <c r="G48" s="88">
        <f t="shared" si="10"/>
        <v>143.44347225000001</v>
      </c>
      <c r="H48" s="129">
        <f t="shared" si="11"/>
        <v>0.14344347225000001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9" t="str">
        <f t="shared" si="4"/>
        <v/>
      </c>
      <c r="V48" s="94"/>
      <c r="W48" s="94"/>
      <c r="X48" s="94"/>
      <c r="Y48" s="1052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5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4558.8372000000008</v>
      </c>
      <c r="E49" s="1041">
        <f t="shared" si="12"/>
        <v>0</v>
      </c>
      <c r="F49" s="402"/>
      <c r="G49" s="211">
        <f t="shared" si="10"/>
        <v>0</v>
      </c>
      <c r="H49" s="1042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9" t="str">
        <f t="shared" si="4"/>
        <v/>
      </c>
      <c r="V49" s="402"/>
      <c r="W49" s="402"/>
      <c r="X49" s="402"/>
      <c r="Y49" s="1053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6"/>
      <c r="AQ49" s="402"/>
      <c r="AR49" s="74"/>
      <c r="AS49" s="74"/>
    </row>
    <row r="50" spans="1:45" ht="14.4" x14ac:dyDescent="0.3">
      <c r="A50" s="74"/>
      <c r="B50" s="1040">
        <v>46291</v>
      </c>
      <c r="C50" s="212"/>
      <c r="D50" s="401">
        <f>D49+C50</f>
        <v>4558.8372000000008</v>
      </c>
      <c r="E50" s="213"/>
      <c r="F50" s="94"/>
      <c r="G50" s="212"/>
      <c r="H50" s="1048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9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40">
        <v>46292</v>
      </c>
      <c r="C51" s="212"/>
      <c r="D51" s="401">
        <f t="shared" si="14"/>
        <v>4558.8372000000008</v>
      </c>
      <c r="E51" s="213"/>
      <c r="F51" s="94"/>
      <c r="G51" s="212"/>
      <c r="H51" s="1048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9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9">
        <v>46293</v>
      </c>
      <c r="C52" s="212"/>
      <c r="D52" s="401">
        <f t="shared" si="14"/>
        <v>4558.8372000000008</v>
      </c>
      <c r="E52" s="213"/>
      <c r="F52" s="94"/>
      <c r="G52" s="212"/>
      <c r="H52" s="1048"/>
      <c r="I52" s="212"/>
      <c r="J52" s="212"/>
      <c r="K52" s="105"/>
      <c r="L52" s="91">
        <f>'Milling Down Time Hours'!R33</f>
        <v>0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9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40">
        <v>46294</v>
      </c>
      <c r="C53" s="212"/>
      <c r="D53" s="401">
        <f t="shared" si="14"/>
        <v>4558.8372000000008</v>
      </c>
      <c r="E53" s="213"/>
      <c r="F53" s="94"/>
      <c r="G53" s="212"/>
      <c r="H53" s="1048"/>
      <c r="I53" s="212"/>
      <c r="J53" s="212"/>
      <c r="K53" s="105"/>
      <c r="L53" s="91">
        <f>'Milling Down Time Hours'!R34</f>
        <v>0</v>
      </c>
      <c r="M53" s="93">
        <v>1</v>
      </c>
      <c r="N53" s="91">
        <f t="shared" si="13"/>
        <v>0</v>
      </c>
      <c r="O53" s="94"/>
      <c r="P53" s="94"/>
      <c r="Q53" s="402"/>
      <c r="R53" s="402"/>
      <c r="S53" s="402"/>
      <c r="T53" s="404"/>
      <c r="U53" s="1049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40">
        <v>46295</v>
      </c>
      <c r="C54" s="212"/>
      <c r="D54" s="401">
        <f t="shared" si="14"/>
        <v>4558.8372000000008</v>
      </c>
      <c r="E54" s="213"/>
      <c r="F54" s="94"/>
      <c r="G54" s="212"/>
      <c r="H54" s="1048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9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40">
        <v>46296</v>
      </c>
      <c r="C55" s="212"/>
      <c r="D55" s="401">
        <f t="shared" si="14"/>
        <v>4558.8372000000008</v>
      </c>
      <c r="E55" s="213"/>
      <c r="F55" s="94"/>
      <c r="G55" s="212"/>
      <c r="H55" s="1048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9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405" t="s">
        <v>17</v>
      </c>
      <c r="C56" s="1043">
        <f>SUM(C7:C49)</f>
        <v>4558.8372000000008</v>
      </c>
      <c r="D56" s="1044"/>
      <c r="E56" s="1044"/>
      <c r="F56" s="1044"/>
      <c r="G56" s="1043">
        <f>SUM(G7:G49)</f>
        <v>3357.6483728381672</v>
      </c>
      <c r="H56" s="1045">
        <f>SUM(H7:H37)</f>
        <v>2.0809667837881678</v>
      </c>
      <c r="I56" s="416">
        <f>'Crushing Down Time Hours'!L45</f>
        <v>0</v>
      </c>
      <c r="J56" s="1043"/>
      <c r="K56" s="1046"/>
      <c r="L56" s="1047"/>
      <c r="M56" s="1047"/>
      <c r="N56" s="1046"/>
      <c r="O56" s="1047">
        <f t="shared" ref="O56:Y56" si="15">SUM(O7:O36)</f>
        <v>0</v>
      </c>
      <c r="P56" s="1047">
        <f>SUM(P7:P36)</f>
        <v>0</v>
      </c>
      <c r="Q56" s="407">
        <f t="shared" si="15"/>
        <v>0</v>
      </c>
      <c r="R56" s="407"/>
      <c r="S56" s="407"/>
      <c r="T56" s="413">
        <f t="shared" ref="T56" si="16">R56-S56</f>
        <v>0</v>
      </c>
      <c r="U56" s="406"/>
      <c r="V56" s="407">
        <f t="shared" si="15"/>
        <v>0</v>
      </c>
      <c r="W56" s="407">
        <f t="shared" si="15"/>
        <v>0</v>
      </c>
      <c r="X56" s="407">
        <f t="shared" si="15"/>
        <v>0</v>
      </c>
      <c r="Y56" s="407">
        <f t="shared" si="15"/>
        <v>0</v>
      </c>
      <c r="Z56" s="407">
        <f>SUM(Z7:Z49)</f>
        <v>5800</v>
      </c>
      <c r="AA56" s="407"/>
      <c r="AB56" s="408">
        <f>SUM(AB7:AB49)</f>
        <v>3000</v>
      </c>
      <c r="AC56" s="408">
        <f>SUM(AC7:AC49)</f>
        <v>4150</v>
      </c>
      <c r="AD56" s="408"/>
      <c r="AE56" s="408"/>
      <c r="AF56" s="407">
        <f>SUM(AF7:AF49)</f>
        <v>325</v>
      </c>
      <c r="AG56" s="407">
        <f>SUM(AG7:AG37)</f>
        <v>33194</v>
      </c>
      <c r="AH56" s="407"/>
      <c r="AI56" s="407"/>
      <c r="AJ56" s="407"/>
      <c r="AK56" s="407"/>
      <c r="AL56" s="407"/>
      <c r="AM56" s="407"/>
      <c r="AN56" s="408"/>
      <c r="AO56" s="407"/>
      <c r="AP56" s="407"/>
      <c r="AQ56" s="407"/>
      <c r="AR56" s="74"/>
      <c r="AS56" s="74"/>
    </row>
    <row r="57" spans="1:45" ht="14.4" x14ac:dyDescent="0.3">
      <c r="A57" s="74"/>
      <c r="B57" s="414" t="s">
        <v>121</v>
      </c>
      <c r="C57" s="409">
        <f>AVERAGE(C7:C15)</f>
        <v>155.81916666666666</v>
      </c>
      <c r="D57" s="409"/>
      <c r="E57" s="409">
        <f>AVERAGE(E7:E15)</f>
        <v>19.543654508617081</v>
      </c>
      <c r="F57" s="411">
        <f>AVERAGE(F7:F55)</f>
        <v>0.81829133980992264</v>
      </c>
      <c r="G57" s="409">
        <f>AVERAGE(G7:G37)</f>
        <v>67.127960767360221</v>
      </c>
      <c r="H57" s="409">
        <f>AVERAGE(H8:H36)</f>
        <v>6.6100473431119092E-2</v>
      </c>
      <c r="I57" s="409">
        <f>AVERAGE(I7:I15)</f>
        <v>9.1291666666666664</v>
      </c>
      <c r="J57" s="409"/>
      <c r="K57" s="412">
        <f>AVERAGE(K7:K17)</f>
        <v>0.6261904761904763</v>
      </c>
      <c r="L57" s="412">
        <f>AVERAGE(L8:L49)</f>
        <v>0.41653439153439153</v>
      </c>
      <c r="M57" s="412">
        <f>AVERAGE(M8:M36)</f>
        <v>1</v>
      </c>
      <c r="N57" s="412">
        <f>AVERAGE(N8:N45)</f>
        <v>0.37258771929824563</v>
      </c>
      <c r="O57" s="409" t="str">
        <f>IFERROR(AVERAGE(O8:O36),"")</f>
        <v/>
      </c>
      <c r="P57" s="409" t="str">
        <f>IFERROR(AVERAGE(P8:P36),"")</f>
        <v/>
      </c>
      <c r="Q57" s="409" t="str">
        <f>IFERROR(AVERAGE(Q8:Q36),"")</f>
        <v/>
      </c>
      <c r="R57" s="409"/>
      <c r="S57" s="409"/>
      <c r="T57" s="409"/>
      <c r="U57" s="415"/>
      <c r="V57" s="409" t="e">
        <f t="shared" ref="V57:AC57" si="17">AVERAGE(V8:V36)</f>
        <v>#DIV/0!</v>
      </c>
      <c r="W57" s="409" t="e">
        <f t="shared" si="17"/>
        <v>#DIV/0!</v>
      </c>
      <c r="X57" s="409" t="e">
        <f t="shared" si="17"/>
        <v>#DIV/0!</v>
      </c>
      <c r="Y57" s="409" t="e">
        <f t="shared" si="17"/>
        <v>#DIV/0!</v>
      </c>
      <c r="Z57" s="410">
        <f t="shared" si="17"/>
        <v>176.72413793103448</v>
      </c>
      <c r="AA57" s="409">
        <f t="shared" si="17"/>
        <v>1060.8620689655172</v>
      </c>
      <c r="AB57" s="409">
        <f t="shared" si="17"/>
        <v>103.44827586206897</v>
      </c>
      <c r="AC57" s="410">
        <f t="shared" si="17"/>
        <v>143.10344827586206</v>
      </c>
      <c r="AD57" s="410"/>
      <c r="AE57" s="410"/>
      <c r="AF57" s="409">
        <f>AVERAGE(AF8:AF36)</f>
        <v>10.344827586206897</v>
      </c>
      <c r="AG57" s="409"/>
      <c r="AH57" s="409"/>
      <c r="AI57" s="409"/>
      <c r="AJ57" s="409"/>
      <c r="AK57" s="409"/>
      <c r="AL57" s="409"/>
      <c r="AM57" s="409"/>
      <c r="AN57" s="409"/>
      <c r="AO57" s="409"/>
      <c r="AP57" s="409"/>
      <c r="AQ57" s="409"/>
      <c r="AR57" s="74"/>
      <c r="AS57" s="74"/>
    </row>
    <row r="58" spans="1:45" ht="14.4" x14ac:dyDescent="0.3">
      <c r="C58" s="75"/>
      <c r="D58" s="76"/>
      <c r="E58" s="76"/>
      <c r="I58" s="75"/>
      <c r="J58" s="75"/>
      <c r="K58" s="76"/>
      <c r="L58" s="76"/>
      <c r="M58" s="76"/>
    </row>
    <row r="59" spans="1:45" ht="14.4" x14ac:dyDescent="0.3">
      <c r="C59" s="75"/>
      <c r="D59" s="76"/>
      <c r="E59" s="392" t="s">
        <v>201</v>
      </c>
      <c r="F59" s="391">
        <f>MEDIAN(F7:F49)</f>
        <v>0.70261111111111108</v>
      </c>
      <c r="I59" s="75"/>
      <c r="J59" s="75"/>
      <c r="K59" s="76"/>
      <c r="L59" s="76"/>
      <c r="M59" s="76"/>
    </row>
    <row r="60" spans="1:45" ht="14.4" x14ac:dyDescent="0.3">
      <c r="C60" s="75"/>
      <c r="D60" s="76"/>
      <c r="E60" s="392" t="s">
        <v>202</v>
      </c>
      <c r="F60" s="120">
        <f>MAX(F7:F17)</f>
        <v>1.45</v>
      </c>
      <c r="I60" s="75"/>
      <c r="J60" s="75"/>
      <c r="K60" s="76"/>
      <c r="L60" s="76"/>
      <c r="M60" s="76"/>
      <c r="W60" s="1221" t="s">
        <v>204</v>
      </c>
      <c r="X60" s="1221"/>
    </row>
    <row r="61" spans="1:45" ht="14.4" x14ac:dyDescent="0.3">
      <c r="C61" s="75"/>
      <c r="D61" s="76"/>
      <c r="E61" s="392" t="s">
        <v>203</v>
      </c>
      <c r="F61" s="120">
        <f>MIN(F7,F9:F19)</f>
        <v>0.442</v>
      </c>
      <c r="I61" s="75"/>
      <c r="J61" s="75"/>
      <c r="K61" s="76"/>
      <c r="L61" s="76"/>
      <c r="M61" s="76"/>
      <c r="W61" s="145" t="s">
        <v>205</v>
      </c>
      <c r="X61" s="146">
        <f>F59</f>
        <v>0.70261111111111108</v>
      </c>
    </row>
    <row r="62" spans="1:45" ht="43.2" x14ac:dyDescent="0.3">
      <c r="C62" s="75"/>
      <c r="D62" s="76"/>
      <c r="E62" s="76"/>
      <c r="G62" s="373" t="s">
        <v>195</v>
      </c>
      <c r="I62" s="75"/>
      <c r="J62" s="75"/>
      <c r="K62" s="76"/>
      <c r="L62" s="76"/>
      <c r="M62" s="76"/>
      <c r="W62" s="145" t="s">
        <v>121</v>
      </c>
      <c r="X62" s="146">
        <f>F57</f>
        <v>0.81829133980992264</v>
      </c>
      <c r="AI62">
        <f>0.6*1.4</f>
        <v>0.84</v>
      </c>
    </row>
    <row r="63" spans="1:45" ht="43.2" x14ac:dyDescent="0.3">
      <c r="C63" s="75"/>
      <c r="D63" s="76"/>
      <c r="E63" s="144"/>
      <c r="F63" s="393" t="s">
        <v>411</v>
      </c>
      <c r="G63" s="394">
        <f>G56/C56</f>
        <v>0.73651420867544171</v>
      </c>
      <c r="H63" s="1135"/>
      <c r="I63" s="75"/>
      <c r="J63" s="75"/>
      <c r="K63" s="76"/>
      <c r="L63" s="76"/>
      <c r="M63" s="76"/>
      <c r="W63" s="145" t="s">
        <v>203</v>
      </c>
      <c r="X63" s="146">
        <f>F61</f>
        <v>0.442</v>
      </c>
    </row>
    <row r="64" spans="1:45" ht="14.4" x14ac:dyDescent="0.3">
      <c r="C64" s="75"/>
      <c r="D64" s="76"/>
      <c r="E64" s="76"/>
      <c r="H64" s="1135"/>
      <c r="I64" s="75"/>
      <c r="J64" s="75"/>
      <c r="K64" s="76"/>
      <c r="L64" s="76"/>
      <c r="M64" s="76"/>
      <c r="W64" s="145" t="s">
        <v>202</v>
      </c>
      <c r="X64" s="146">
        <f>F60</f>
        <v>1.45</v>
      </c>
    </row>
    <row r="65" spans="3:24" ht="14.4" x14ac:dyDescent="0.3">
      <c r="C65" s="75"/>
      <c r="D65" s="76"/>
      <c r="E65" s="76"/>
      <c r="I65" s="75"/>
      <c r="J65" s="75"/>
      <c r="K65" s="76"/>
      <c r="L65" s="76"/>
      <c r="M65" s="76"/>
    </row>
    <row r="66" spans="3:24" ht="14.4" x14ac:dyDescent="0.3">
      <c r="C66" s="75"/>
      <c r="D66" s="144"/>
      <c r="E66" s="76"/>
      <c r="I66" s="75"/>
      <c r="J66" s="75"/>
      <c r="K66" s="76"/>
      <c r="L66" s="76"/>
      <c r="M66" s="76"/>
      <c r="W66" s="1221" t="s">
        <v>206</v>
      </c>
      <c r="X66" s="1221"/>
    </row>
    <row r="67" spans="3:24" ht="14.4" x14ac:dyDescent="0.3">
      <c r="C67" s="75"/>
      <c r="D67" s="76"/>
      <c r="E67" s="76"/>
      <c r="I67" s="75"/>
      <c r="J67" s="75"/>
      <c r="K67" s="76"/>
      <c r="L67" s="76"/>
      <c r="M67" s="76"/>
      <c r="W67" s="145" t="s">
        <v>207</v>
      </c>
      <c r="X67" s="113">
        <f>C57</f>
        <v>155.81916666666666</v>
      </c>
    </row>
    <row r="68" spans="3:24" ht="14.4" x14ac:dyDescent="0.3">
      <c r="C68" s="75"/>
      <c r="D68" s="76"/>
      <c r="E68" s="76"/>
      <c r="I68" s="75"/>
      <c r="J68" s="75"/>
      <c r="K68" s="76"/>
      <c r="L68" s="76"/>
      <c r="M68" s="76"/>
      <c r="W68" s="145" t="s">
        <v>36</v>
      </c>
      <c r="X68" s="113">
        <f>E57</f>
        <v>19.543654508617081</v>
      </c>
    </row>
    <row r="69" spans="3:24" ht="14.4" x14ac:dyDescent="0.3">
      <c r="C69" s="75"/>
      <c r="D69" s="76"/>
      <c r="E69" s="76"/>
      <c r="I69" s="75"/>
      <c r="J69" s="75"/>
      <c r="K69" s="76"/>
      <c r="L69" s="76"/>
      <c r="M69" s="76"/>
    </row>
    <row r="70" spans="3:24" ht="14.4" x14ac:dyDescent="0.3">
      <c r="C70" s="75"/>
      <c r="D70" s="76"/>
      <c r="E70" s="76"/>
      <c r="I70" s="75"/>
      <c r="J70" s="75"/>
      <c r="K70" s="76"/>
      <c r="L70" s="76"/>
      <c r="M70" s="76"/>
    </row>
    <row r="71" spans="3:24" ht="14.4" x14ac:dyDescent="0.3">
      <c r="C71" s="75"/>
      <c r="D71" s="76"/>
      <c r="E71" s="76"/>
      <c r="I71" s="75"/>
      <c r="J71" s="75"/>
      <c r="K71" s="76"/>
      <c r="L71" s="76"/>
      <c r="M71" s="76"/>
    </row>
    <row r="72" spans="3:24" ht="14.4" x14ac:dyDescent="0.3">
      <c r="C72" s="75"/>
      <c r="D72" s="76"/>
      <c r="E72" s="76"/>
      <c r="I72" s="75"/>
      <c r="J72" s="75"/>
      <c r="K72" s="76"/>
      <c r="L72" s="76"/>
      <c r="M72" s="76"/>
    </row>
    <row r="73" spans="3:24" ht="14.4" x14ac:dyDescent="0.3">
      <c r="C73" s="75"/>
      <c r="D73" s="76"/>
      <c r="E73" s="76"/>
      <c r="I73" s="75"/>
      <c r="J73" s="75"/>
      <c r="K73" s="76"/>
      <c r="L73" s="76"/>
      <c r="M73" s="76"/>
    </row>
    <row r="74" spans="3:24" ht="14.4" x14ac:dyDescent="0.3">
      <c r="C74" s="75"/>
      <c r="D74" s="76"/>
      <c r="E74" s="76"/>
      <c r="I74" s="75"/>
      <c r="J74" s="75"/>
      <c r="K74" s="76"/>
      <c r="L74" s="76"/>
      <c r="M74" s="76"/>
    </row>
    <row r="75" spans="3:24" ht="14.4" x14ac:dyDescent="0.3">
      <c r="C75" s="75"/>
      <c r="D75" s="76"/>
      <c r="E75" s="76"/>
      <c r="I75" s="75"/>
      <c r="J75" s="75"/>
      <c r="K75" s="76"/>
      <c r="L75" s="76"/>
      <c r="M75" s="76"/>
    </row>
    <row r="76" spans="3:24" ht="14.4" x14ac:dyDescent="0.3">
      <c r="C76" s="75"/>
      <c r="D76" s="76"/>
      <c r="E76" s="76"/>
      <c r="I76" s="75"/>
      <c r="J76" s="75"/>
      <c r="K76" s="76"/>
      <c r="L76" s="76"/>
      <c r="M76" s="76"/>
    </row>
    <row r="77" spans="3:24" ht="14.4" x14ac:dyDescent="0.3">
      <c r="C77" s="75"/>
      <c r="D77" s="76"/>
      <c r="E77" s="76"/>
      <c r="I77" s="75"/>
      <c r="J77" s="75"/>
      <c r="K77" s="76"/>
      <c r="L77" s="76"/>
      <c r="M77" s="76"/>
    </row>
    <row r="78" spans="3:24" ht="14.4" x14ac:dyDescent="0.3">
      <c r="C78" s="75"/>
      <c r="D78" s="76"/>
      <c r="E78" s="76"/>
      <c r="I78" s="75"/>
      <c r="J78" s="75"/>
      <c r="K78" s="76"/>
      <c r="L78" s="76"/>
      <c r="M78" s="76"/>
    </row>
    <row r="79" spans="3:24" ht="14.4" x14ac:dyDescent="0.3">
      <c r="C79" s="75"/>
      <c r="D79" s="76"/>
      <c r="E79" s="76"/>
      <c r="I79" s="75"/>
      <c r="J79" s="75"/>
      <c r="K79" s="76"/>
      <c r="L79" s="76"/>
      <c r="M79" s="76"/>
    </row>
    <row r="80" spans="3:24" ht="14.4" x14ac:dyDescent="0.3">
      <c r="C80" s="75"/>
      <c r="D80" s="76"/>
      <c r="E80" s="76"/>
      <c r="I80" s="75"/>
      <c r="J80" s="75"/>
      <c r="K80" s="76"/>
      <c r="L80" s="76"/>
      <c r="M80" s="76"/>
    </row>
    <row r="81" spans="3:13" ht="14.4" x14ac:dyDescent="0.3">
      <c r="C81" s="75"/>
      <c r="D81" s="76"/>
      <c r="E81" s="76"/>
      <c r="I81" s="75"/>
      <c r="J81" s="75"/>
      <c r="K81" s="76"/>
      <c r="L81" s="76"/>
      <c r="M81" s="76"/>
    </row>
    <row r="82" spans="3:13" ht="14.4" x14ac:dyDescent="0.3">
      <c r="C82" s="75"/>
      <c r="D82" s="76"/>
      <c r="E82" s="76"/>
      <c r="I82" s="75"/>
      <c r="J82" s="75"/>
      <c r="K82" s="76"/>
      <c r="L82" s="76"/>
      <c r="M82" s="76"/>
    </row>
    <row r="83" spans="3:13" ht="14.4" x14ac:dyDescent="0.3">
      <c r="C83" s="75"/>
      <c r="D83" s="76"/>
      <c r="E83" s="76"/>
      <c r="I83" s="75"/>
      <c r="J83" s="75"/>
      <c r="K83" s="76"/>
      <c r="L83" s="76"/>
      <c r="M83" s="76"/>
    </row>
    <row r="84" spans="3:13" ht="14.4" x14ac:dyDescent="0.3">
      <c r="C84" s="75"/>
      <c r="D84" s="76"/>
      <c r="E84" s="76"/>
      <c r="I84" s="75"/>
      <c r="J84" s="75"/>
      <c r="K84" s="76"/>
      <c r="L84" s="76"/>
      <c r="M84" s="76"/>
    </row>
    <row r="85" spans="3:13" ht="14.4" x14ac:dyDescent="0.3">
      <c r="C85" s="75"/>
      <c r="D85" s="76"/>
      <c r="E85" s="76"/>
      <c r="I85" s="75"/>
      <c r="J85" s="75"/>
      <c r="K85" s="76"/>
      <c r="L85" s="76"/>
      <c r="M85" s="76"/>
    </row>
    <row r="86" spans="3:13" ht="14.4" x14ac:dyDescent="0.3">
      <c r="C86" s="75"/>
      <c r="D86" s="76"/>
      <c r="E86" s="76"/>
      <c r="I86" s="75"/>
      <c r="J86" s="75"/>
      <c r="K86" s="76"/>
      <c r="L86" s="76"/>
      <c r="M86" s="76"/>
    </row>
    <row r="87" spans="3:13" ht="14.4" x14ac:dyDescent="0.3">
      <c r="C87" s="75"/>
      <c r="D87" s="76"/>
      <c r="E87" s="76"/>
      <c r="I87" s="75"/>
      <c r="J87" s="75"/>
      <c r="K87" s="76"/>
      <c r="L87" s="76"/>
      <c r="M87" s="76"/>
    </row>
    <row r="88" spans="3:13" ht="14.4" x14ac:dyDescent="0.3">
      <c r="C88" s="75"/>
      <c r="D88" s="76"/>
      <c r="E88" s="76"/>
      <c r="I88" s="75"/>
      <c r="J88" s="75"/>
      <c r="K88" s="76"/>
      <c r="L88" s="76"/>
      <c r="M88" s="76"/>
    </row>
    <row r="89" spans="3:13" ht="14.4" x14ac:dyDescent="0.3">
      <c r="C89" s="75"/>
      <c r="D89" s="76"/>
      <c r="E89" s="76"/>
      <c r="I89" s="75"/>
      <c r="J89" s="75"/>
      <c r="K89" s="76"/>
      <c r="L89" s="76"/>
      <c r="M89" s="76"/>
    </row>
    <row r="90" spans="3:13" ht="14.4" x14ac:dyDescent="0.3">
      <c r="C90" s="75"/>
      <c r="D90" s="76"/>
      <c r="E90" s="76"/>
      <c r="I90" s="75"/>
      <c r="J90" s="75"/>
      <c r="K90" s="76"/>
      <c r="L90" s="76"/>
      <c r="M90" s="76"/>
    </row>
    <row r="91" spans="3:13" ht="14.4" x14ac:dyDescent="0.3">
      <c r="C91" s="75"/>
      <c r="D91" s="76"/>
      <c r="E91" s="76"/>
      <c r="I91" s="75"/>
      <c r="J91" s="75"/>
      <c r="K91" s="76"/>
      <c r="L91" s="76"/>
      <c r="M91" s="76"/>
    </row>
    <row r="92" spans="3:13" ht="14.4" x14ac:dyDescent="0.3">
      <c r="C92" s="75"/>
      <c r="D92" s="76"/>
      <c r="E92" s="76"/>
      <c r="I92" s="75"/>
      <c r="J92" s="75"/>
      <c r="K92" s="76"/>
      <c r="L92" s="76"/>
      <c r="M92" s="76"/>
    </row>
    <row r="93" spans="3:13" ht="14.4" x14ac:dyDescent="0.3">
      <c r="C93" s="75"/>
      <c r="D93" s="76"/>
      <c r="E93" s="76"/>
      <c r="I93" s="75"/>
      <c r="J93" s="75"/>
      <c r="K93" s="76"/>
      <c r="L93" s="76"/>
      <c r="M93" s="76"/>
    </row>
    <row r="94" spans="3:13" ht="14.4" x14ac:dyDescent="0.3">
      <c r="C94" s="75"/>
      <c r="D94" s="76"/>
      <c r="E94" s="76"/>
      <c r="I94" s="75"/>
      <c r="J94" s="75"/>
      <c r="K94" s="76"/>
      <c r="L94" s="76"/>
      <c r="M94" s="76"/>
    </row>
    <row r="95" spans="3:13" ht="14.4" x14ac:dyDescent="0.3">
      <c r="C95" s="75"/>
      <c r="D95" s="76"/>
      <c r="E95" s="76"/>
      <c r="I95" s="75"/>
      <c r="J95" s="75"/>
      <c r="K95" s="76"/>
      <c r="L95" s="76"/>
      <c r="M95" s="76"/>
    </row>
    <row r="96" spans="3:13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</sheetData>
  <mergeCells count="15">
    <mergeCell ref="B5:B6"/>
    <mergeCell ref="C5:H5"/>
    <mergeCell ref="I5:I6"/>
    <mergeCell ref="K5:M5"/>
    <mergeCell ref="N5:N6"/>
    <mergeCell ref="J5:J6"/>
    <mergeCell ref="W60:X60"/>
    <mergeCell ref="W66:X6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71"/>
  <sheetViews>
    <sheetView zoomScale="88" zoomScaleNormal="100"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I19" sqref="I19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242" t="s">
        <v>279</v>
      </c>
      <c r="C1" s="1242"/>
      <c r="D1" s="1242"/>
      <c r="E1" s="1242"/>
      <c r="F1" s="1242"/>
      <c r="G1" s="1242"/>
      <c r="H1" s="1242"/>
      <c r="I1" s="1242"/>
      <c r="J1" s="1242"/>
      <c r="K1" s="1242"/>
      <c r="L1" s="1242"/>
      <c r="M1" s="1242"/>
      <c r="N1" s="1242"/>
      <c r="O1" s="1242"/>
      <c r="P1" s="1242"/>
      <c r="Q1" s="1242"/>
      <c r="R1" s="1242"/>
      <c r="S1" s="1242"/>
    </row>
    <row r="2" spans="1:42" ht="18" x14ac:dyDescent="0.35">
      <c r="B2" s="1242" t="s">
        <v>280</v>
      </c>
      <c r="C2" s="1242"/>
      <c r="D2" s="1242"/>
      <c r="E2" s="1242"/>
      <c r="F2" s="1242"/>
      <c r="G2" s="1242"/>
      <c r="H2" s="1242"/>
      <c r="I2" s="1242"/>
      <c r="J2" s="1242"/>
      <c r="K2" s="1242"/>
      <c r="L2" s="1242"/>
      <c r="M2" s="1242"/>
      <c r="N2" s="1242"/>
      <c r="O2" s="1242"/>
      <c r="P2" s="1242"/>
      <c r="Q2" s="1242"/>
      <c r="R2" s="1242"/>
      <c r="S2" s="1242"/>
    </row>
    <row r="3" spans="1:42" ht="18" x14ac:dyDescent="0.35">
      <c r="B3" s="1242" t="s">
        <v>281</v>
      </c>
      <c r="C3" s="1242"/>
      <c r="D3" s="1242"/>
      <c r="E3" s="1242"/>
      <c r="F3" s="1242"/>
      <c r="G3" s="1242"/>
      <c r="H3" s="1242"/>
      <c r="I3" s="1242"/>
      <c r="J3" s="1242"/>
      <c r="K3" s="1242"/>
      <c r="L3" s="1242"/>
      <c r="M3" s="1242"/>
      <c r="N3" s="1242"/>
      <c r="O3" s="1242"/>
      <c r="P3" s="1242"/>
      <c r="Q3" s="1242"/>
      <c r="R3" s="1242"/>
      <c r="S3" s="1242"/>
    </row>
    <row r="4" spans="1:42" x14ac:dyDescent="0.3"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243"/>
      <c r="C5" s="1244"/>
      <c r="D5" s="1243" t="s">
        <v>24</v>
      </c>
      <c r="E5" s="1245"/>
      <c r="F5" s="1244"/>
      <c r="G5" s="1243" t="s">
        <v>25</v>
      </c>
      <c r="H5" s="1245"/>
      <c r="I5" s="1244"/>
      <c r="J5" s="1243" t="s">
        <v>319</v>
      </c>
      <c r="K5" s="1244"/>
      <c r="L5" s="111" t="s">
        <v>150</v>
      </c>
      <c r="U5" t="s">
        <v>326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775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776</v>
      </c>
      <c r="V6" s="112" t="s">
        <v>327</v>
      </c>
      <c r="X6" s="1246" t="s">
        <v>162</v>
      </c>
      <c r="Y6" s="1246"/>
      <c r="Z6" s="1246"/>
      <c r="AA6" s="1246"/>
      <c r="AB6" s="1246"/>
      <c r="AC6" s="1246"/>
      <c r="AD6" s="1247"/>
    </row>
    <row r="7" spans="1:42" x14ac:dyDescent="0.3">
      <c r="A7" s="19">
        <v>46262</v>
      </c>
      <c r="B7" s="130" t="s">
        <v>12</v>
      </c>
      <c r="C7" s="377" t="s">
        <v>417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>SUMIF(A$7:A$52,N7,D$7:D$52)+SUMIF(A$7:A$52,N7,G$7:G$52)</f>
        <v>0</v>
      </c>
      <c r="P7" s="18">
        <f>SUMIF(A$7:A$52,N7,E$7:E$52)+SUMIF(A$7:A$52,N7,J$7:J$52)</f>
        <v>0</v>
      </c>
      <c r="Q7" s="18">
        <f>SUMIF(A$7:A$52,N7,F$7:F$52)</f>
        <v>0</v>
      </c>
      <c r="R7" s="18">
        <f>SUMIF(A$7:A$68,N7,H$7:H$69)</f>
        <v>0</v>
      </c>
      <c r="S7" s="18">
        <f>SUMIF(A$7:A$69,N7,I$7:I$69)</f>
        <v>0</v>
      </c>
      <c r="T7" s="18">
        <f t="shared" ref="T7:T33" si="0">SUMIF(A$7:A$69,N7,K$7:K$69)</f>
        <v>0</v>
      </c>
      <c r="U7" s="18">
        <f>SUMIF(A$7:A$69,N7,G$7:G$69)</f>
        <v>0</v>
      </c>
      <c r="V7" s="18">
        <f>SUMIF(A$7:A$69,N7,I$7:I$69)</f>
        <v>0</v>
      </c>
      <c r="X7" s="122" t="s">
        <v>223</v>
      </c>
      <c r="Y7" s="122" t="s">
        <v>160</v>
      </c>
      <c r="Z7" s="122" t="s">
        <v>161</v>
      </c>
      <c r="AA7" s="122" t="s">
        <v>163</v>
      </c>
      <c r="AB7" s="122" t="s">
        <v>287</v>
      </c>
      <c r="AC7" s="1187" t="s">
        <v>328</v>
      </c>
      <c r="AD7" s="122" t="s">
        <v>777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>SUMIF(A$7:A$52,N8,D$7:D$52)+SUMIF(A$7:A$52,N8,G$7:G$52)</f>
        <v>0</v>
      </c>
      <c r="P8" s="18">
        <f>SUMIF(A$7:A$52,N8,E$7:E$52)+SUMIF(A$7:A$52,N8,J$7:J$52)</f>
        <v>0</v>
      </c>
      <c r="Q8" s="18">
        <f>SUMIF(A$7:A$52,N8,F$7:F$52)</f>
        <v>0</v>
      </c>
      <c r="R8" s="18">
        <f>SUMIF(A$7:A$68,N8,H$7:H$69)</f>
        <v>0</v>
      </c>
      <c r="S8" s="18">
        <f>SUMIF(A$7:A$68,N8,I$7:I$68)</f>
        <v>0</v>
      </c>
      <c r="T8" s="18">
        <f t="shared" si="0"/>
        <v>0</v>
      </c>
      <c r="U8" s="18">
        <f t="shared" ref="U8:U68" si="1">SUMIF(A$7:A$69,N8,G$7:G$69)</f>
        <v>0</v>
      </c>
      <c r="V8" s="18">
        <f>SUMIF(A$7:A$69,N8,I$7:I$69)</f>
        <v>0</v>
      </c>
      <c r="X8" s="120">
        <f>O69+U69</f>
        <v>5825</v>
      </c>
      <c r="Y8" s="120">
        <f t="shared" ref="Y8:Z8" si="2">P69</f>
        <v>4150</v>
      </c>
      <c r="Z8" s="120">
        <f t="shared" si="2"/>
        <v>3000</v>
      </c>
      <c r="AA8" s="120">
        <f>T69</f>
        <v>325</v>
      </c>
      <c r="AB8" s="121">
        <f>R69</f>
        <v>100</v>
      </c>
      <c r="AC8" s="1199">
        <f>V69</f>
        <v>7</v>
      </c>
      <c r="AD8" s="18">
        <f>U69</f>
        <v>25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>SUMIF(A$7:A$52,N9,D$7:D$52)+SUMIF(A$7:A$52,N9,G$7:G$52)</f>
        <v>0</v>
      </c>
      <c r="P9" s="18">
        <f>SUMIF(A$7:A$52,N9,E$7:E$52)+SUMIF(A$7:A$52,N9,J$7:J$52)</f>
        <v>0</v>
      </c>
      <c r="Q9" s="18">
        <f>SUMIF(A$7:A$52,N9,F$7:F$52)</f>
        <v>0</v>
      </c>
      <c r="R9" s="18">
        <f>SUMIF(A$7:A$68,N9,H$7:H$69)</f>
        <v>0</v>
      </c>
      <c r="S9" s="18">
        <f>SUMIF(A$7:A$68,N9,I$7:I$68)</f>
        <v>0</v>
      </c>
      <c r="T9" s="18">
        <f t="shared" si="0"/>
        <v>0</v>
      </c>
      <c r="U9" s="18">
        <f t="shared" si="1"/>
        <v>0</v>
      </c>
      <c r="V9" s="18">
        <f>SUMIF(A$7:A$69,N9,I$7:I$69)</f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417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>SUMIF(A$7:A$52,N10,D$7:D$52)+SUMIF(A$7:A$52,N10,G$7:G$52)</f>
        <v>150</v>
      </c>
      <c r="P10" s="18">
        <f>SUMIF(A$7:A$52,N10,E$7:E$52)+SUMIF(A$7:A$52,N10,J$7:J$52)</f>
        <v>250</v>
      </c>
      <c r="Q10" s="18">
        <f>SUMIF(A$7:A$52,N10,F$7:F$52)</f>
        <v>0</v>
      </c>
      <c r="R10" s="18">
        <f>SUMIF(A$7:A$68,N10,H$7:H$69)</f>
        <v>0</v>
      </c>
      <c r="S10" s="18">
        <f>SUMIF(A$7:A$68,N10,I$7:I$68)</f>
        <v>0</v>
      </c>
      <c r="T10" s="18">
        <f t="shared" si="0"/>
        <v>0</v>
      </c>
      <c r="U10" s="18">
        <f t="shared" si="1"/>
        <v>0</v>
      </c>
      <c r="V10" s="18">
        <f>SUMIF(A$7:A$69,N10,I$7:I$69)</f>
        <v>0</v>
      </c>
      <c r="X10" s="1248" t="s">
        <v>333</v>
      </c>
      <c r="Y10" s="1249"/>
      <c r="Z10" s="1249"/>
      <c r="AA10" s="1249"/>
      <c r="AB10" s="1249"/>
      <c r="AC10" s="1249"/>
      <c r="AD10" s="1250"/>
    </row>
    <row r="11" spans="1:42" x14ac:dyDescent="0.3">
      <c r="A11" s="19">
        <v>46266</v>
      </c>
      <c r="B11" s="16" t="s">
        <v>12</v>
      </c>
      <c r="C11" s="424" t="s">
        <v>440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>SUMIF(A$7:A$52,N11,D$7:D$52)+SUMIF(A$7:A$52,N11,G$7:G$52)</f>
        <v>225</v>
      </c>
      <c r="P11" s="18">
        <f>SUMIF(A$7:A$52,N11,E$7:E$52)+SUMIF(A$7:A$52,N11,J$7:J$52)</f>
        <v>1250</v>
      </c>
      <c r="Q11" s="18">
        <f>SUMIF(A$7:A$52,N11,F$7:F$52)</f>
        <v>1000</v>
      </c>
      <c r="R11" s="18">
        <f>SUMIF(A$7:A$68,N11,H$7:H$69)</f>
        <v>0</v>
      </c>
      <c r="S11" s="18">
        <f>SUMIF(A$7:A$68,N11,I$7:I$68)</f>
        <v>0</v>
      </c>
      <c r="T11" s="18">
        <f t="shared" si="0"/>
        <v>25</v>
      </c>
      <c r="U11" s="18">
        <f t="shared" si="1"/>
        <v>0</v>
      </c>
      <c r="V11" s="18">
        <f>SUMIF(A$7:A$69,N11,I$7:I$69)</f>
        <v>0</v>
      </c>
      <c r="X11" s="123">
        <f>X8/'Au Cal Leaching Tank'!$N$61</f>
        <v>1.4583268377938192</v>
      </c>
      <c r="Y11" s="123">
        <f>Y8/'Au Cal Leaching Tank'!$N$61</f>
        <v>1.0389796355097596</v>
      </c>
      <c r="Z11" s="123">
        <f>Z8/'Au Cal Leaching Tank'!$N$61</f>
        <v>0.75106961603115152</v>
      </c>
      <c r="AA11" s="123">
        <f>AA8/'Au Cal Leaching Tank'!$N$61</f>
        <v>8.1365875070041407E-2</v>
      </c>
      <c r="AB11" s="123">
        <f>AB8/'Au Cal Leaching Tank'!$N$61</f>
        <v>2.5035653867705052E-2</v>
      </c>
      <c r="AC11" s="123">
        <f>(AC8*30)/'Au Cal Leaching Tank'!$N$61</f>
        <v>5.2574873122180607E-2</v>
      </c>
      <c r="AD11" s="1200">
        <f>AD8/'Au Cal Leaching Tank'!$N$61</f>
        <v>6.2589134669262629E-3</v>
      </c>
    </row>
    <row r="12" spans="1:42" x14ac:dyDescent="0.3">
      <c r="A12" s="19">
        <v>46266</v>
      </c>
      <c r="B12" s="16" t="s">
        <v>13</v>
      </c>
      <c r="C12" s="424" t="s">
        <v>441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/>
      <c r="O12" s="18"/>
      <c r="P12" s="18"/>
      <c r="Q12" s="18"/>
      <c r="R12" s="18"/>
      <c r="S12" s="18"/>
      <c r="T12" s="18">
        <f t="shared" si="0"/>
        <v>0</v>
      </c>
      <c r="U12" s="18">
        <f t="shared" si="1"/>
        <v>0</v>
      </c>
      <c r="V12" s="18"/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291</v>
      </c>
      <c r="AC12" s="218" t="s">
        <v>332</v>
      </c>
      <c r="AD12" s="218" t="s">
        <v>778</v>
      </c>
    </row>
    <row r="13" spans="1:42" x14ac:dyDescent="0.3">
      <c r="A13" s="19">
        <v>46267</v>
      </c>
      <c r="B13" s="16" t="s">
        <v>12</v>
      </c>
      <c r="C13" s="424" t="s">
        <v>440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46267</v>
      </c>
      <c r="O13" s="18">
        <v>275</v>
      </c>
      <c r="P13" s="18">
        <f>SUMIF(A$7:A$52,N13,E$7:E$52)+SUMIF(A$7:A$52,N13,J$7:J$52)</f>
        <v>500</v>
      </c>
      <c r="Q13" s="18">
        <f>SUMIF(A$7:A$52,N13,F$7:F$52)</f>
        <v>1000</v>
      </c>
      <c r="R13" s="18">
        <f>SUMIF(A$7:A$68,N13,H$7:H$69)</f>
        <v>0</v>
      </c>
      <c r="S13" s="18">
        <f>SUMIF(A$7:A$68,N13,I$7:I$68)</f>
        <v>0</v>
      </c>
      <c r="T13" s="18">
        <f t="shared" si="0"/>
        <v>25</v>
      </c>
      <c r="U13" s="18">
        <f t="shared" si="1"/>
        <v>0</v>
      </c>
      <c r="V13" s="18">
        <f>SUMIF(A$7:A$69,N13,I$7:I$69)</f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441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/>
      <c r="O14" s="18"/>
      <c r="P14" s="18"/>
      <c r="Q14" s="18"/>
      <c r="R14" s="18"/>
      <c r="S14" s="18"/>
      <c r="T14" s="18">
        <f t="shared" si="0"/>
        <v>0</v>
      </c>
      <c r="U14" s="18">
        <f t="shared" si="1"/>
        <v>0</v>
      </c>
      <c r="V14" s="18"/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440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46268</v>
      </c>
      <c r="O15" s="18">
        <f>SUMIF(A$7:A$52,N15,D$7:D$52)+SUMIF(A$7:A$52,N15,G$7:G$52)</f>
        <v>100</v>
      </c>
      <c r="P15" s="18">
        <f>SUMIF(A$7:A$52,N15,E$7:E$52)+SUMIF(A$7:A$52,N15,J$7:J$52)</f>
        <v>250</v>
      </c>
      <c r="Q15" s="18">
        <f>SUMIF(A$7:A$52,N15,F$7:F$52)</f>
        <v>0</v>
      </c>
      <c r="R15" s="18">
        <f>SUMIF(A$7:A$68,N15,H$7:H$69)</f>
        <v>0</v>
      </c>
      <c r="S15" s="18">
        <f>SUMIF(A$7:A$68,N15,I$7:I$68)</f>
        <v>0</v>
      </c>
      <c r="T15" s="18">
        <f t="shared" si="0"/>
        <v>0</v>
      </c>
      <c r="U15" s="18">
        <f t="shared" si="1"/>
        <v>0</v>
      </c>
      <c r="V15" s="18">
        <f>SUMIF(A$7:A$69,N15,I$7:I$69)</f>
        <v>0</v>
      </c>
    </row>
    <row r="16" spans="1:42" x14ac:dyDescent="0.3">
      <c r="A16" s="19">
        <v>46269</v>
      </c>
      <c r="B16" s="16" t="s">
        <v>12</v>
      </c>
      <c r="C16" s="456" t="s">
        <v>440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46269</v>
      </c>
      <c r="O16" s="18">
        <f>SUMIF(A$7:A$52,N16,D$7:D$52)+SUMIF(A$7:A$52,N16,G$7:G$52)</f>
        <v>0</v>
      </c>
      <c r="P16" s="18">
        <f>SUMIF(A$7:A$52,N16,E$7:E$52)+SUMIF(A$7:A$52,N16,J$7:J$52)</f>
        <v>0</v>
      </c>
      <c r="Q16" s="18">
        <f>SUMIF(A$7:A$52,N16,F$7:F$52)</f>
        <v>0</v>
      </c>
      <c r="R16" s="18">
        <f>SUMIF(A$7:A$68,N16,H$7:H$69)</f>
        <v>0</v>
      </c>
      <c r="S16" s="18">
        <f>SUMIF(A$7:A$68,N16,I$7:I$68)</f>
        <v>0</v>
      </c>
      <c r="T16" s="18">
        <f t="shared" si="0"/>
        <v>25</v>
      </c>
      <c r="U16" s="18">
        <f t="shared" si="1"/>
        <v>0</v>
      </c>
      <c r="V16" s="18">
        <f>SUMIF(A$7:A$69,N16,I$7:I$69)</f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441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46270</v>
      </c>
      <c r="O17" s="18">
        <f>SUMIF(A$7:A$52,N17,D$7:D$52)+SUMIF(A$7:A$52,N17,G$7:G$52)</f>
        <v>100</v>
      </c>
      <c r="P17" s="18">
        <f>SUMIF(A$7:A$52,N17,E$7:E$52)+SUMIF(A$7:A$52,N17,J$7:J$52)</f>
        <v>0</v>
      </c>
      <c r="Q17" s="18">
        <f>SUMIF(A$7:A$52,N17,F$7:F$52)</f>
        <v>0</v>
      </c>
      <c r="R17" s="18">
        <f>SUMIF(A$7:A$68,N17,H$7:H$69)</f>
        <v>0</v>
      </c>
      <c r="S17" s="18">
        <f>SUMIF(A$7:A$68,N17,I$7:I$68)</f>
        <v>0</v>
      </c>
      <c r="T17" s="18">
        <f t="shared" si="0"/>
        <v>0</v>
      </c>
      <c r="U17" s="18">
        <f t="shared" si="1"/>
        <v>0</v>
      </c>
      <c r="V17" s="18">
        <f>SUMIF(A$7:A$69,N17,I$7:I$69)</f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440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46271</v>
      </c>
      <c r="O18" s="18">
        <f>SUMIF(A$7:A$52,N18,D$7:D$52)+SUMIF(A$7:A$52,N18,G$7:G$52)</f>
        <v>175</v>
      </c>
      <c r="P18" s="18">
        <f>SUMIF(A$7:A$52,N18,E$7:E$52)+SUMIF(A$7:A$52,N18,J$7:J$52)</f>
        <v>500</v>
      </c>
      <c r="Q18" s="18">
        <f>SUMIF(A$7:A$52,N18,F$7:F$52)</f>
        <v>0</v>
      </c>
      <c r="R18" s="18">
        <f>SUMIF(A$7:A$68,N18,H$7:H$69)</f>
        <v>0</v>
      </c>
      <c r="S18" s="18">
        <f>SUMIF(A$7:A$68,N18,I$7:I$68)</f>
        <v>0</v>
      </c>
      <c r="T18" s="18">
        <f t="shared" si="0"/>
        <v>0</v>
      </c>
      <c r="U18" s="18">
        <f t="shared" si="1"/>
        <v>0</v>
      </c>
      <c r="V18" s="18">
        <f>SUMIF(A$7:A$69,N18,I$7:I$69)</f>
        <v>0</v>
      </c>
    </row>
    <row r="19" spans="1:29" x14ac:dyDescent="0.3">
      <c r="A19" s="19">
        <v>46272</v>
      </c>
      <c r="B19" s="16" t="s">
        <v>12</v>
      </c>
      <c r="C19" s="443" t="s">
        <v>516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46272</v>
      </c>
      <c r="O19" s="18">
        <f>SUMIF(A$7:A$52,N19,D$7:D$52)+SUMIF(A$7:A$52,N19,G$7:G$52)</f>
        <v>300</v>
      </c>
      <c r="P19" s="18">
        <f t="shared" ref="P19:P33" si="3">SUMIF(A$7:A$69,N19,E$7:E$69)+SUMIF(A$7:A$69,N19,J$7:J$69)</f>
        <v>750</v>
      </c>
      <c r="Q19" s="18">
        <f>SUMIF(A$7:A$52,N19,F$7:F$52)</f>
        <v>0</v>
      </c>
      <c r="R19" s="18">
        <f>SUMIF(A$7:A$68,N19,H$7:H$69)</f>
        <v>0</v>
      </c>
      <c r="S19" s="18">
        <f>SUMIF(A$7:A$68,N19,I$7:I$68)</f>
        <v>0</v>
      </c>
      <c r="T19" s="18">
        <f t="shared" si="0"/>
        <v>0</v>
      </c>
      <c r="U19" s="18">
        <f t="shared" si="1"/>
        <v>0</v>
      </c>
      <c r="V19" s="18">
        <f>SUMIF(A$7:A$69,N19,I$7:I$69)</f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/>
      <c r="O20" s="18"/>
      <c r="P20" s="18">
        <f t="shared" si="3"/>
        <v>0</v>
      </c>
      <c r="Q20" s="18"/>
      <c r="R20" s="18"/>
      <c r="S20" s="18"/>
      <c r="T20" s="18">
        <f t="shared" si="0"/>
        <v>0</v>
      </c>
      <c r="U20" s="18">
        <f t="shared" si="1"/>
        <v>0</v>
      </c>
      <c r="V20" s="18"/>
      <c r="X20" s="1220" t="s">
        <v>578</v>
      </c>
      <c r="Y20" s="1220"/>
      <c r="Z20" s="1220"/>
      <c r="AA20" s="1220"/>
      <c r="AB20" s="1220"/>
      <c r="AC20" s="1220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46273</v>
      </c>
      <c r="O21" s="18">
        <f>SUMIF(A$7:A$52,N21,D$7:D$52)+SUMIF(A$7:A$52,N21,G$7:G$52)</f>
        <v>175</v>
      </c>
      <c r="P21" s="18">
        <f t="shared" si="3"/>
        <v>0</v>
      </c>
      <c r="Q21" s="18">
        <f>SUMIF(A$7:A$52,N21,F$7:F$52)</f>
        <v>0</v>
      </c>
      <c r="R21" s="18">
        <f>SUMIF(A$7:A$68,N21,H$7:H$69)</f>
        <v>0</v>
      </c>
      <c r="S21" s="18">
        <f>SUMIF(A$7:A$68,N21,I$7:I$68)</f>
        <v>0</v>
      </c>
      <c r="T21" s="18">
        <f t="shared" si="0"/>
        <v>0</v>
      </c>
      <c r="U21" s="18">
        <f t="shared" si="1"/>
        <v>0</v>
      </c>
      <c r="V21" s="18">
        <f>SUMIF(A$7:A$69,N21,I$7:I$69)</f>
        <v>0</v>
      </c>
      <c r="X21" s="14" t="s">
        <v>317</v>
      </c>
      <c r="Y21" s="14" t="s">
        <v>101</v>
      </c>
      <c r="Z21" s="14" t="s">
        <v>301</v>
      </c>
      <c r="AA21" s="14" t="s">
        <v>579</v>
      </c>
      <c r="AB21" s="14" t="s">
        <v>575</v>
      </c>
      <c r="AC21" s="14" t="s">
        <v>576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46274</v>
      </c>
      <c r="O22" s="18">
        <f>SUMIF(A$7:A$52,N22,D$7:D$52)+SUMIF(A$7:A$52,N22,G$7:G$52)</f>
        <v>175</v>
      </c>
      <c r="P22" s="18">
        <f t="shared" si="3"/>
        <v>0</v>
      </c>
      <c r="Q22" s="18">
        <f>SUMIF(A$7:A$52,N22,F$7:F$52)</f>
        <v>0</v>
      </c>
      <c r="R22" s="18">
        <f>SUMIF(A$7:A$68,N22,H$7:H$69)</f>
        <v>0</v>
      </c>
      <c r="S22" s="18">
        <f>SUMIF(A$7:A$68,N22,I$7:I$68)</f>
        <v>0</v>
      </c>
      <c r="T22" s="18">
        <f t="shared" si="0"/>
        <v>0</v>
      </c>
      <c r="U22" s="18">
        <f t="shared" si="1"/>
        <v>0</v>
      </c>
      <c r="V22" s="18">
        <f>SUMIF(A$7:A$69,N22,I$7:I$69)</f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/>
      <c r="O23" s="18"/>
      <c r="P23" s="18">
        <f t="shared" si="3"/>
        <v>0</v>
      </c>
      <c r="Q23" s="18"/>
      <c r="R23" s="18"/>
      <c r="S23" s="18"/>
      <c r="T23" s="18">
        <f t="shared" si="0"/>
        <v>0</v>
      </c>
      <c r="U23" s="18">
        <f t="shared" si="1"/>
        <v>0</v>
      </c>
      <c r="V23" s="18"/>
    </row>
    <row r="24" spans="1:29" x14ac:dyDescent="0.3">
      <c r="A24" s="19">
        <v>46275</v>
      </c>
      <c r="B24" s="16" t="s">
        <v>12</v>
      </c>
      <c r="C24" s="456" t="s">
        <v>444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46275</v>
      </c>
      <c r="O24" s="18">
        <f>SUMIF(A$7:A$69,N24,D$7:D$69)+SUMIF(A$7:A$52,N24,G$7:G$69)</f>
        <v>300</v>
      </c>
      <c r="P24" s="18">
        <f t="shared" si="3"/>
        <v>0</v>
      </c>
      <c r="Q24" s="18">
        <f>SUMIF(A$7:A$52,N24,F$7:F$52)</f>
        <v>500</v>
      </c>
      <c r="R24" s="18">
        <f>SUMIF(A$7:A$68,N24,H$7:H$69)</f>
        <v>0</v>
      </c>
      <c r="S24" s="18">
        <f>SUMIF(A$7:A$68,N24,I$7:I$68)</f>
        <v>0</v>
      </c>
      <c r="T24" s="18">
        <f t="shared" si="0"/>
        <v>0</v>
      </c>
      <c r="U24" s="18">
        <f t="shared" si="1"/>
        <v>0</v>
      </c>
      <c r="V24" s="18">
        <f>SUMIF(A$7:A$69,N24,I$7:I$69)</f>
        <v>0</v>
      </c>
      <c r="X24" s="1237" t="s">
        <v>577</v>
      </c>
      <c r="Y24" s="1237"/>
      <c r="Z24" s="1237"/>
      <c r="AA24" s="1237"/>
      <c r="AB24" s="1237"/>
      <c r="AC24" s="1237"/>
    </row>
    <row r="25" spans="1:29" x14ac:dyDescent="0.3">
      <c r="A25" s="19">
        <v>46275</v>
      </c>
      <c r="B25" s="16" t="s">
        <v>13</v>
      </c>
      <c r="C25" s="457" t="s">
        <v>440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/>
      <c r="O25" s="18"/>
      <c r="P25" s="18">
        <f t="shared" si="3"/>
        <v>0</v>
      </c>
      <c r="Q25" s="18"/>
      <c r="R25" s="18"/>
      <c r="S25" s="18"/>
      <c r="T25" s="18">
        <f t="shared" si="0"/>
        <v>0</v>
      </c>
      <c r="U25" s="18">
        <f t="shared" si="1"/>
        <v>0</v>
      </c>
      <c r="V25" s="18"/>
      <c r="X25" s="681" t="s">
        <v>513</v>
      </c>
      <c r="Y25" s="14" t="s">
        <v>514</v>
      </c>
      <c r="Z25" s="14" t="s">
        <v>301</v>
      </c>
      <c r="AA25" s="14" t="s">
        <v>515</v>
      </c>
      <c r="AB25" s="14" t="s">
        <v>573</v>
      </c>
      <c r="AC25" s="14" t="s">
        <v>574</v>
      </c>
    </row>
    <row r="26" spans="1:29" ht="15" thickBot="1" x14ac:dyDescent="0.35">
      <c r="A26" s="19">
        <v>46276</v>
      </c>
      <c r="B26" s="16" t="s">
        <v>12</v>
      </c>
      <c r="C26" s="679" t="s">
        <v>516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46276</v>
      </c>
      <c r="O26" s="18">
        <f t="shared" ref="O26:O33" si="4">SUMIF(A$7:A$52,N26,D$7:D$52)+SUMIF(A$7:A$52,N26,G$7:G$52)</f>
        <v>200</v>
      </c>
      <c r="P26" s="18">
        <f t="shared" si="3"/>
        <v>0</v>
      </c>
      <c r="Q26" s="18">
        <f t="shared" ref="Q26:Q33" si="5">SUMIF(A$7:A$52,N26,F$7:F$52)</f>
        <v>500</v>
      </c>
      <c r="R26" s="18">
        <f t="shared" ref="R26:R33" si="6">SUMIF(A$7:A$68,N26,H$7:H$69)</f>
        <v>0</v>
      </c>
      <c r="S26" s="18">
        <f t="shared" ref="S26:S33" si="7">SUMIF(A$7:A$68,N26,I$7:I$68)</f>
        <v>0</v>
      </c>
      <c r="T26" s="18">
        <f t="shared" si="0"/>
        <v>50</v>
      </c>
      <c r="U26" s="18">
        <f t="shared" si="1"/>
        <v>0</v>
      </c>
      <c r="V26" s="18">
        <f t="shared" ref="V26:V33" si="8">SUMIF(A$7:A$69,N26,I$7:I$69)</f>
        <v>0</v>
      </c>
      <c r="X26" s="682">
        <f>X22*X8</f>
        <v>396100000</v>
      </c>
      <c r="Y26" s="682">
        <f t="shared" ref="Y26:AC26" si="9">Y22*Y8</f>
        <v>9545000</v>
      </c>
      <c r="Z26" s="682">
        <f>Z22*Z8</f>
        <v>132000000</v>
      </c>
      <c r="AA26" s="682">
        <f>AA22*AA8</f>
        <v>9750000</v>
      </c>
      <c r="AB26" s="682">
        <f t="shared" si="9"/>
        <v>2800000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46277</v>
      </c>
      <c r="O27" s="18">
        <f t="shared" si="4"/>
        <v>100</v>
      </c>
      <c r="P27" s="18">
        <f t="shared" si="3"/>
        <v>0</v>
      </c>
      <c r="Q27" s="18">
        <f t="shared" si="5"/>
        <v>0</v>
      </c>
      <c r="R27" s="18">
        <f t="shared" si="6"/>
        <v>0</v>
      </c>
      <c r="S27" s="18">
        <f t="shared" si="7"/>
        <v>0</v>
      </c>
      <c r="T27" s="18">
        <f t="shared" si="0"/>
        <v>0</v>
      </c>
      <c r="U27" s="18">
        <f t="shared" si="1"/>
        <v>0</v>
      </c>
      <c r="V27" s="18">
        <f t="shared" si="8"/>
        <v>0</v>
      </c>
      <c r="X27" s="1238" t="s">
        <v>577</v>
      </c>
      <c r="Y27" s="1239"/>
      <c r="Z27" s="1240">
        <f>SUM(X26:AC26)</f>
        <v>553345000</v>
      </c>
      <c r="AA27" s="1239"/>
      <c r="AB27" s="1239"/>
      <c r="AC27" s="1241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46278</v>
      </c>
      <c r="O28" s="18">
        <f t="shared" si="4"/>
        <v>225</v>
      </c>
      <c r="P28" s="18">
        <f t="shared" si="3"/>
        <v>0</v>
      </c>
      <c r="Q28" s="18">
        <f t="shared" si="5"/>
        <v>0</v>
      </c>
      <c r="R28" s="18">
        <f t="shared" si="6"/>
        <v>0</v>
      </c>
      <c r="S28" s="18">
        <f t="shared" si="7"/>
        <v>0</v>
      </c>
      <c r="T28" s="18">
        <f t="shared" si="0"/>
        <v>25</v>
      </c>
      <c r="U28" s="18">
        <f t="shared" si="1"/>
        <v>0</v>
      </c>
      <c r="V28" s="18">
        <f t="shared" si="8"/>
        <v>0</v>
      </c>
      <c r="X28" s="683">
        <f>X26/$Z$27</f>
        <v>0.71582828072902083</v>
      </c>
      <c r="Y28" s="684">
        <f t="shared" ref="Y28:AC28" si="10">Y26/$Z$27</f>
        <v>1.7249636302849036E-2</v>
      </c>
      <c r="Z28" s="684">
        <f t="shared" si="10"/>
        <v>0.23854918721593218</v>
      </c>
      <c r="AA28" s="684">
        <f t="shared" si="10"/>
        <v>1.7620110419358629E-2</v>
      </c>
      <c r="AB28" s="684">
        <f t="shared" si="10"/>
        <v>5.06013427427735E-3</v>
      </c>
      <c r="AC28" s="685">
        <f t="shared" si="10"/>
        <v>5.692651058562018E-3</v>
      </c>
    </row>
    <row r="29" spans="1:29" x14ac:dyDescent="0.3">
      <c r="A29" s="19">
        <v>46279</v>
      </c>
      <c r="B29" s="16" t="s">
        <v>13</v>
      </c>
      <c r="C29" s="832" t="s">
        <v>516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46279</v>
      </c>
      <c r="O29" s="18">
        <f t="shared" si="4"/>
        <v>125</v>
      </c>
      <c r="P29" s="18">
        <f t="shared" si="3"/>
        <v>0</v>
      </c>
      <c r="Q29" s="18">
        <f t="shared" si="5"/>
        <v>0</v>
      </c>
      <c r="R29" s="18">
        <f t="shared" si="6"/>
        <v>0</v>
      </c>
      <c r="S29" s="18">
        <f t="shared" si="7"/>
        <v>0</v>
      </c>
      <c r="T29" s="18">
        <f t="shared" si="0"/>
        <v>0</v>
      </c>
      <c r="U29" s="18">
        <f t="shared" si="1"/>
        <v>0</v>
      </c>
      <c r="V29" s="18">
        <f t="shared" si="8"/>
        <v>0</v>
      </c>
    </row>
    <row r="30" spans="1:29" x14ac:dyDescent="0.3">
      <c r="A30" s="19">
        <v>46280</v>
      </c>
      <c r="B30" s="16" t="s">
        <v>12</v>
      </c>
      <c r="C30" s="832" t="s">
        <v>594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46280</v>
      </c>
      <c r="O30" s="18">
        <f t="shared" si="4"/>
        <v>375</v>
      </c>
      <c r="P30" s="18">
        <f t="shared" si="3"/>
        <v>0</v>
      </c>
      <c r="Q30" s="18">
        <f t="shared" si="5"/>
        <v>0</v>
      </c>
      <c r="R30" s="18">
        <f t="shared" si="6"/>
        <v>0</v>
      </c>
      <c r="S30" s="18">
        <f t="shared" si="7"/>
        <v>0</v>
      </c>
      <c r="T30" s="18">
        <f t="shared" si="0"/>
        <v>25</v>
      </c>
      <c r="U30" s="18">
        <f t="shared" si="1"/>
        <v>0</v>
      </c>
      <c r="V30" s="18">
        <f t="shared" si="8"/>
        <v>0</v>
      </c>
    </row>
    <row r="31" spans="1:29" x14ac:dyDescent="0.3">
      <c r="A31" s="19">
        <v>46280</v>
      </c>
      <c r="B31" s="16" t="s">
        <v>13</v>
      </c>
      <c r="C31" s="832" t="s">
        <v>516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46281</v>
      </c>
      <c r="O31" s="18">
        <f t="shared" si="4"/>
        <v>200</v>
      </c>
      <c r="P31" s="18">
        <f t="shared" si="3"/>
        <v>0</v>
      </c>
      <c r="Q31" s="18">
        <f t="shared" si="5"/>
        <v>0</v>
      </c>
      <c r="R31" s="18">
        <f t="shared" si="6"/>
        <v>0</v>
      </c>
      <c r="S31" s="18">
        <f t="shared" si="7"/>
        <v>0</v>
      </c>
      <c r="T31" s="18">
        <f t="shared" si="0"/>
        <v>0</v>
      </c>
      <c r="U31" s="18">
        <f t="shared" si="1"/>
        <v>0</v>
      </c>
      <c r="V31" s="18">
        <f t="shared" si="8"/>
        <v>0</v>
      </c>
    </row>
    <row r="32" spans="1:29" x14ac:dyDescent="0.3">
      <c r="A32" s="19">
        <v>46281</v>
      </c>
      <c r="B32" s="16" t="s">
        <v>12</v>
      </c>
      <c r="C32" s="868" t="s">
        <v>624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46282</v>
      </c>
      <c r="O32" s="18">
        <f t="shared" si="4"/>
        <v>250</v>
      </c>
      <c r="P32" s="18">
        <f t="shared" si="3"/>
        <v>0</v>
      </c>
      <c r="Q32" s="18">
        <f t="shared" si="5"/>
        <v>0</v>
      </c>
      <c r="R32" s="18">
        <f t="shared" si="6"/>
        <v>0</v>
      </c>
      <c r="S32" s="18">
        <f t="shared" si="7"/>
        <v>0</v>
      </c>
      <c r="T32" s="18">
        <f t="shared" si="0"/>
        <v>0</v>
      </c>
      <c r="U32" s="18">
        <f t="shared" si="1"/>
        <v>0</v>
      </c>
      <c r="V32" s="18">
        <f t="shared" si="8"/>
        <v>0</v>
      </c>
    </row>
    <row r="33" spans="1:22" x14ac:dyDescent="0.3">
      <c r="A33" s="19">
        <v>46281</v>
      </c>
      <c r="B33" s="16" t="s">
        <v>13</v>
      </c>
      <c r="C33" s="832" t="s">
        <v>516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46283</v>
      </c>
      <c r="O33" s="18">
        <f t="shared" si="4"/>
        <v>275</v>
      </c>
      <c r="P33" s="18">
        <f t="shared" si="3"/>
        <v>325</v>
      </c>
      <c r="Q33" s="18">
        <f t="shared" si="5"/>
        <v>0</v>
      </c>
      <c r="R33" s="18">
        <f t="shared" si="6"/>
        <v>0</v>
      </c>
      <c r="S33" s="18">
        <f t="shared" si="7"/>
        <v>0</v>
      </c>
      <c r="T33" s="18">
        <f t="shared" si="0"/>
        <v>25</v>
      </c>
      <c r="U33" s="18">
        <f t="shared" si="1"/>
        <v>0</v>
      </c>
      <c r="V33" s="18">
        <f t="shared" si="8"/>
        <v>0</v>
      </c>
    </row>
    <row r="34" spans="1:22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/>
      <c r="O34" s="18"/>
      <c r="P34" s="18"/>
      <c r="Q34" s="18"/>
      <c r="R34" s="18"/>
      <c r="S34" s="18"/>
      <c r="T34" s="18"/>
      <c r="U34" s="18">
        <f t="shared" si="1"/>
        <v>0</v>
      </c>
      <c r="V34" s="18"/>
    </row>
    <row r="35" spans="1:22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/>
      <c r="O35" s="18"/>
      <c r="P35" s="18"/>
      <c r="Q35" s="18"/>
      <c r="R35" s="18"/>
      <c r="S35" s="18"/>
      <c r="T35" s="18"/>
      <c r="U35" s="18">
        <f t="shared" si="1"/>
        <v>0</v>
      </c>
      <c r="V35" s="18"/>
    </row>
    <row r="36" spans="1:22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/>
      <c r="O36" s="18"/>
      <c r="P36" s="18"/>
      <c r="Q36" s="18"/>
      <c r="R36" s="18"/>
      <c r="S36" s="18"/>
      <c r="T36" s="18"/>
      <c r="U36" s="18">
        <f t="shared" si="1"/>
        <v>0</v>
      </c>
      <c r="V36" s="18"/>
    </row>
    <row r="37" spans="1:22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/>
      <c r="O37" s="18"/>
      <c r="P37" s="18"/>
      <c r="Q37" s="18"/>
      <c r="R37" s="18"/>
      <c r="S37" s="18"/>
      <c r="T37" s="18"/>
      <c r="U37" s="18">
        <f t="shared" si="1"/>
        <v>0</v>
      </c>
      <c r="V37" s="18"/>
    </row>
    <row r="38" spans="1:22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46284</v>
      </c>
      <c r="O38" s="18">
        <f>SUMIF(A$7:A$52,N38,D$7:D$52)+SUMIF(A$7:A$52,N38,G$7:G$52)</f>
        <v>0</v>
      </c>
      <c r="P38" s="18">
        <f>SUMIF(A$7:A$69,N38,E$7:E$69)+SUMIF(A$7:A$69,N38,J$7:J$69)</f>
        <v>0</v>
      </c>
      <c r="Q38" s="18">
        <f>SUMIF(A$7:A$52,N38,F$7:F$52)</f>
        <v>0</v>
      </c>
      <c r="R38" s="18">
        <f>SUMIF(A$7:A$68,N38,H$7:H$69)</f>
        <v>0</v>
      </c>
      <c r="S38" s="18">
        <f>SUMIF(A$7:A$68,N38,I$7:I$68)</f>
        <v>0</v>
      </c>
      <c r="T38" s="18">
        <f>SUMIF(A$7:A$69,N38,K$7:K$69)</f>
        <v>0</v>
      </c>
      <c r="U38" s="18">
        <f t="shared" si="1"/>
        <v>0</v>
      </c>
      <c r="V38" s="18">
        <f>SUMIF(A$7:A$69,N38,I$7:I$69)</f>
        <v>0</v>
      </c>
    </row>
    <row r="39" spans="1:22" x14ac:dyDescent="0.3">
      <c r="A39" s="19">
        <v>46285</v>
      </c>
      <c r="B39" s="16" t="s">
        <v>12</v>
      </c>
      <c r="C39" s="1074" t="s">
        <v>441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46285</v>
      </c>
      <c r="O39" s="18">
        <f>SUMIF(A$7:A$52,N39,D$7:D$52)+SUMIF(A$7:A$52,N39,G$7:G$52)</f>
        <v>0</v>
      </c>
      <c r="P39" s="18">
        <f>SUMIF(A$7:A$69,N39,E$7:E$69)+SUMIF(A$7:A$69,N39,J$7:J$69)</f>
        <v>0</v>
      </c>
      <c r="Q39" s="18">
        <f>SUMIF(A$7:A$52,N39,F$7:F$52)</f>
        <v>0</v>
      </c>
      <c r="R39" s="18">
        <f>SUMIF(A$7:A$68,N39,H$7:H$69)</f>
        <v>0</v>
      </c>
      <c r="S39" s="18">
        <f>SUMIF(A$7:A$68,N39,I$7:I$68)</f>
        <v>0</v>
      </c>
      <c r="T39" s="18">
        <f>SUMIF(A$7:A$69,N39,K$7:K$69)</f>
        <v>0</v>
      </c>
      <c r="U39" s="18">
        <f t="shared" si="1"/>
        <v>0</v>
      </c>
      <c r="V39" s="18">
        <f>SUMIF(A$7:A$69,N39,I$7:I$69)</f>
        <v>0</v>
      </c>
    </row>
    <row r="40" spans="1:22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/>
      <c r="O40" s="18"/>
      <c r="P40" s="18"/>
      <c r="Q40" s="18"/>
      <c r="R40" s="18"/>
      <c r="S40" s="18"/>
      <c r="T40" s="18"/>
      <c r="U40" s="18">
        <f t="shared" si="1"/>
        <v>0</v>
      </c>
      <c r="V40" s="18"/>
    </row>
    <row r="41" spans="1:22" x14ac:dyDescent="0.3">
      <c r="A41" s="19">
        <v>46286</v>
      </c>
      <c r="B41" s="16" t="s">
        <v>12</v>
      </c>
      <c r="C41" s="1090" t="s">
        <v>698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46286</v>
      </c>
      <c r="O41" s="18">
        <f>SUMIF(A$7:A$52,N41,D$7:D$52)+SUMIF(A$7:A$52,N41,G$7:G$52)</f>
        <v>175</v>
      </c>
      <c r="P41" s="18">
        <f>SUMIF(A$7:A$69,N41,E$7:E$69)+SUMIF(A$7:A$69,N41,J$7:J$69)</f>
        <v>0</v>
      </c>
      <c r="Q41" s="18">
        <f>SUMIF(A$7:A$52,N41,F$7:F$52)</f>
        <v>0</v>
      </c>
      <c r="R41" s="18">
        <f>SUMIF(A$7:A$68,N41,H$7:H$69)</f>
        <v>0</v>
      </c>
      <c r="S41" s="18">
        <f>SUMIF(A$7:A$68,N41,I$7:I$68)</f>
        <v>0</v>
      </c>
      <c r="T41" s="18">
        <f>SUMIF(A$7:A$69,N41,K$7:K$69)</f>
        <v>0</v>
      </c>
      <c r="U41" s="18">
        <f t="shared" si="1"/>
        <v>0</v>
      </c>
      <c r="V41" s="18">
        <f>SUMIF(A$7:A$69,N41,I$7:I$69)</f>
        <v>0</v>
      </c>
    </row>
    <row r="42" spans="1:22" x14ac:dyDescent="0.3">
      <c r="A42" s="19">
        <v>46286</v>
      </c>
      <c r="B42" s="16" t="s">
        <v>13</v>
      </c>
      <c r="C42" s="1090" t="s">
        <v>570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/>
      <c r="O42" s="18"/>
      <c r="P42" s="18"/>
      <c r="Q42" s="18"/>
      <c r="R42" s="18"/>
      <c r="S42" s="18"/>
      <c r="T42" s="18"/>
      <c r="U42" s="18">
        <f t="shared" si="1"/>
        <v>0</v>
      </c>
      <c r="V42" s="18"/>
    </row>
    <row r="43" spans="1:22" x14ac:dyDescent="0.3">
      <c r="A43" s="19">
        <v>46287</v>
      </c>
      <c r="B43" s="16" t="s">
        <v>12</v>
      </c>
      <c r="C43" s="1090" t="s">
        <v>508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46287</v>
      </c>
      <c r="O43" s="18">
        <f>SUMIF(A$7:A$52,N43,D$7:D$52)+SUMIF(A$7:A$52,N43,G$7:G$52)</f>
        <v>250</v>
      </c>
      <c r="P43" s="18">
        <f>SUMIF(A$7:A$69,N43,E$7:E$69)+SUMIF(A$7:A$69,N43,J$7:J$69)</f>
        <v>0</v>
      </c>
      <c r="Q43" s="18">
        <f>SUMIF(A$7:A$52,N43,F$7:F$52)</f>
        <v>0</v>
      </c>
      <c r="R43" s="18">
        <f>SUMIF(A$7:A$68,N43,H$7:H$69)</f>
        <v>0</v>
      </c>
      <c r="S43" s="18">
        <f>SUMIF(A$7:A$68,N43,I$7:I$68)</f>
        <v>0</v>
      </c>
      <c r="T43" s="18">
        <f>SUMIF(A$7:A$69,N43,K$7:K$69)</f>
        <v>50</v>
      </c>
      <c r="U43" s="18">
        <f t="shared" si="1"/>
        <v>0</v>
      </c>
      <c r="V43" s="18">
        <f>SUMIF(A$7:A$69,N43,I$7:I$69)</f>
        <v>0</v>
      </c>
    </row>
    <row r="44" spans="1:22" x14ac:dyDescent="0.3">
      <c r="A44" s="19">
        <v>46287</v>
      </c>
      <c r="B44" s="16" t="s">
        <v>13</v>
      </c>
      <c r="C44" s="1090" t="s">
        <v>440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/>
      <c r="O44" s="18"/>
      <c r="P44" s="18"/>
      <c r="Q44" s="18"/>
      <c r="R44" s="18"/>
      <c r="S44" s="18"/>
      <c r="T44" s="18"/>
      <c r="U44" s="18">
        <f t="shared" si="1"/>
        <v>0</v>
      </c>
      <c r="V44" s="18"/>
    </row>
    <row r="45" spans="1:22" x14ac:dyDescent="0.3">
      <c r="A45" s="19">
        <v>46288</v>
      </c>
      <c r="B45" s="16" t="s">
        <v>12</v>
      </c>
      <c r="C45" s="1107" t="s">
        <v>516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46288</v>
      </c>
      <c r="O45" s="18">
        <f>SUMIF(A$7:A$52,N45,D$7:D$52)+SUMIF(A$7:A$52,N45,G$7:G$52)</f>
        <v>125</v>
      </c>
      <c r="P45" s="18">
        <f>SUMIF(A$7:A$69,N45,E$7:E$69)+SUMIF(A$7:A$69,N45,J$7:J$69)</f>
        <v>0</v>
      </c>
      <c r="Q45" s="18">
        <f>SUMIF(A$7:A$52,N45,F$7:F$52)</f>
        <v>0</v>
      </c>
      <c r="R45" s="18">
        <f>SUMIF(A$7:A$68,N45,H$7:H$69)</f>
        <v>0</v>
      </c>
      <c r="S45" s="18">
        <f>SUMIF(A$7:A$68,N45,I$7:I$68)</f>
        <v>0</v>
      </c>
      <c r="T45" s="18">
        <f>SUMIF(A$7:A$69,N45,K$7:K$69)</f>
        <v>0</v>
      </c>
      <c r="U45" s="18">
        <f t="shared" si="1"/>
        <v>0</v>
      </c>
      <c r="V45" s="18">
        <f>SUMIF(A$7:A$69,N45,I$7:I$69)</f>
        <v>0</v>
      </c>
    </row>
    <row r="46" spans="1:22" x14ac:dyDescent="0.3">
      <c r="A46" s="19">
        <v>46288</v>
      </c>
      <c r="B46" s="16" t="s">
        <v>13</v>
      </c>
      <c r="C46" s="1107" t="s">
        <v>440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/>
      <c r="O46" s="18"/>
      <c r="P46" s="18"/>
      <c r="Q46" s="18"/>
      <c r="R46" s="18"/>
      <c r="S46" s="18"/>
      <c r="T46" s="18"/>
      <c r="U46" s="18">
        <f t="shared" si="1"/>
        <v>0</v>
      </c>
      <c r="V46" s="18"/>
    </row>
    <row r="47" spans="1:22" x14ac:dyDescent="0.3">
      <c r="A47" s="19">
        <v>46289</v>
      </c>
      <c r="B47" s="16" t="s">
        <v>12</v>
      </c>
      <c r="C47" s="1108" t="s">
        <v>508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46289</v>
      </c>
      <c r="O47" s="18">
        <f>SUMIF(A$7:A$69,N47,D$7:D$69)+SUMIF(A$7:A$52,N47,G$7:G$69)</f>
        <v>675</v>
      </c>
      <c r="P47" s="18">
        <f>SUMIF(A$7:A$69,N47,E$7:E$69)+SUMIF(A$7:A$69,N47,J$7:J$69)</f>
        <v>325</v>
      </c>
      <c r="Q47" s="18">
        <f>SUMIF(A$7:A$52,N47,F$7:F$52)</f>
        <v>0</v>
      </c>
      <c r="R47" s="18">
        <f>SUMIF(A$7:A$68,N47,H$7:H$69)</f>
        <v>0</v>
      </c>
      <c r="S47" s="18">
        <f>SUMIF(A$7:A$68,N47,I$7:I$68)</f>
        <v>0</v>
      </c>
      <c r="T47" s="18">
        <f>SUMIF(A$7:A$69,N47,K$7:K$69)</f>
        <v>25</v>
      </c>
      <c r="U47" s="18">
        <f t="shared" si="1"/>
        <v>0</v>
      </c>
      <c r="V47" s="18">
        <f>SUMIF(A$7:A$69,N47,I$7:I$69)</f>
        <v>0</v>
      </c>
    </row>
    <row r="48" spans="1:22" x14ac:dyDescent="0.3">
      <c r="A48" s="19">
        <v>46289</v>
      </c>
      <c r="B48" s="16" t="s">
        <v>13</v>
      </c>
      <c r="C48" s="1108" t="s">
        <v>440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/>
      <c r="O48" s="18"/>
      <c r="P48" s="18"/>
      <c r="Q48" s="18"/>
      <c r="R48" s="18"/>
      <c r="S48" s="18"/>
      <c r="T48" s="18"/>
      <c r="U48" s="18">
        <f t="shared" si="1"/>
        <v>0</v>
      </c>
      <c r="V48" s="18"/>
    </row>
    <row r="49" spans="1:22" x14ac:dyDescent="0.3">
      <c r="A49" s="19">
        <v>46290</v>
      </c>
      <c r="B49" s="16" t="s">
        <v>12</v>
      </c>
      <c r="C49" s="1134" t="s">
        <v>508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46290</v>
      </c>
      <c r="O49" s="18">
        <f>SUMIF(A$7:A$69,N49,D$7:D$69)+SUMIF(A$7:A$52,N49,G$7:G$69)</f>
        <v>175</v>
      </c>
      <c r="P49" s="18">
        <f>SUMIF(A$7:A$69,N49,E$7:E$69)+SUMIF(A$7:A$69,N49,J$7:J$69)</f>
        <v>0</v>
      </c>
      <c r="Q49" s="18">
        <f>SUMIF(A$7:A$52,N49,F$7:F$52)</f>
        <v>0</v>
      </c>
      <c r="R49" s="18">
        <f>SUMIF(A$7:A$68,N49,H$7:H$69)</f>
        <v>0</v>
      </c>
      <c r="S49" s="18">
        <f>SUMIF(A$7:A$68,N49,I$7:I$68)</f>
        <v>0</v>
      </c>
      <c r="T49" s="18">
        <f>SUMIF(A$7:A$69,N49,K$7:K$69)</f>
        <v>25</v>
      </c>
      <c r="U49" s="18">
        <f t="shared" si="1"/>
        <v>0</v>
      </c>
      <c r="V49" s="18">
        <f>SUMIF(A$7:A$69,N49,I$7:I$69)</f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/>
      <c r="O50" s="18"/>
      <c r="P50" s="18"/>
      <c r="Q50" s="18"/>
      <c r="R50" s="18"/>
      <c r="S50" s="18"/>
      <c r="T50" s="18"/>
      <c r="U50" s="18">
        <f t="shared" si="1"/>
        <v>0</v>
      </c>
      <c r="V50" s="18"/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46291</v>
      </c>
      <c r="O51" s="18">
        <f>SUMIF(A$7:A$69,N51,D$7:D$69)+SUMIF(A$7:A$52,N51,G$7:G$69)</f>
        <v>0</v>
      </c>
      <c r="P51" s="18">
        <f>SUMIF(A$7:A$69,N51,E$7:E$69)+SUMIF(A$7:A$69,N51,J$7:J$69)</f>
        <v>0</v>
      </c>
      <c r="Q51" s="18">
        <f t="shared" ref="Q51:Q68" si="11">SUMIF(A$7:A$52,N51,F$7:F$52)</f>
        <v>0</v>
      </c>
      <c r="R51" s="18">
        <f>SUMIF(A$7:A$68,N51,H$7:H$69)</f>
        <v>0</v>
      </c>
      <c r="S51" s="18">
        <f>SUMIF(A$7:A$68,N51,I$7:I$68)</f>
        <v>0</v>
      </c>
      <c r="T51" s="18">
        <f>SUMIF(A$7:A$69,N51,K$7:K$69)</f>
        <v>0</v>
      </c>
      <c r="U51" s="18">
        <f t="shared" si="1"/>
        <v>0</v>
      </c>
      <c r="V51" s="18">
        <f>SUMIF(A$7:A$69,N51,I$7:I$69)</f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46292</v>
      </c>
      <c r="O52" s="18">
        <f>SUMIF(A$7:A$69,N52,D$7:D$69)+SUMIF(A$7:A$52,N52,G$7:G$69)</f>
        <v>150</v>
      </c>
      <c r="P52" s="18">
        <f>SUMIF(A$7:A$69,N52,E$7:E$69)+SUMIF(A$7:A$69,N52,J$7:J$69)</f>
        <v>0</v>
      </c>
      <c r="Q52" s="18">
        <f t="shared" si="11"/>
        <v>0</v>
      </c>
      <c r="R52" s="18">
        <f>SUMIF(A$7:A$68,N52,H$7:H$69)</f>
        <v>0</v>
      </c>
      <c r="S52" s="18">
        <f>SUMIF(A$7:A$68,N52,I$7:I$68)</f>
        <v>0</v>
      </c>
      <c r="T52" s="18">
        <f>SUMIF(A$7:A$69,N52,K$7:K$69)</f>
        <v>0</v>
      </c>
      <c r="U52" s="18">
        <f t="shared" si="1"/>
        <v>0</v>
      </c>
      <c r="V52" s="18">
        <f>SUMIF(A$7:A$69,N52,I$7:I$69)</f>
        <v>0</v>
      </c>
    </row>
    <row r="53" spans="1:22" x14ac:dyDescent="0.3">
      <c r="A53" s="19">
        <v>46292</v>
      </c>
      <c r="B53" s="16" t="s">
        <v>13</v>
      </c>
      <c r="C53" s="1159" t="s">
        <v>749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/>
      <c r="O53" s="18"/>
      <c r="P53" s="18"/>
      <c r="Q53" s="18"/>
      <c r="R53" s="18"/>
      <c r="S53" s="18"/>
      <c r="T53" s="18"/>
      <c r="U53" s="18">
        <f t="shared" si="1"/>
        <v>0</v>
      </c>
      <c r="V53" s="18"/>
    </row>
    <row r="54" spans="1:22" x14ac:dyDescent="0.3">
      <c r="A54" s="19">
        <v>46293</v>
      </c>
      <c r="B54" s="16" t="s">
        <v>12</v>
      </c>
      <c r="C54" s="1173" t="s">
        <v>417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46293</v>
      </c>
      <c r="O54" s="18">
        <f>SUMIF(A$7:A$69,N54,D$7:D$69)+SUMIF(A$7:A$52,N54,G$7:G$69)</f>
        <v>175</v>
      </c>
      <c r="P54" s="18">
        <f>SUMIF(A$7:A$69,N54,E$7:E$69)+SUMIF(A$7:A$69,N54,J$7:J$69)</f>
        <v>0</v>
      </c>
      <c r="Q54" s="18">
        <f t="shared" si="11"/>
        <v>0</v>
      </c>
      <c r="R54" s="18">
        <f>SUMIF(A$7:A$68,N54,H$7:H$69)</f>
        <v>0</v>
      </c>
      <c r="S54" s="18">
        <f>SUMIF(A$7:A$68,N54,I$7:I$68)</f>
        <v>0</v>
      </c>
      <c r="T54" s="18">
        <f>SUMIF(A$7:A$69,N54,K$7:K$69)</f>
        <v>25</v>
      </c>
      <c r="U54" s="18">
        <f t="shared" si="1"/>
        <v>0</v>
      </c>
      <c r="V54" s="18">
        <f>SUMIF(A$7:A$69,N54,I$7:I$69)</f>
        <v>0</v>
      </c>
    </row>
    <row r="55" spans="1:22" x14ac:dyDescent="0.3">
      <c r="A55" s="19">
        <v>46293</v>
      </c>
      <c r="B55" s="16" t="s">
        <v>13</v>
      </c>
      <c r="C55" s="1173" t="s">
        <v>508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/>
      <c r="O55" s="18"/>
      <c r="P55" s="18"/>
      <c r="Q55" s="18"/>
      <c r="R55" s="18"/>
      <c r="S55" s="18"/>
      <c r="T55" s="18"/>
      <c r="U55" s="18">
        <f t="shared" si="1"/>
        <v>0</v>
      </c>
      <c r="V55" s="18"/>
    </row>
    <row r="56" spans="1:22" x14ac:dyDescent="0.3">
      <c r="A56" s="19">
        <v>46294</v>
      </c>
      <c r="B56" s="16" t="s">
        <v>12</v>
      </c>
      <c r="C56" s="1173" t="s">
        <v>417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46294</v>
      </c>
      <c r="O56" s="18">
        <f t="shared" ref="O56:O68" si="12">SUMIF(A$7:A$69,N56,D$7:D$69)+SUMIF(A$7:A$52,N56,G$7:G$69)</f>
        <v>175</v>
      </c>
      <c r="P56" s="18">
        <f t="shared" ref="P56:P68" si="13">SUMIF(A$7:A$69,N56,E$7:E$69)+SUMIF(A$7:A$69,N56,J$7:J$69)</f>
        <v>0</v>
      </c>
      <c r="Q56" s="18">
        <f t="shared" si="11"/>
        <v>0</v>
      </c>
      <c r="R56" s="18">
        <f t="shared" ref="R56:R68" si="14">SUMIF(A$7:A$68,N56,H$7:H$69)</f>
        <v>0</v>
      </c>
      <c r="S56" s="18">
        <f t="shared" ref="S56:S68" si="15">SUMIF(A$7:A$68,N56,I$7:I$68)</f>
        <v>0</v>
      </c>
      <c r="T56" s="18">
        <f t="shared" ref="T56:T68" si="16">SUMIF(A$7:A$69,N56,K$7:K$69)</f>
        <v>0</v>
      </c>
      <c r="U56" s="18">
        <f t="shared" si="1"/>
        <v>0</v>
      </c>
      <c r="V56" s="18">
        <f t="shared" ref="V56:V68" si="17">SUMIF(A$7:A$69,N56,I$7:I$69)</f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46295</v>
      </c>
      <c r="O57" s="18">
        <f t="shared" si="12"/>
        <v>0</v>
      </c>
      <c r="P57" s="18">
        <f t="shared" si="13"/>
        <v>0</v>
      </c>
      <c r="Q57" s="18">
        <f t="shared" si="11"/>
        <v>0</v>
      </c>
      <c r="R57" s="18">
        <f t="shared" si="14"/>
        <v>0</v>
      </c>
      <c r="S57" s="18">
        <f t="shared" si="15"/>
        <v>0</v>
      </c>
      <c r="T57" s="18">
        <f t="shared" si="16"/>
        <v>0</v>
      </c>
      <c r="U57" s="18">
        <f t="shared" si="1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46296</v>
      </c>
      <c r="O58" s="18">
        <f t="shared" si="12"/>
        <v>0</v>
      </c>
      <c r="P58" s="18">
        <f t="shared" si="13"/>
        <v>0</v>
      </c>
      <c r="Q58" s="18">
        <f t="shared" si="11"/>
        <v>0</v>
      </c>
      <c r="R58" s="18">
        <f t="shared" si="14"/>
        <v>0</v>
      </c>
      <c r="S58" s="18">
        <f t="shared" si="15"/>
        <v>0</v>
      </c>
      <c r="T58" s="18">
        <f t="shared" si="16"/>
        <v>0</v>
      </c>
      <c r="U58" s="18">
        <f t="shared" si="1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/>
      <c r="L59" s="6"/>
      <c r="N59" s="17">
        <v>46297</v>
      </c>
      <c r="O59" s="18">
        <f t="shared" si="12"/>
        <v>0</v>
      </c>
      <c r="P59" s="18">
        <f t="shared" si="13"/>
        <v>0</v>
      </c>
      <c r="Q59" s="18">
        <f t="shared" si="11"/>
        <v>0</v>
      </c>
      <c r="R59" s="18">
        <f t="shared" si="14"/>
        <v>0</v>
      </c>
      <c r="S59" s="18">
        <f t="shared" si="15"/>
        <v>0</v>
      </c>
      <c r="T59" s="18">
        <f t="shared" si="16"/>
        <v>0</v>
      </c>
      <c r="U59" s="18">
        <f t="shared" si="1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46298</v>
      </c>
      <c r="O60" s="18">
        <f t="shared" si="12"/>
        <v>0</v>
      </c>
      <c r="P60" s="18">
        <f t="shared" si="13"/>
        <v>0</v>
      </c>
      <c r="Q60" s="18">
        <f t="shared" si="11"/>
        <v>0</v>
      </c>
      <c r="R60" s="18">
        <f t="shared" si="14"/>
        <v>100</v>
      </c>
      <c r="S60" s="18">
        <f t="shared" si="15"/>
        <v>7</v>
      </c>
      <c r="T60" s="18">
        <f t="shared" si="16"/>
        <v>0</v>
      </c>
      <c r="U60" s="18">
        <f t="shared" si="1"/>
        <v>25</v>
      </c>
      <c r="V60" s="18">
        <f t="shared" si="17"/>
        <v>7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/>
      <c r="L61" s="6"/>
      <c r="N61" s="17">
        <v>46299</v>
      </c>
      <c r="O61" s="18">
        <f t="shared" si="12"/>
        <v>175</v>
      </c>
      <c r="P61" s="18">
        <f t="shared" si="13"/>
        <v>0</v>
      </c>
      <c r="Q61" s="18">
        <f t="shared" si="11"/>
        <v>0</v>
      </c>
      <c r="R61" s="18">
        <f t="shared" si="14"/>
        <v>0</v>
      </c>
      <c r="S61" s="18">
        <f t="shared" si="15"/>
        <v>0</v>
      </c>
      <c r="T61" s="18">
        <f t="shared" si="16"/>
        <v>0</v>
      </c>
      <c r="U61" s="18">
        <f t="shared" si="1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46300</v>
      </c>
      <c r="O62" s="18">
        <f t="shared" si="12"/>
        <v>0</v>
      </c>
      <c r="P62" s="18">
        <f t="shared" si="13"/>
        <v>0</v>
      </c>
      <c r="Q62" s="18">
        <f t="shared" ref="Q62" si="18">SUMIF(A$7:A$52,N62,F$7:F$52)</f>
        <v>0</v>
      </c>
      <c r="R62" s="18">
        <f t="shared" si="14"/>
        <v>0</v>
      </c>
      <c r="S62" s="18">
        <f t="shared" si="15"/>
        <v>0</v>
      </c>
      <c r="T62" s="18">
        <f t="shared" si="16"/>
        <v>0</v>
      </c>
      <c r="U62" s="18">
        <f t="shared" si="1"/>
        <v>0</v>
      </c>
      <c r="V62" s="18">
        <f t="shared" si="17"/>
        <v>0</v>
      </c>
    </row>
    <row r="63" spans="1:22" x14ac:dyDescent="0.3">
      <c r="A63" s="19">
        <v>46300</v>
      </c>
      <c r="B63" s="16"/>
      <c r="C63" s="16"/>
      <c r="D63" s="13"/>
      <c r="E63" s="13"/>
      <c r="F63" s="6"/>
      <c r="G63" s="6"/>
      <c r="H63" s="5"/>
      <c r="I63" s="6"/>
      <c r="J63" s="6"/>
      <c r="K63" s="6"/>
      <c r="L63" s="6"/>
      <c r="N63" s="17">
        <v>46301</v>
      </c>
      <c r="O63" s="18">
        <f t="shared" si="12"/>
        <v>0</v>
      </c>
      <c r="P63" s="18">
        <f t="shared" si="13"/>
        <v>0</v>
      </c>
      <c r="Q63" s="18">
        <f t="shared" si="11"/>
        <v>0</v>
      </c>
      <c r="R63" s="18">
        <f t="shared" si="14"/>
        <v>0</v>
      </c>
      <c r="S63" s="18">
        <f t="shared" si="15"/>
        <v>0</v>
      </c>
      <c r="T63" s="18">
        <f t="shared" si="16"/>
        <v>0</v>
      </c>
      <c r="U63" s="18">
        <f t="shared" si="1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/>
      <c r="F64" s="6"/>
      <c r="G64" s="6"/>
      <c r="H64" s="5"/>
      <c r="I64" s="6"/>
      <c r="J64" s="6"/>
      <c r="K64" s="6"/>
      <c r="L64" s="6"/>
      <c r="N64" s="17">
        <v>46302</v>
      </c>
      <c r="O64" s="18">
        <f t="shared" si="12"/>
        <v>0</v>
      </c>
      <c r="P64" s="18">
        <f t="shared" si="13"/>
        <v>0</v>
      </c>
      <c r="Q64" s="18">
        <f t="shared" si="11"/>
        <v>0</v>
      </c>
      <c r="R64" s="18">
        <f t="shared" si="14"/>
        <v>0</v>
      </c>
      <c r="S64" s="18">
        <f t="shared" si="15"/>
        <v>0</v>
      </c>
      <c r="T64" s="18">
        <f t="shared" si="16"/>
        <v>0</v>
      </c>
      <c r="U64" s="18">
        <f t="shared" si="1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/>
      <c r="E65" s="13"/>
      <c r="F65" s="6"/>
      <c r="G65" s="6"/>
      <c r="H65" s="5"/>
      <c r="I65" s="6"/>
      <c r="J65" s="6"/>
      <c r="K65" s="6"/>
      <c r="L65" s="6"/>
      <c r="N65" s="17">
        <v>46303</v>
      </c>
      <c r="O65" s="18">
        <f t="shared" si="12"/>
        <v>0</v>
      </c>
      <c r="P65" s="18">
        <f t="shared" si="13"/>
        <v>0</v>
      </c>
      <c r="Q65" s="18">
        <f t="shared" si="11"/>
        <v>0</v>
      </c>
      <c r="R65" s="18">
        <f t="shared" si="14"/>
        <v>0</v>
      </c>
      <c r="S65" s="18">
        <f t="shared" si="15"/>
        <v>0</v>
      </c>
      <c r="T65" s="18">
        <f t="shared" si="16"/>
        <v>0</v>
      </c>
      <c r="U65" s="18">
        <f t="shared" si="1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/>
      <c r="E66" s="13"/>
      <c r="F66" s="6"/>
      <c r="G66" s="6"/>
      <c r="H66" s="5"/>
      <c r="I66" s="6"/>
      <c r="J66" s="6"/>
      <c r="K66" s="6"/>
      <c r="L66" s="6"/>
      <c r="N66" s="17">
        <v>46304</v>
      </c>
      <c r="O66" s="18">
        <f t="shared" si="12"/>
        <v>0</v>
      </c>
      <c r="P66" s="18">
        <f t="shared" si="13"/>
        <v>0</v>
      </c>
      <c r="Q66" s="18">
        <f t="shared" si="11"/>
        <v>0</v>
      </c>
      <c r="R66" s="18">
        <f t="shared" si="14"/>
        <v>0</v>
      </c>
      <c r="S66" s="18">
        <f t="shared" si="15"/>
        <v>0</v>
      </c>
      <c r="T66" s="18">
        <f t="shared" si="16"/>
        <v>0</v>
      </c>
      <c r="U66" s="18">
        <f t="shared" si="1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/>
      <c r="E67" s="13"/>
      <c r="F67" s="6"/>
      <c r="G67" s="6"/>
      <c r="H67" s="5"/>
      <c r="I67" s="6"/>
      <c r="J67" s="6"/>
      <c r="K67" s="6"/>
      <c r="L67" s="6"/>
      <c r="N67" s="17">
        <v>46305</v>
      </c>
      <c r="O67" s="18">
        <f t="shared" si="12"/>
        <v>0</v>
      </c>
      <c r="P67" s="18">
        <f t="shared" si="13"/>
        <v>0</v>
      </c>
      <c r="Q67" s="18">
        <f t="shared" si="11"/>
        <v>0</v>
      </c>
      <c r="R67" s="18">
        <f t="shared" si="14"/>
        <v>0</v>
      </c>
      <c r="S67" s="18">
        <f t="shared" si="15"/>
        <v>0</v>
      </c>
      <c r="T67" s="18">
        <f t="shared" si="16"/>
        <v>0</v>
      </c>
      <c r="U67" s="18">
        <f t="shared" si="1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/>
      <c r="E68" s="13"/>
      <c r="F68" s="6"/>
      <c r="G68" s="6"/>
      <c r="H68" s="5"/>
      <c r="I68" s="6"/>
      <c r="J68" s="6"/>
      <c r="K68" s="6"/>
      <c r="L68" s="6"/>
      <c r="N68" s="17">
        <v>46306</v>
      </c>
      <c r="O68" s="18">
        <f t="shared" si="12"/>
        <v>0</v>
      </c>
      <c r="P68" s="18">
        <f t="shared" si="13"/>
        <v>0</v>
      </c>
      <c r="Q68" s="18">
        <f t="shared" si="11"/>
        <v>0</v>
      </c>
      <c r="R68" s="18">
        <f t="shared" si="14"/>
        <v>0</v>
      </c>
      <c r="S68" s="18">
        <f t="shared" si="15"/>
        <v>0</v>
      </c>
      <c r="T68" s="18">
        <f t="shared" si="16"/>
        <v>0</v>
      </c>
      <c r="U68" s="18">
        <f t="shared" si="1"/>
        <v>0</v>
      </c>
      <c r="V68" s="18">
        <f t="shared" si="17"/>
        <v>0</v>
      </c>
    </row>
    <row r="69" spans="1:22" x14ac:dyDescent="0.3">
      <c r="A69" s="19"/>
      <c r="B69" s="16"/>
      <c r="C69" s="16"/>
      <c r="D69" s="13"/>
      <c r="E69" s="13"/>
      <c r="F69" s="6"/>
      <c r="G69" s="6"/>
      <c r="H69" s="5"/>
      <c r="I69" s="6"/>
      <c r="J69" s="6"/>
      <c r="K69" s="6"/>
      <c r="L69" s="6"/>
      <c r="N69" s="20" t="s">
        <v>17</v>
      </c>
      <c r="O69" s="21">
        <f>SUM(O7:O68)</f>
        <v>5800</v>
      </c>
      <c r="P69" s="21">
        <f t="shared" ref="P69:V69" si="19">SUM(P7:P68)</f>
        <v>4150</v>
      </c>
      <c r="Q69" s="21">
        <f t="shared" si="19"/>
        <v>3000</v>
      </c>
      <c r="R69" s="21">
        <f t="shared" si="19"/>
        <v>100</v>
      </c>
      <c r="S69" s="21">
        <f t="shared" si="19"/>
        <v>7</v>
      </c>
      <c r="T69" s="21">
        <f t="shared" si="19"/>
        <v>325</v>
      </c>
      <c r="U69" s="21">
        <f t="shared" si="19"/>
        <v>25</v>
      </c>
      <c r="V69" s="21">
        <f t="shared" si="19"/>
        <v>7</v>
      </c>
    </row>
    <row r="71" spans="1:22" x14ac:dyDescent="0.3">
      <c r="T71">
        <f>Z22*T69</f>
        <v>14300000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69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22"/>
  <sheetViews>
    <sheetView view="pageBreakPreview" zoomScale="55" zoomScaleNormal="44" zoomScaleSheetLayoutView="74" workbookViewId="0">
      <pane ySplit="5" topLeftCell="A20" activePane="bottomLeft" state="frozen"/>
      <selection pane="bottomLeft" activeCell="M20" sqref="M20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279" t="s">
        <v>665</v>
      </c>
      <c r="C4" s="1280"/>
      <c r="D4" s="1280"/>
      <c r="E4" s="1280"/>
      <c r="F4" s="1280"/>
      <c r="G4" s="1280"/>
      <c r="H4" s="1280"/>
      <c r="I4" s="1280"/>
      <c r="J4" s="1280"/>
      <c r="K4" s="1280"/>
      <c r="L4" s="1280"/>
      <c r="M4" s="1280"/>
      <c r="N4" s="1280"/>
      <c r="O4" s="1281"/>
    </row>
    <row r="5" spans="2:27" ht="75.599999999999994" customHeight="1" thickBot="1" x14ac:dyDescent="0.35">
      <c r="B5" s="1277" t="s">
        <v>0</v>
      </c>
      <c r="C5" s="1278"/>
      <c r="D5" s="270" t="s">
        <v>289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243" t="s">
        <v>11</v>
      </c>
      <c r="T5" s="1244"/>
      <c r="W5" s="1220" t="s">
        <v>18</v>
      </c>
      <c r="X5" s="1220"/>
      <c r="Y5" s="1220"/>
      <c r="Z5" s="1220"/>
      <c r="AA5" s="1220"/>
    </row>
    <row r="6" spans="2:27" ht="13.95" customHeight="1" thickBot="1" x14ac:dyDescent="0.4">
      <c r="B6" s="1255">
        <v>46174</v>
      </c>
      <c r="C6" s="1256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265">
        <f>SUM(L6:L7)</f>
        <v>0</v>
      </c>
      <c r="O6" s="284"/>
      <c r="P6" s="4"/>
      <c r="S6" s="254" t="s">
        <v>428</v>
      </c>
      <c r="T6" s="6">
        <v>0.5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263"/>
      <c r="C7" s="1264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266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271">
        <v>46175</v>
      </c>
      <c r="C8" s="1272"/>
      <c r="D8" s="338" t="s">
        <v>12</v>
      </c>
      <c r="E8" s="339" t="s">
        <v>169</v>
      </c>
      <c r="F8" s="340">
        <v>141</v>
      </c>
      <c r="G8" s="341" t="s">
        <v>428</v>
      </c>
      <c r="H8" s="342">
        <v>0.18</v>
      </c>
      <c r="I8" s="343">
        <f>IFERROR((VLOOKUP(G8,S$6:T$8,2,FALSE)),"")</f>
        <v>0.5</v>
      </c>
      <c r="J8" s="281">
        <v>1.35</v>
      </c>
      <c r="K8" s="344">
        <f t="shared" ref="K8:K61" si="3">IFERROR((F8*I8*J8),"")</f>
        <v>95.175000000000011</v>
      </c>
      <c r="L8" s="345">
        <f t="shared" si="1"/>
        <v>78.043500000000009</v>
      </c>
      <c r="M8" s="345">
        <f>IFERROR((K8/6),"")</f>
        <v>15.862500000000002</v>
      </c>
      <c r="N8" s="1275">
        <f>SUM(L8:L9)</f>
        <v>78.043500000000009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273"/>
      <c r="C9" s="1274"/>
      <c r="D9" s="347" t="s">
        <v>13</v>
      </c>
      <c r="E9" s="348"/>
      <c r="F9" s="349"/>
      <c r="G9" s="384"/>
      <c r="H9" s="350"/>
      <c r="I9" s="351" t="str">
        <f t="shared" ref="I9:I114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276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255">
        <v>46176</v>
      </c>
      <c r="C10" s="1256"/>
      <c r="D10" s="275" t="s">
        <v>12</v>
      </c>
      <c r="E10" s="276" t="s">
        <v>169</v>
      </c>
      <c r="F10" s="277">
        <v>32</v>
      </c>
      <c r="G10" s="388" t="s">
        <v>428</v>
      </c>
      <c r="H10" s="279">
        <v>0.18</v>
      </c>
      <c r="I10" s="280">
        <f t="shared" si="4"/>
        <v>0.5</v>
      </c>
      <c r="J10" s="281">
        <v>1.35</v>
      </c>
      <c r="K10" s="282">
        <f t="shared" si="3"/>
        <v>21.6</v>
      </c>
      <c r="L10" s="283">
        <f t="shared" ref="L10:L61" si="5">IFERROR(((F10*I10)*J10)*(1-H10),"")</f>
        <v>17.712000000000003</v>
      </c>
      <c r="M10" s="283">
        <f t="shared" ref="M10:M61" si="6">IFERROR((K10/12),"")</f>
        <v>1.8</v>
      </c>
      <c r="N10" s="1267">
        <f>SUM(L10:L11)</f>
        <v>17.712000000000003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263"/>
      <c r="C11" s="1264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268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271">
        <v>46177</v>
      </c>
      <c r="C12" s="1272"/>
      <c r="D12" s="338" t="s">
        <v>12</v>
      </c>
      <c r="E12" s="339" t="s">
        <v>172</v>
      </c>
      <c r="F12" s="340">
        <v>282</v>
      </c>
      <c r="G12" s="341" t="s">
        <v>428</v>
      </c>
      <c r="H12" s="342">
        <v>0.17</v>
      </c>
      <c r="I12" s="343">
        <f t="shared" si="4"/>
        <v>0.5</v>
      </c>
      <c r="J12" s="281">
        <v>1.35</v>
      </c>
      <c r="K12" s="344">
        <f t="shared" si="3"/>
        <v>190.35000000000002</v>
      </c>
      <c r="L12" s="345">
        <f t="shared" si="5"/>
        <v>157.9905</v>
      </c>
      <c r="M12" s="345">
        <f t="shared" si="6"/>
        <v>15.862500000000002</v>
      </c>
      <c r="N12" s="1275">
        <f t="shared" ref="N12" si="8">SUM(L12:L13)</f>
        <v>157.9905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273"/>
      <c r="C13" s="1274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276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255">
        <v>46252</v>
      </c>
      <c r="C14" s="1256"/>
      <c r="D14" s="275" t="s">
        <v>12</v>
      </c>
      <c r="E14" s="276" t="s">
        <v>199</v>
      </c>
      <c r="F14" s="277">
        <v>62</v>
      </c>
      <c r="G14" s="388" t="s">
        <v>428</v>
      </c>
      <c r="H14" s="279">
        <v>0.12</v>
      </c>
      <c r="I14" s="280">
        <f t="shared" si="4"/>
        <v>0.5</v>
      </c>
      <c r="J14" s="281">
        <v>1.39</v>
      </c>
      <c r="K14" s="282">
        <f>IFERROR((F14*I14*J14),"")</f>
        <v>43.089999999999996</v>
      </c>
      <c r="L14" s="283">
        <f t="shared" si="5"/>
        <v>37.919199999999996</v>
      </c>
      <c r="M14" s="283">
        <f>IFERROR((K14/12),"")</f>
        <v>3.5908333333333329</v>
      </c>
      <c r="N14" s="1267">
        <f t="shared" ref="N14" si="9">SUM(L14:L15)</f>
        <v>37.919199999999996</v>
      </c>
      <c r="O14" s="284" t="s">
        <v>409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263"/>
      <c r="C15" s="1264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268"/>
      <c r="O15" s="284"/>
    </row>
    <row r="16" spans="2:27" ht="18.600000000000001" thickBot="1" x14ac:dyDescent="0.4">
      <c r="B16" s="1271">
        <v>46253</v>
      </c>
      <c r="C16" s="1272"/>
      <c r="D16" s="338" t="s">
        <v>12</v>
      </c>
      <c r="E16" s="339" t="s">
        <v>199</v>
      </c>
      <c r="F16" s="340">
        <v>463</v>
      </c>
      <c r="G16" s="341" t="s">
        <v>428</v>
      </c>
      <c r="H16" s="342">
        <v>0.12</v>
      </c>
      <c r="I16" s="343">
        <f t="shared" si="4"/>
        <v>0.5</v>
      </c>
      <c r="J16" s="281">
        <v>1.39</v>
      </c>
      <c r="K16" s="344">
        <f t="shared" si="3"/>
        <v>321.78499999999997</v>
      </c>
      <c r="L16" s="345">
        <f>IFERROR(((F16*I16)*J16)*(1-H16),"")</f>
        <v>283.17079999999999</v>
      </c>
      <c r="M16" s="345">
        <f t="shared" si="6"/>
        <v>26.815416666666664</v>
      </c>
      <c r="N16" s="1275">
        <f>SUM(L16:L17)</f>
        <v>283.17079999999999</v>
      </c>
      <c r="O16" s="346" t="s">
        <v>407</v>
      </c>
      <c r="S16" s="1">
        <f>S14/1.4</f>
        <v>45.714285714285715</v>
      </c>
    </row>
    <row r="17" spans="2:23" ht="18.600000000000001" thickBot="1" x14ac:dyDescent="0.4">
      <c r="B17" s="1273"/>
      <c r="C17" s="1274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276"/>
      <c r="O17" s="346" t="s">
        <v>386</v>
      </c>
    </row>
    <row r="18" spans="2:23" ht="18.600000000000001" thickBot="1" x14ac:dyDescent="0.4">
      <c r="B18" s="1255">
        <v>46254</v>
      </c>
      <c r="C18" s="1256"/>
      <c r="D18" s="275" t="s">
        <v>12</v>
      </c>
      <c r="E18" s="276" t="s">
        <v>199</v>
      </c>
      <c r="F18" s="277">
        <v>539</v>
      </c>
      <c r="G18" s="388" t="s">
        <v>428</v>
      </c>
      <c r="H18" s="279">
        <v>0.1</v>
      </c>
      <c r="I18" s="280">
        <f>IFERROR((VLOOKUP(G18,S$6:T$8,2,FALSE)),"")</f>
        <v>0.5</v>
      </c>
      <c r="J18" s="281">
        <v>1.39</v>
      </c>
      <c r="K18" s="282">
        <f t="shared" si="3"/>
        <v>374.60499999999996</v>
      </c>
      <c r="L18" s="283">
        <f>IFERROR(((F18*I18)*J18)*(1-H18),"")</f>
        <v>337.14449999999999</v>
      </c>
      <c r="M18" s="283">
        <f>IFERROR((K18/12),"")</f>
        <v>31.217083333333331</v>
      </c>
      <c r="N18" s="1267">
        <f>SUM(L18:L19)</f>
        <v>337.14449999999999</v>
      </c>
      <c r="O18" s="284" t="s">
        <v>407</v>
      </c>
      <c r="T18" s="3"/>
      <c r="V18" s="1">
        <f>(T8*3)*(1-12%)</f>
        <v>7.92</v>
      </c>
      <c r="W18" s="1" t="s">
        <v>200</v>
      </c>
    </row>
    <row r="19" spans="2:23" ht="18.600000000000001" thickBot="1" x14ac:dyDescent="0.4">
      <c r="B19" s="1263"/>
      <c r="C19" s="1264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282"/>
      <c r="O19" s="284" t="s">
        <v>408</v>
      </c>
      <c r="T19" s="109"/>
    </row>
    <row r="20" spans="2:23" ht="18.600000000000001" thickBot="1" x14ac:dyDescent="0.4">
      <c r="B20" s="1255">
        <v>46255</v>
      </c>
      <c r="C20" s="1256"/>
      <c r="D20" s="275" t="s">
        <v>12</v>
      </c>
      <c r="E20" s="276" t="s">
        <v>199</v>
      </c>
      <c r="F20" s="277">
        <v>409</v>
      </c>
      <c r="G20" s="388" t="s">
        <v>428</v>
      </c>
      <c r="H20" s="279">
        <v>0.1</v>
      </c>
      <c r="I20" s="280">
        <f>IFERROR((VLOOKUP(G20,S$6:T$8,2,FALSE)),"")</f>
        <v>0.5</v>
      </c>
      <c r="J20" s="281">
        <v>1.39</v>
      </c>
      <c r="K20" s="282">
        <f t="shared" ref="K20:K21" si="10">IFERROR((F20*I20*J20),"")</f>
        <v>284.255</v>
      </c>
      <c r="L20" s="283">
        <f>IFERROR(((F20*I20)*J20)*(1-H20),"")</f>
        <v>255.8295</v>
      </c>
      <c r="M20" s="283">
        <f>IFERROR(((K20+K21)/12),"")</f>
        <v>27.162916666666664</v>
      </c>
      <c r="N20" s="1267">
        <f>SUM(L20:L21)</f>
        <v>293.35949999999997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263"/>
      <c r="C21" s="1264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282"/>
      <c r="O21" s="284"/>
      <c r="S21" s="2"/>
      <c r="T21" s="110"/>
    </row>
    <row r="22" spans="2:23" ht="18.600000000000001" thickBot="1" x14ac:dyDescent="0.4">
      <c r="B22" s="1255">
        <v>46256</v>
      </c>
      <c r="C22" s="1256"/>
      <c r="D22" s="275" t="s">
        <v>12</v>
      </c>
      <c r="E22" s="276" t="s">
        <v>199</v>
      </c>
      <c r="F22" s="277">
        <v>315</v>
      </c>
      <c r="G22" s="278" t="s">
        <v>428</v>
      </c>
      <c r="H22" s="279">
        <v>0.1</v>
      </c>
      <c r="I22" s="280">
        <f>IFERROR((VLOOKUP(G22,S$6:T$8,2,FALSE)),"")</f>
        <v>0.5</v>
      </c>
      <c r="J22" s="281">
        <v>1.39</v>
      </c>
      <c r="K22" s="282">
        <f t="shared" si="3"/>
        <v>218.92499999999998</v>
      </c>
      <c r="L22" s="283">
        <f t="shared" si="5"/>
        <v>197.0325</v>
      </c>
      <c r="M22" s="308">
        <f t="shared" si="6"/>
        <v>18.243749999999999</v>
      </c>
      <c r="N22" s="1267">
        <f>SUM(L22:L23)</f>
        <v>197.0325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263"/>
      <c r="C23" s="1264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268"/>
      <c r="O23" s="284"/>
      <c r="P23" s="8"/>
      <c r="T23" s="109"/>
    </row>
    <row r="24" spans="2:23" ht="18.600000000000001" thickBot="1" x14ac:dyDescent="0.4">
      <c r="B24" s="1255">
        <v>46257</v>
      </c>
      <c r="C24" s="1256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267">
        <f>SUM(L24:L25)</f>
        <v>0</v>
      </c>
      <c r="O24" s="284"/>
    </row>
    <row r="25" spans="2:23" ht="18.600000000000001" thickBot="1" x14ac:dyDescent="0.4">
      <c r="B25" s="1263"/>
      <c r="C25" s="1264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268"/>
      <c r="O25" s="284"/>
      <c r="T25" s="3"/>
    </row>
    <row r="26" spans="2:23" ht="18.600000000000001" thickBot="1" x14ac:dyDescent="0.4">
      <c r="B26" s="1255">
        <v>46258</v>
      </c>
      <c r="C26" s="1256"/>
      <c r="D26" s="275" t="s">
        <v>12</v>
      </c>
      <c r="E26" s="276" t="s">
        <v>199</v>
      </c>
      <c r="F26" s="277">
        <v>234</v>
      </c>
      <c r="G26" s="278" t="s">
        <v>428</v>
      </c>
      <c r="H26" s="279">
        <v>0.1</v>
      </c>
      <c r="I26" s="280">
        <f t="shared" si="4"/>
        <v>0.5</v>
      </c>
      <c r="J26" s="281">
        <v>1.39</v>
      </c>
      <c r="K26" s="282">
        <f t="shared" si="3"/>
        <v>162.63</v>
      </c>
      <c r="L26" s="283">
        <f t="shared" si="5"/>
        <v>146.36699999999999</v>
      </c>
      <c r="M26" s="283">
        <f t="shared" si="6"/>
        <v>13.5525</v>
      </c>
      <c r="N26" s="1267">
        <f>SUM(L26:L27)</f>
        <v>165.13199999999998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263"/>
      <c r="C27" s="1264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268"/>
      <c r="O27" s="284"/>
    </row>
    <row r="28" spans="2:23" ht="18.600000000000001" thickBot="1" x14ac:dyDescent="0.4">
      <c r="B28" s="1255">
        <v>46259</v>
      </c>
      <c r="C28" s="1256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267">
        <f>SUM(L28:L29)</f>
        <v>0</v>
      </c>
      <c r="O28" s="284"/>
    </row>
    <row r="29" spans="2:23" ht="18.600000000000001" thickBot="1" x14ac:dyDescent="0.4">
      <c r="B29" s="1263"/>
      <c r="C29" s="1264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268"/>
      <c r="O29" s="284"/>
      <c r="P29" s="8"/>
    </row>
    <row r="30" spans="2:23" ht="18.600000000000001" thickBot="1" x14ac:dyDescent="0.4">
      <c r="B30" s="1255">
        <v>46260</v>
      </c>
      <c r="C30" s="1256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267">
        <f t="shared" ref="N30" si="13">SUM(L30:L31)</f>
        <v>0</v>
      </c>
      <c r="O30" s="284"/>
    </row>
    <row r="31" spans="2:23" ht="18.600000000000001" thickBot="1" x14ac:dyDescent="0.4">
      <c r="B31" s="1263"/>
      <c r="C31" s="1264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268"/>
      <c r="O31" s="284"/>
    </row>
    <row r="32" spans="2:23" ht="54.6" thickBot="1" x14ac:dyDescent="0.4">
      <c r="B32" s="1255">
        <v>46261</v>
      </c>
      <c r="C32" s="1256"/>
      <c r="D32" s="275" t="s">
        <v>12</v>
      </c>
      <c r="E32" s="276" t="s">
        <v>416</v>
      </c>
      <c r="F32" s="277">
        <v>202</v>
      </c>
      <c r="G32" s="278" t="s">
        <v>428</v>
      </c>
      <c r="H32" s="279">
        <v>0.11</v>
      </c>
      <c r="I32" s="280">
        <f t="shared" si="4"/>
        <v>0.5</v>
      </c>
      <c r="J32" s="281">
        <v>1.39</v>
      </c>
      <c r="K32" s="282">
        <f t="shared" si="3"/>
        <v>140.38999999999999</v>
      </c>
      <c r="L32" s="283">
        <f t="shared" si="5"/>
        <v>124.94709999999999</v>
      </c>
      <c r="M32" s="283">
        <f t="shared" si="6"/>
        <v>11.699166666666665</v>
      </c>
      <c r="N32" s="1265">
        <f>SUM(L32:L33)</f>
        <v>124.94709999999999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263"/>
      <c r="C33" s="1264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266"/>
      <c r="O33" s="284"/>
    </row>
    <row r="34" spans="2:24" ht="18.600000000000001" thickBot="1" x14ac:dyDescent="0.4">
      <c r="B34" s="1255">
        <v>46262</v>
      </c>
      <c r="C34" s="1256"/>
      <c r="D34" s="275" t="s">
        <v>12</v>
      </c>
      <c r="E34" s="276" t="s">
        <v>169</v>
      </c>
      <c r="F34" s="277">
        <v>290</v>
      </c>
      <c r="G34" s="278" t="s">
        <v>428</v>
      </c>
      <c r="H34" s="279">
        <v>0.11</v>
      </c>
      <c r="I34" s="280">
        <f t="shared" si="4"/>
        <v>0.5</v>
      </c>
      <c r="J34" s="281">
        <v>1.3</v>
      </c>
      <c r="K34" s="282">
        <f t="shared" si="3"/>
        <v>188.5</v>
      </c>
      <c r="L34" s="283">
        <f t="shared" si="5"/>
        <v>167.76500000000001</v>
      </c>
      <c r="M34" s="283">
        <f t="shared" si="6"/>
        <v>15.708333333333334</v>
      </c>
      <c r="N34" s="1265">
        <f>SUM(L34:L35)</f>
        <v>167.76500000000001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263"/>
      <c r="C35" s="1264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266"/>
      <c r="O35" s="284"/>
    </row>
    <row r="36" spans="2:24" ht="18.600000000000001" thickBot="1" x14ac:dyDescent="0.35">
      <c r="B36" s="1255">
        <v>46263</v>
      </c>
      <c r="C36" s="1256"/>
      <c r="D36" s="275" t="s">
        <v>12</v>
      </c>
      <c r="E36" s="276" t="s">
        <v>169</v>
      </c>
      <c r="F36" s="277">
        <v>411</v>
      </c>
      <c r="G36" s="278" t="s">
        <v>428</v>
      </c>
      <c r="H36" s="279">
        <v>0.1</v>
      </c>
      <c r="I36" s="280">
        <f t="shared" si="4"/>
        <v>0.5</v>
      </c>
      <c r="J36" s="281">
        <v>1.3</v>
      </c>
      <c r="K36" s="282">
        <f t="shared" si="3"/>
        <v>267.15000000000003</v>
      </c>
      <c r="L36" s="283">
        <f t="shared" si="5"/>
        <v>240.43500000000003</v>
      </c>
      <c r="M36" s="283">
        <f t="shared" ref="M36:M37" si="14">IFERROR((K36/12),"")</f>
        <v>22.262500000000003</v>
      </c>
      <c r="N36" s="1265">
        <f>SUM(L36:L37)</f>
        <v>240.43500000000003</v>
      </c>
      <c r="O36" s="1287" t="str">
        <f>'Crushing Down Time Hours'!G17</f>
        <v>istirahat jam 12-13, 14:00-15:00 ada loading material dari mining</v>
      </c>
    </row>
    <row r="37" spans="2:24" ht="18.600000000000001" thickBot="1" x14ac:dyDescent="0.35">
      <c r="B37" s="1263"/>
      <c r="C37" s="1264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266"/>
      <c r="O37" s="1288"/>
    </row>
    <row r="38" spans="2:24" ht="18.600000000000001" thickBot="1" x14ac:dyDescent="0.4">
      <c r="B38" s="1255">
        <v>46264</v>
      </c>
      <c r="C38" s="1256"/>
      <c r="D38" s="275" t="s">
        <v>12</v>
      </c>
      <c r="E38" s="276" t="s">
        <v>169</v>
      </c>
      <c r="F38" s="277">
        <v>92</v>
      </c>
      <c r="G38" s="278" t="s">
        <v>428</v>
      </c>
      <c r="H38" s="279">
        <v>0.1</v>
      </c>
      <c r="I38" s="280">
        <f t="shared" si="4"/>
        <v>0.5</v>
      </c>
      <c r="J38" s="281">
        <v>1.3</v>
      </c>
      <c r="K38" s="282">
        <f t="shared" si="3"/>
        <v>59.800000000000004</v>
      </c>
      <c r="L38" s="283">
        <f t="shared" si="5"/>
        <v>53.820000000000007</v>
      </c>
      <c r="M38" s="283">
        <f t="shared" si="6"/>
        <v>4.9833333333333334</v>
      </c>
      <c r="N38" s="1265">
        <f t="shared" ref="N38" si="15">SUM(L38:L39)</f>
        <v>53.820000000000007</v>
      </c>
      <c r="O38" s="284"/>
      <c r="Q38" s="4"/>
    </row>
    <row r="39" spans="2:24" ht="18.600000000000001" thickBot="1" x14ac:dyDescent="0.4">
      <c r="B39" s="1263"/>
      <c r="C39" s="1264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266"/>
      <c r="O39" s="284"/>
    </row>
    <row r="40" spans="2:24" ht="18.600000000000001" thickBot="1" x14ac:dyDescent="0.4">
      <c r="B40" s="1255">
        <v>46265</v>
      </c>
      <c r="C40" s="1256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267">
        <f>SUM(L40:L41)</f>
        <v>0</v>
      </c>
      <c r="O40" s="284"/>
    </row>
    <row r="41" spans="2:24" ht="18.600000000000001" thickBot="1" x14ac:dyDescent="0.4">
      <c r="B41" s="1263"/>
      <c r="C41" s="1264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268"/>
      <c r="O41" s="284"/>
    </row>
    <row r="42" spans="2:24" ht="18.600000000000001" thickBot="1" x14ac:dyDescent="0.4">
      <c r="B42" s="1255">
        <v>46266</v>
      </c>
      <c r="C42" s="1256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267">
        <f t="shared" ref="N42" si="16">SUM(L42:L43)</f>
        <v>0</v>
      </c>
      <c r="O42" s="284"/>
    </row>
    <row r="43" spans="2:24" ht="18.600000000000001" thickBot="1" x14ac:dyDescent="0.4">
      <c r="B43" s="1263"/>
      <c r="C43" s="1264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268"/>
      <c r="O43" s="284"/>
    </row>
    <row r="44" spans="2:24" ht="18.600000000000001" thickBot="1" x14ac:dyDescent="0.4">
      <c r="B44" s="1255">
        <v>46267</v>
      </c>
      <c r="C44" s="1256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267">
        <f t="shared" ref="N44" si="17">SUM(L44:L45)</f>
        <v>0</v>
      </c>
      <c r="O44" s="284"/>
    </row>
    <row r="45" spans="2:24" ht="18.600000000000001" thickBot="1" x14ac:dyDescent="0.4">
      <c r="B45" s="1263"/>
      <c r="C45" s="1264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268"/>
      <c r="O45" s="284"/>
    </row>
    <row r="46" spans="2:24" ht="18.600000000000001" thickBot="1" x14ac:dyDescent="0.4">
      <c r="B46" s="1255">
        <v>46268</v>
      </c>
      <c r="C46" s="1256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267">
        <f t="shared" ref="N46:N58" si="18">SUM(L46:L47)</f>
        <v>0</v>
      </c>
      <c r="O46" s="284"/>
    </row>
    <row r="47" spans="2:24" ht="18.600000000000001" thickBot="1" x14ac:dyDescent="0.4">
      <c r="B47" s="1263"/>
      <c r="C47" s="1264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268"/>
      <c r="O47" s="284"/>
    </row>
    <row r="48" spans="2:24" ht="18.600000000000001" thickBot="1" x14ac:dyDescent="0.4">
      <c r="B48" s="1255">
        <v>46269</v>
      </c>
      <c r="C48" s="1256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267">
        <f t="shared" si="18"/>
        <v>0</v>
      </c>
      <c r="O48" s="284"/>
    </row>
    <row r="49" spans="2:22" ht="18.600000000000001" thickBot="1" x14ac:dyDescent="0.4">
      <c r="B49" s="1263"/>
      <c r="C49" s="1264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268"/>
      <c r="O49" s="284"/>
    </row>
    <row r="50" spans="2:22" ht="18.600000000000001" thickBot="1" x14ac:dyDescent="0.4">
      <c r="B50" s="1255">
        <v>46270</v>
      </c>
      <c r="C50" s="1256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267">
        <f t="shared" si="18"/>
        <v>0</v>
      </c>
      <c r="O50" s="284"/>
      <c r="R50" s="1">
        <f>180/12</f>
        <v>15</v>
      </c>
    </row>
    <row r="51" spans="2:22" ht="18.600000000000001" thickBot="1" x14ac:dyDescent="0.4">
      <c r="B51" s="1263"/>
      <c r="C51" s="1264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268"/>
      <c r="O51" s="284"/>
      <c r="P51" s="4"/>
    </row>
    <row r="52" spans="2:22" ht="18.600000000000001" thickBot="1" x14ac:dyDescent="0.4">
      <c r="B52" s="1255">
        <v>46271</v>
      </c>
      <c r="C52" s="1256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267">
        <f t="shared" si="18"/>
        <v>0</v>
      </c>
      <c r="O52" s="284"/>
    </row>
    <row r="53" spans="2:22" ht="18.600000000000001" thickBot="1" x14ac:dyDescent="0.4">
      <c r="B53" s="1263"/>
      <c r="C53" s="1264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268"/>
      <c r="O53" s="284"/>
      <c r="R53" s="1">
        <f>R50*4</f>
        <v>60</v>
      </c>
    </row>
    <row r="54" spans="2:22" ht="18.600000000000001" thickBot="1" x14ac:dyDescent="0.4">
      <c r="B54" s="1255">
        <v>46272</v>
      </c>
      <c r="C54" s="1256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267">
        <f t="shared" si="18"/>
        <v>0</v>
      </c>
      <c r="O54" s="284"/>
    </row>
    <row r="55" spans="2:22" ht="18.600000000000001" thickBot="1" x14ac:dyDescent="0.4">
      <c r="B55" s="1263"/>
      <c r="C55" s="1264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268"/>
      <c r="O55" s="284"/>
      <c r="R55" s="1">
        <f>R53*1.7</f>
        <v>102</v>
      </c>
      <c r="S55" s="1">
        <v>9570</v>
      </c>
    </row>
    <row r="56" spans="2:22" ht="18.600000000000001" thickBot="1" x14ac:dyDescent="0.4">
      <c r="B56" s="1255">
        <v>46273</v>
      </c>
      <c r="C56" s="1256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267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thickBot="1" x14ac:dyDescent="0.4">
      <c r="B57" s="1263"/>
      <c r="C57" s="1264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268"/>
      <c r="O57" s="284"/>
      <c r="Q57" s="4"/>
      <c r="R57" s="4"/>
      <c r="S57" s="1">
        <v>1190</v>
      </c>
    </row>
    <row r="58" spans="2:22" ht="18.600000000000001" thickBot="1" x14ac:dyDescent="0.4">
      <c r="B58" s="1255">
        <v>46274</v>
      </c>
      <c r="C58" s="1256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267">
        <f t="shared" si="18"/>
        <v>0</v>
      </c>
      <c r="O58" s="284"/>
      <c r="P58" s="8"/>
      <c r="S58" s="1">
        <f>S56-S57</f>
        <v>8605</v>
      </c>
    </row>
    <row r="59" spans="2:22" ht="18.600000000000001" thickBot="1" x14ac:dyDescent="0.4">
      <c r="B59" s="1263"/>
      <c r="C59" s="1264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268"/>
      <c r="O59" s="284"/>
      <c r="P59" s="4"/>
      <c r="S59" s="2">
        <f>(S55-S58)/S55</f>
        <v>0.10083594566353186</v>
      </c>
    </row>
    <row r="60" spans="2:22" ht="18.600000000000001" thickBot="1" x14ac:dyDescent="0.4">
      <c r="B60" s="1255">
        <v>46275</v>
      </c>
      <c r="C60" s="1256"/>
      <c r="D60" s="275" t="s">
        <v>12</v>
      </c>
      <c r="E60" s="311" t="s">
        <v>169</v>
      </c>
      <c r="F60" s="312">
        <v>113</v>
      </c>
      <c r="G60" s="313" t="s">
        <v>428</v>
      </c>
      <c r="H60" s="314">
        <v>0.1</v>
      </c>
      <c r="I60" s="280">
        <f t="shared" si="4"/>
        <v>0.5</v>
      </c>
      <c r="J60" s="281">
        <v>1.3</v>
      </c>
      <c r="K60" s="282">
        <f t="shared" si="3"/>
        <v>73.45</v>
      </c>
      <c r="L60" s="283">
        <f t="shared" si="5"/>
        <v>66.105000000000004</v>
      </c>
      <c r="M60" s="308">
        <f>IFERROR((K60/12),"")</f>
        <v>6.1208333333333336</v>
      </c>
      <c r="N60" s="1269">
        <f>SUM(L60:L61)</f>
        <v>73.125</v>
      </c>
      <c r="O60" s="284"/>
      <c r="P60" s="8"/>
    </row>
    <row r="61" spans="2:22" ht="18.600000000000001" thickBot="1" x14ac:dyDescent="0.4">
      <c r="B61" s="1263"/>
      <c r="C61" s="1264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270"/>
      <c r="O61" s="284"/>
      <c r="P61" s="8"/>
    </row>
    <row r="62" spans="2:22" ht="18.600000000000001" thickBot="1" x14ac:dyDescent="0.4">
      <c r="B62" s="1255">
        <v>46276</v>
      </c>
      <c r="C62" s="1256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269">
        <f>SUM(L62:L63)</f>
        <v>0</v>
      </c>
      <c r="O62" s="284"/>
      <c r="P62" s="8"/>
    </row>
    <row r="63" spans="2:22" ht="18.600000000000001" thickBot="1" x14ac:dyDescent="0.4">
      <c r="B63" s="1263"/>
      <c r="C63" s="1264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270"/>
      <c r="O63" s="284"/>
      <c r="P63" s="8"/>
    </row>
    <row r="64" spans="2:22" ht="18.600000000000001" thickBot="1" x14ac:dyDescent="0.4">
      <c r="B64" s="1255">
        <v>46277</v>
      </c>
      <c r="C64" s="1256"/>
      <c r="D64" s="275" t="s">
        <v>12</v>
      </c>
      <c r="E64" s="311" t="s">
        <v>169</v>
      </c>
      <c r="F64" s="312">
        <v>329</v>
      </c>
      <c r="G64" s="313" t="s">
        <v>428</v>
      </c>
      <c r="H64" s="314">
        <v>0.1</v>
      </c>
      <c r="I64" s="280">
        <f t="shared" si="4"/>
        <v>0.5</v>
      </c>
      <c r="J64" s="281">
        <v>1.3</v>
      </c>
      <c r="K64" s="282">
        <f t="shared" ref="K64:K65" si="22">IFERROR((F64*I64*J64),"")</f>
        <v>213.85</v>
      </c>
      <c r="L64" s="283">
        <f t="shared" ref="L64:L65" si="23">IFERROR(((F64*I64)*J64)*(1-H64),"")</f>
        <v>192.465</v>
      </c>
      <c r="M64" s="308">
        <f t="shared" ref="M64:M65" si="24">IFERROR((K64/12),"")</f>
        <v>17.820833333333333</v>
      </c>
      <c r="N64" s="1269">
        <f>SUM(L64:L65)</f>
        <v>328.77</v>
      </c>
      <c r="O64" s="284"/>
      <c r="P64" s="8"/>
    </row>
    <row r="65" spans="2:16" ht="18.600000000000001" thickBot="1" x14ac:dyDescent="0.4">
      <c r="B65" s="1263"/>
      <c r="C65" s="1264"/>
      <c r="D65" s="285" t="s">
        <v>13</v>
      </c>
      <c r="E65" s="297" t="s">
        <v>553</v>
      </c>
      <c r="F65" s="290">
        <v>233</v>
      </c>
      <c r="G65" s="288" t="s">
        <v>428</v>
      </c>
      <c r="H65" s="289">
        <v>0.1</v>
      </c>
      <c r="I65" s="280">
        <f t="shared" si="4"/>
        <v>0.5</v>
      </c>
      <c r="J65" s="281">
        <v>1.3</v>
      </c>
      <c r="K65" s="298">
        <f t="shared" si="22"/>
        <v>151.45000000000002</v>
      </c>
      <c r="L65" s="294">
        <f t="shared" si="23"/>
        <v>136.30500000000001</v>
      </c>
      <c r="M65" s="309">
        <f t="shared" si="24"/>
        <v>12.620833333333335</v>
      </c>
      <c r="N65" s="1270"/>
      <c r="O65" s="284"/>
      <c r="P65" s="8"/>
    </row>
    <row r="66" spans="2:16" ht="18.600000000000001" thickBot="1" x14ac:dyDescent="0.4">
      <c r="B66" s="1255">
        <v>46278</v>
      </c>
      <c r="C66" s="1256"/>
      <c r="D66" s="275" t="s">
        <v>12</v>
      </c>
      <c r="E66" s="311" t="s">
        <v>623</v>
      </c>
      <c r="F66" s="312">
        <v>204</v>
      </c>
      <c r="G66" s="313" t="s">
        <v>428</v>
      </c>
      <c r="H66" s="314">
        <v>0.1</v>
      </c>
      <c r="I66" s="280">
        <f t="shared" si="4"/>
        <v>0.5</v>
      </c>
      <c r="J66" s="281">
        <v>1.3</v>
      </c>
      <c r="K66" s="282">
        <f t="shared" ref="K66:K67" si="25">IFERROR((F66*I66*J66),"")</f>
        <v>132.6</v>
      </c>
      <c r="L66" s="283">
        <f t="shared" ref="L66:L67" si="26">IFERROR(((F66*I66)*J66)*(1-H66),"")</f>
        <v>119.34</v>
      </c>
      <c r="M66" s="308">
        <f t="shared" ref="M66:M67" si="27">IFERROR((K66/12),"")</f>
        <v>11.049999999999999</v>
      </c>
      <c r="N66" s="1269">
        <f>SUM(L66:L67)</f>
        <v>262.66500000000002</v>
      </c>
      <c r="O66" s="284"/>
      <c r="P66" s="8"/>
    </row>
    <row r="67" spans="2:16" ht="18.600000000000001" thickBot="1" x14ac:dyDescent="0.4">
      <c r="B67" s="1263"/>
      <c r="C67" s="1264"/>
      <c r="D67" s="285" t="s">
        <v>13</v>
      </c>
      <c r="E67" s="297" t="s">
        <v>169</v>
      </c>
      <c r="F67" s="290">
        <v>245</v>
      </c>
      <c r="G67" s="288" t="s">
        <v>428</v>
      </c>
      <c r="H67" s="289">
        <v>0.1</v>
      </c>
      <c r="I67" s="280">
        <f t="shared" si="4"/>
        <v>0.5</v>
      </c>
      <c r="J67" s="281">
        <v>1.3</v>
      </c>
      <c r="K67" s="298">
        <f t="shared" si="25"/>
        <v>159.25</v>
      </c>
      <c r="L67" s="294">
        <f t="shared" si="26"/>
        <v>143.32500000000002</v>
      </c>
      <c r="M67" s="309">
        <f t="shared" si="27"/>
        <v>13.270833333333334</v>
      </c>
      <c r="N67" s="1270"/>
      <c r="O67" s="284"/>
      <c r="P67" s="8"/>
    </row>
    <row r="68" spans="2:16" ht="18.600000000000001" thickBot="1" x14ac:dyDescent="0.4">
      <c r="B68" s="1255">
        <v>46279</v>
      </c>
      <c r="C68" s="1256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259">
        <f t="shared" ref="N68" si="31">SUM(L68:L69)</f>
        <v>0</v>
      </c>
      <c r="O68" s="284"/>
      <c r="P68" s="8"/>
    </row>
    <row r="69" spans="2:16" ht="18.600000000000001" thickBot="1" x14ac:dyDescent="0.4">
      <c r="B69" s="1263"/>
      <c r="C69" s="1264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261"/>
      <c r="O69" s="284"/>
      <c r="P69" s="8"/>
    </row>
    <row r="70" spans="2:16" ht="18.600000000000001" thickBot="1" x14ac:dyDescent="0.4">
      <c r="B70" s="1255">
        <v>46280</v>
      </c>
      <c r="C70" s="1256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259">
        <f t="shared" ref="N70" si="32">SUM(L70:L71)</f>
        <v>0</v>
      </c>
      <c r="O70" s="284"/>
      <c r="P70" s="8"/>
    </row>
    <row r="71" spans="2:16" ht="18.600000000000001" thickBot="1" x14ac:dyDescent="0.4">
      <c r="B71" s="1263"/>
      <c r="C71" s="1264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261"/>
      <c r="O71" s="284"/>
      <c r="P71" s="8"/>
    </row>
    <row r="72" spans="2:16" ht="18.600000000000001" thickBot="1" x14ac:dyDescent="0.4">
      <c r="B72" s="1255">
        <v>46281</v>
      </c>
      <c r="C72" s="1256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259">
        <f t="shared" ref="N72" si="33">SUM(L72:L73)</f>
        <v>0</v>
      </c>
      <c r="O72" s="284"/>
      <c r="P72" s="8"/>
    </row>
    <row r="73" spans="2:16" ht="18.600000000000001" thickBot="1" x14ac:dyDescent="0.4">
      <c r="B73" s="1263"/>
      <c r="C73" s="1264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261"/>
      <c r="O73" s="284"/>
      <c r="P73" s="8"/>
    </row>
    <row r="74" spans="2:16" ht="18.600000000000001" thickBot="1" x14ac:dyDescent="0.4">
      <c r="B74" s="1255">
        <v>46282</v>
      </c>
      <c r="C74" s="1256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259">
        <f t="shared" ref="N74" si="34">SUM(L74:L75)</f>
        <v>0</v>
      </c>
      <c r="O74" s="284"/>
      <c r="P74" s="8"/>
    </row>
    <row r="75" spans="2:16" ht="18.600000000000001" thickBot="1" x14ac:dyDescent="0.4">
      <c r="B75" s="1263"/>
      <c r="C75" s="1264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261"/>
      <c r="O75" s="284"/>
      <c r="P75" s="8"/>
    </row>
    <row r="76" spans="2:16" ht="18.600000000000001" thickBot="1" x14ac:dyDescent="0.4">
      <c r="B76" s="1255">
        <v>46283</v>
      </c>
      <c r="C76" s="1256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259">
        <f>SUM(L76:L77)</f>
        <v>201.24</v>
      </c>
      <c r="O76" s="284" t="s">
        <v>639</v>
      </c>
      <c r="P76" s="8"/>
    </row>
    <row r="77" spans="2:16" ht="18.600000000000001" thickBot="1" x14ac:dyDescent="0.4">
      <c r="B77" s="1263"/>
      <c r="C77" s="1264"/>
      <c r="D77" s="285" t="s">
        <v>13</v>
      </c>
      <c r="E77" s="297" t="s">
        <v>169</v>
      </c>
      <c r="F77" s="290">
        <v>360</v>
      </c>
      <c r="G77" s="288" t="s">
        <v>428</v>
      </c>
      <c r="H77" s="289">
        <v>0.14000000000000001</v>
      </c>
      <c r="I77" s="280">
        <f t="shared" si="4"/>
        <v>0.5</v>
      </c>
      <c r="J77" s="281">
        <v>1.3</v>
      </c>
      <c r="K77" s="298">
        <f t="shared" ref="K77:K80" si="35">IFERROR((F77*I77*J77),"")</f>
        <v>234</v>
      </c>
      <c r="L77" s="1003">
        <f t="shared" si="29"/>
        <v>201.24</v>
      </c>
      <c r="M77" s="1004">
        <f t="shared" ref="M77:M80" si="36">IFERROR((K77/12),"")</f>
        <v>19.5</v>
      </c>
      <c r="N77" s="1261"/>
      <c r="O77" s="284" t="s">
        <v>640</v>
      </c>
      <c r="P77" s="8"/>
    </row>
    <row r="78" spans="2:16" ht="18" x14ac:dyDescent="0.35">
      <c r="B78" s="1255">
        <v>46284</v>
      </c>
      <c r="C78" s="1256"/>
      <c r="D78" s="985" t="s">
        <v>12</v>
      </c>
      <c r="E78" s="1005" t="s">
        <v>169</v>
      </c>
      <c r="F78" s="1006">
        <v>178</v>
      </c>
      <c r="G78" s="1007" t="s">
        <v>14</v>
      </c>
      <c r="H78" s="1008">
        <v>0.13</v>
      </c>
      <c r="I78" s="1009">
        <f t="shared" si="4"/>
        <v>0.7</v>
      </c>
      <c r="J78" s="1010">
        <v>1.3</v>
      </c>
      <c r="K78" s="1011">
        <f t="shared" si="35"/>
        <v>161.97999999999999</v>
      </c>
      <c r="L78" s="1012">
        <f t="shared" ref="L78:L80" si="37">IFERROR(((F78*I78)*J78)*(1-H78),"")</f>
        <v>140.92259999999999</v>
      </c>
      <c r="M78" s="1013">
        <f t="shared" si="36"/>
        <v>13.498333333333333</v>
      </c>
      <c r="N78" s="1269">
        <f>SUM(L78:L80)</f>
        <v>324.20960000000002</v>
      </c>
      <c r="O78" s="284" t="s">
        <v>639</v>
      </c>
      <c r="P78" s="8"/>
    </row>
    <row r="79" spans="2:16" ht="18" x14ac:dyDescent="0.35">
      <c r="B79" s="1257"/>
      <c r="C79" s="1258"/>
      <c r="D79" s="1016" t="s">
        <v>12</v>
      </c>
      <c r="E79" s="1017" t="s">
        <v>169</v>
      </c>
      <c r="F79" s="1018">
        <v>10</v>
      </c>
      <c r="G79" s="1019" t="s">
        <v>15</v>
      </c>
      <c r="H79" s="1020">
        <v>9.1999999999999998E-2</v>
      </c>
      <c r="I79" s="1021">
        <f t="shared" ref="I79" si="38">IFERROR((VLOOKUP(G79,S$6:T$8,2,FALSE)),"")</f>
        <v>3</v>
      </c>
      <c r="J79" s="1022">
        <v>1.3</v>
      </c>
      <c r="K79" s="1023">
        <f t="shared" ref="K79" si="39">IFERROR((F79*I79*J79),"")</f>
        <v>39</v>
      </c>
      <c r="L79" s="1023">
        <f t="shared" ref="L79" si="40">IFERROR(((F79*I79)*J79)*(1-H79),"")</f>
        <v>35.411999999999999</v>
      </c>
      <c r="M79" s="1023">
        <f t="shared" ref="M79" si="41">IFERROR((K79/12),"")</f>
        <v>3.25</v>
      </c>
      <c r="N79" s="1269"/>
      <c r="O79" s="284"/>
      <c r="P79" s="8"/>
    </row>
    <row r="80" spans="2:16" ht="18.600000000000001" thickBot="1" x14ac:dyDescent="0.4">
      <c r="B80" s="1263"/>
      <c r="C80" s="1264"/>
      <c r="D80" s="299" t="s">
        <v>13</v>
      </c>
      <c r="E80" s="286" t="s">
        <v>169</v>
      </c>
      <c r="F80" s="287">
        <v>250</v>
      </c>
      <c r="G80" s="302" t="s">
        <v>428</v>
      </c>
      <c r="H80" s="303">
        <v>0.09</v>
      </c>
      <c r="I80" s="304">
        <f t="shared" si="4"/>
        <v>0.5</v>
      </c>
      <c r="J80" s="1063">
        <v>1.3</v>
      </c>
      <c r="K80" s="305">
        <f t="shared" si="35"/>
        <v>162.5</v>
      </c>
      <c r="L80" s="1064">
        <f t="shared" si="37"/>
        <v>147.875</v>
      </c>
      <c r="M80" s="1065">
        <f t="shared" si="36"/>
        <v>13.541666666666666</v>
      </c>
      <c r="N80" s="1270"/>
      <c r="O80" s="284"/>
      <c r="P80" s="8"/>
    </row>
    <row r="81" spans="2:16" ht="18.600000000000001" thickBot="1" x14ac:dyDescent="0.4">
      <c r="B81" s="1255">
        <v>46285</v>
      </c>
      <c r="C81" s="1256"/>
      <c r="D81" s="1016" t="s">
        <v>12</v>
      </c>
      <c r="E81" s="311" t="s">
        <v>169</v>
      </c>
      <c r="F81" s="312">
        <v>50</v>
      </c>
      <c r="G81" s="1019" t="s">
        <v>14</v>
      </c>
      <c r="H81" s="1020">
        <v>0.1</v>
      </c>
      <c r="I81" s="1021">
        <f t="shared" si="4"/>
        <v>0.7</v>
      </c>
      <c r="J81" s="1022">
        <v>1.3</v>
      </c>
      <c r="K81" s="1023">
        <f t="shared" ref="K81:K85" si="42">IFERROR((F81*I81*J81),"")</f>
        <v>45.5</v>
      </c>
      <c r="L81" s="1069">
        <f t="shared" ref="L81:L85" si="43">IFERROR(((F81*I81)*J81)*(1-H81),"")</f>
        <v>40.950000000000003</v>
      </c>
      <c r="M81" s="1069">
        <f t="shared" ref="M81:M85" si="44">IFERROR((K81/12),"")</f>
        <v>3.7916666666666665</v>
      </c>
      <c r="N81" s="1269">
        <f t="shared" ref="N81" si="45">SUM(L81:L83)</f>
        <v>209.989</v>
      </c>
      <c r="O81" s="284" t="s">
        <v>639</v>
      </c>
      <c r="P81" s="8"/>
    </row>
    <row r="82" spans="2:16" ht="18.600000000000001" thickBot="1" x14ac:dyDescent="0.4">
      <c r="B82" s="1257"/>
      <c r="C82" s="1258"/>
      <c r="D82" s="1016" t="s">
        <v>12</v>
      </c>
      <c r="E82" s="286" t="s">
        <v>169</v>
      </c>
      <c r="F82" s="287">
        <v>20</v>
      </c>
      <c r="G82" s="1019" t="s">
        <v>428</v>
      </c>
      <c r="H82" s="1020">
        <v>0.1</v>
      </c>
      <c r="I82" s="1021">
        <f t="shared" si="4"/>
        <v>0.5</v>
      </c>
      <c r="J82" s="1022">
        <v>1.3</v>
      </c>
      <c r="K82" s="1023">
        <f t="shared" si="42"/>
        <v>13</v>
      </c>
      <c r="L82" s="1069">
        <f t="shared" si="43"/>
        <v>11.700000000000001</v>
      </c>
      <c r="M82" s="1069">
        <f t="shared" si="44"/>
        <v>1.0833333333333333</v>
      </c>
      <c r="N82" s="1269"/>
      <c r="O82" s="284"/>
      <c r="P82" s="8"/>
    </row>
    <row r="83" spans="2:16" ht="18.600000000000001" thickBot="1" x14ac:dyDescent="0.4">
      <c r="B83" s="1263"/>
      <c r="C83" s="1264"/>
      <c r="D83" s="1016" t="s">
        <v>13</v>
      </c>
      <c r="E83" s="297" t="s">
        <v>553</v>
      </c>
      <c r="F83" s="290">
        <v>190</v>
      </c>
      <c r="G83" s="1019" t="s">
        <v>14</v>
      </c>
      <c r="H83" s="1020">
        <v>0.09</v>
      </c>
      <c r="I83" s="1021">
        <f t="shared" si="4"/>
        <v>0.7</v>
      </c>
      <c r="J83" s="1022">
        <v>1.3</v>
      </c>
      <c r="K83" s="1023">
        <f t="shared" si="42"/>
        <v>172.9</v>
      </c>
      <c r="L83" s="1069">
        <f t="shared" si="43"/>
        <v>157.339</v>
      </c>
      <c r="M83" s="1069">
        <f t="shared" si="44"/>
        <v>14.408333333333333</v>
      </c>
      <c r="N83" s="1270"/>
      <c r="O83" s="284"/>
      <c r="P83" s="8"/>
    </row>
    <row r="84" spans="2:16" ht="18.600000000000001" thickBot="1" x14ac:dyDescent="0.4">
      <c r="B84" s="1255">
        <v>46286</v>
      </c>
      <c r="C84" s="1256"/>
      <c r="D84" s="1070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4">
        <f t="shared" si="4"/>
        <v>0.7</v>
      </c>
      <c r="J84" s="1015">
        <v>1.3</v>
      </c>
      <c r="K84" s="1066">
        <f t="shared" si="42"/>
        <v>273</v>
      </c>
      <c r="L84" s="1067">
        <f t="shared" si="43"/>
        <v>248.43</v>
      </c>
      <c r="M84" s="1068">
        <f t="shared" si="44"/>
        <v>22.75</v>
      </c>
      <c r="N84" s="1259">
        <f t="shared" ref="N84" si="46">SUM(L84:L85)</f>
        <v>248.43</v>
      </c>
      <c r="O84" s="284" t="s">
        <v>696</v>
      </c>
      <c r="P84" s="8"/>
    </row>
    <row r="85" spans="2:16" ht="18.600000000000001" thickBot="1" x14ac:dyDescent="0.4">
      <c r="B85" s="1263"/>
      <c r="C85" s="1264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261"/>
      <c r="O85" s="284"/>
      <c r="P85" s="8"/>
    </row>
    <row r="86" spans="2:16" ht="18.600000000000001" thickBot="1" x14ac:dyDescent="0.4">
      <c r="B86" s="1255">
        <v>46287</v>
      </c>
      <c r="C86" s="1256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259">
        <f t="shared" ref="N86" si="50">SUM(L86:L87)</f>
        <v>133.38000000000002</v>
      </c>
      <c r="O86" s="284"/>
      <c r="P86" s="8"/>
    </row>
    <row r="87" spans="2:16" ht="18.600000000000001" thickBot="1" x14ac:dyDescent="0.4">
      <c r="B87" s="1263"/>
      <c r="C87" s="1264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261"/>
      <c r="O87" s="284"/>
      <c r="P87" s="8"/>
    </row>
    <row r="88" spans="2:16" ht="18.600000000000001" thickBot="1" x14ac:dyDescent="0.4">
      <c r="B88" s="1255">
        <v>46288</v>
      </c>
      <c r="C88" s="1256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259">
        <f>SUM(L88:L89)</f>
        <v>402.63600000000008</v>
      </c>
      <c r="O88" s="284"/>
      <c r="P88" s="8"/>
    </row>
    <row r="89" spans="2:16" ht="18.600000000000001" thickBot="1" x14ac:dyDescent="0.4">
      <c r="B89" s="1263"/>
      <c r="C89" s="1264"/>
      <c r="D89" s="285" t="s">
        <v>13</v>
      </c>
      <c r="E89" s="297" t="s">
        <v>553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261"/>
      <c r="O89" s="284"/>
      <c r="P89" s="8"/>
    </row>
    <row r="90" spans="2:16" ht="18.600000000000001" thickBot="1" x14ac:dyDescent="0.4">
      <c r="B90" s="1255">
        <v>46289</v>
      </c>
      <c r="C90" s="1256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259">
        <f t="shared" ref="N90" si="59">SUM(L90:L91)</f>
        <v>219.92100000000002</v>
      </c>
      <c r="O90" s="284"/>
      <c r="P90" s="8"/>
    </row>
    <row r="91" spans="2:16" ht="18.600000000000001" thickBot="1" x14ac:dyDescent="0.4">
      <c r="B91" s="1263"/>
      <c r="C91" s="1264"/>
      <c r="D91" s="285" t="s">
        <v>13</v>
      </c>
      <c r="E91" s="297" t="s">
        <v>553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261"/>
      <c r="O91" s="284"/>
      <c r="P91" s="8"/>
    </row>
    <row r="92" spans="2:16" ht="18.600000000000001" thickBot="1" x14ac:dyDescent="0.4">
      <c r="B92" s="1255">
        <v>46290</v>
      </c>
      <c r="C92" s="1256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259">
        <f t="shared" ref="N92" si="64">SUM(L92:L93)</f>
        <v>217.62</v>
      </c>
      <c r="O92" s="284"/>
      <c r="P92" s="8"/>
    </row>
    <row r="93" spans="2:16" ht="18.600000000000001" thickBot="1" x14ac:dyDescent="0.4">
      <c r="B93" s="1263"/>
      <c r="C93" s="1264"/>
      <c r="D93" s="285" t="s">
        <v>13</v>
      </c>
      <c r="E93" s="297" t="s">
        <v>739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261"/>
      <c r="O93" s="284"/>
      <c r="P93" s="8"/>
    </row>
    <row r="94" spans="2:16" ht="18.600000000000001" thickBot="1" x14ac:dyDescent="0.4">
      <c r="B94" s="1255">
        <v>46291</v>
      </c>
      <c r="C94" s="1256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259">
        <f t="shared" ref="N94" si="69">SUM(L94:L95)</f>
        <v>253.77300000000002</v>
      </c>
      <c r="O94" s="284"/>
      <c r="P94" s="8"/>
    </row>
    <row r="95" spans="2:16" ht="18.600000000000001" thickBot="1" x14ac:dyDescent="0.4">
      <c r="B95" s="1263"/>
      <c r="C95" s="1264"/>
      <c r="D95" s="285" t="s">
        <v>13</v>
      </c>
      <c r="E95" s="297" t="s">
        <v>739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261"/>
      <c r="O95" s="284"/>
      <c r="P95" s="8"/>
    </row>
    <row r="96" spans="2:16" ht="18.600000000000001" thickBot="1" x14ac:dyDescent="0.4">
      <c r="B96" s="1255">
        <v>46292</v>
      </c>
      <c r="C96" s="1256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259">
        <f t="shared" ref="N96" si="70">SUM(L96:L97)</f>
        <v>0</v>
      </c>
      <c r="O96" s="284"/>
      <c r="P96" s="8"/>
    </row>
    <row r="97" spans="2:16" ht="18.600000000000001" thickBot="1" x14ac:dyDescent="0.4">
      <c r="B97" s="1263"/>
      <c r="C97" s="1264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261"/>
      <c r="O97" s="284"/>
      <c r="P97" s="8"/>
    </row>
    <row r="98" spans="2:16" ht="18.600000000000001" thickBot="1" x14ac:dyDescent="0.4">
      <c r="B98" s="1255">
        <v>46293</v>
      </c>
      <c r="C98" s="1256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259">
        <f t="shared" ref="N98" si="75">SUM(L98:L99)</f>
        <v>182.988</v>
      </c>
      <c r="O98" s="284"/>
      <c r="P98" s="8"/>
    </row>
    <row r="99" spans="2:16" ht="18.600000000000001" thickBot="1" x14ac:dyDescent="0.4">
      <c r="B99" s="1263"/>
      <c r="C99" s="1264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261"/>
      <c r="O99" s="284"/>
      <c r="P99" s="8"/>
    </row>
    <row r="100" spans="2:16" ht="18.600000000000001" thickBot="1" x14ac:dyDescent="0.4">
      <c r="B100" s="1255">
        <v>46294</v>
      </c>
      <c r="C100" s="1256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259">
        <f t="shared" ref="N100" si="76">SUM(L100:L101)</f>
        <v>0</v>
      </c>
      <c r="O100" s="284"/>
      <c r="P100" s="8"/>
    </row>
    <row r="101" spans="2:16" ht="18.600000000000001" thickBot="1" x14ac:dyDescent="0.4">
      <c r="B101" s="1263"/>
      <c r="C101" s="1264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261"/>
      <c r="O101" s="284"/>
      <c r="P101" s="8"/>
    </row>
    <row r="102" spans="2:16" ht="18.600000000000001" thickBot="1" x14ac:dyDescent="0.4">
      <c r="B102" s="1255">
        <v>46295</v>
      </c>
      <c r="C102" s="1256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259">
        <f>SUM(L102:L103)</f>
        <v>121.485</v>
      </c>
      <c r="O102" s="284"/>
      <c r="P102" s="8"/>
    </row>
    <row r="103" spans="2:16" ht="18.600000000000001" thickBot="1" x14ac:dyDescent="0.4">
      <c r="B103" s="1263"/>
      <c r="C103" s="1264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262"/>
      <c r="O103" s="284"/>
      <c r="P103" s="8"/>
    </row>
    <row r="104" spans="2:16" ht="18.600000000000001" thickBot="1" x14ac:dyDescent="0.4">
      <c r="B104" s="1255">
        <v>46296</v>
      </c>
      <c r="C104" s="1256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259">
        <f>SUM(L104:L105)</f>
        <v>295.03500000000003</v>
      </c>
      <c r="O104" s="284"/>
      <c r="P104" s="8"/>
    </row>
    <row r="105" spans="2:16" ht="18" x14ac:dyDescent="0.35">
      <c r="B105" s="1257"/>
      <c r="C105" s="1258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9">
        <f t="shared" si="77"/>
        <v>3</v>
      </c>
      <c r="J105" s="1010">
        <v>1.3</v>
      </c>
      <c r="K105" s="305">
        <f t="shared" si="78"/>
        <v>78</v>
      </c>
      <c r="L105" s="306">
        <f t="shared" si="79"/>
        <v>69.42</v>
      </c>
      <c r="M105" s="1186">
        <f t="shared" si="80"/>
        <v>6.5</v>
      </c>
      <c r="N105" s="1260"/>
      <c r="O105" s="284"/>
      <c r="P105" s="8"/>
    </row>
    <row r="106" spans="2:16" ht="18" x14ac:dyDescent="0.35">
      <c r="B106" s="1251">
        <v>46297</v>
      </c>
      <c r="C106" s="1251"/>
      <c r="D106" s="1016" t="s">
        <v>12</v>
      </c>
      <c r="E106" s="1017" t="s">
        <v>169</v>
      </c>
      <c r="F106" s="1018">
        <v>30</v>
      </c>
      <c r="G106" s="1019" t="s">
        <v>15</v>
      </c>
      <c r="H106" s="1020">
        <v>0.11</v>
      </c>
      <c r="I106" s="1021">
        <f t="shared" ref="I106:I108" si="81">IFERROR((VLOOKUP(G106,S$6:T$8,2,FALSE)),"")</f>
        <v>3</v>
      </c>
      <c r="J106" s="1022">
        <v>1.3</v>
      </c>
      <c r="K106" s="1023">
        <f t="shared" ref="K106:K107" si="82">IFERROR((F106*I106*J106),"")</f>
        <v>117</v>
      </c>
      <c r="L106" s="1069">
        <f t="shared" ref="L106:L107" si="83">IFERROR(((F106*I106)*J106)*(1-H106),"")</f>
        <v>104.13</v>
      </c>
      <c r="M106" s="1069">
        <f t="shared" ref="M106:M107" si="84">IFERROR((K106/12),"")</f>
        <v>9.75</v>
      </c>
      <c r="N106" s="1254">
        <f>SUM(L106:L109)</f>
        <v>232.2099</v>
      </c>
      <c r="O106" s="284"/>
      <c r="P106" s="8"/>
    </row>
    <row r="107" spans="2:16" ht="18" x14ac:dyDescent="0.35">
      <c r="B107" s="1251"/>
      <c r="C107" s="1251"/>
      <c r="D107" s="1016" t="s">
        <v>13</v>
      </c>
      <c r="E107" s="1017" t="s">
        <v>169</v>
      </c>
      <c r="F107" s="1018">
        <v>5</v>
      </c>
      <c r="G107" s="1019" t="s">
        <v>15</v>
      </c>
      <c r="H107" s="1020">
        <v>0.11</v>
      </c>
      <c r="I107" s="1021">
        <f t="shared" si="81"/>
        <v>3</v>
      </c>
      <c r="J107" s="1022">
        <v>1.3</v>
      </c>
      <c r="K107" s="1023">
        <f t="shared" si="82"/>
        <v>19.5</v>
      </c>
      <c r="L107" s="1069">
        <f t="shared" si="83"/>
        <v>17.355</v>
      </c>
      <c r="M107" s="1069">
        <f t="shared" si="84"/>
        <v>1.625</v>
      </c>
      <c r="N107" s="1254"/>
      <c r="O107" s="284"/>
      <c r="P107" s="8"/>
    </row>
    <row r="108" spans="2:16" ht="18" x14ac:dyDescent="0.35">
      <c r="B108" s="1251"/>
      <c r="C108" s="1251"/>
      <c r="D108" s="1016" t="s">
        <v>13</v>
      </c>
      <c r="E108" s="1017" t="s">
        <v>770</v>
      </c>
      <c r="F108" s="1018">
        <v>78</v>
      </c>
      <c r="G108" s="1019" t="s">
        <v>428</v>
      </c>
      <c r="H108" s="1020">
        <v>0.11</v>
      </c>
      <c r="I108" s="1021">
        <f t="shared" si="81"/>
        <v>0.5</v>
      </c>
      <c r="J108" s="1022">
        <v>1.3</v>
      </c>
      <c r="K108" s="1023">
        <f t="shared" ref="K108" si="85">IFERROR((F108*I108*J108),"")</f>
        <v>50.7</v>
      </c>
      <c r="L108" s="1069">
        <f t="shared" ref="L108" si="86">IFERROR(((F108*I108)*J108)*(1-H108),"")</f>
        <v>45.123000000000005</v>
      </c>
      <c r="M108" s="1069">
        <f t="shared" ref="M108" si="87">IFERROR((K108/12),"")</f>
        <v>4.2250000000000005</v>
      </c>
      <c r="N108" s="1254"/>
      <c r="O108" s="284"/>
      <c r="P108" s="8"/>
    </row>
    <row r="109" spans="2:16" ht="18" x14ac:dyDescent="0.35">
      <c r="B109" s="1251"/>
      <c r="C109" s="1251"/>
      <c r="D109" s="1016" t="s">
        <v>13</v>
      </c>
      <c r="E109" s="1017" t="s">
        <v>770</v>
      </c>
      <c r="F109" s="1018">
        <v>81</v>
      </c>
      <c r="G109" s="1019" t="s">
        <v>14</v>
      </c>
      <c r="H109" s="1020">
        <v>0.11</v>
      </c>
      <c r="I109" s="1021">
        <f t="shared" ref="I109" si="88">IFERROR((VLOOKUP(G109,S$6:T$8,2,FALSE)),"")</f>
        <v>0.7</v>
      </c>
      <c r="J109" s="1022">
        <v>1.3</v>
      </c>
      <c r="K109" s="1023">
        <f t="shared" ref="K109" si="89">IFERROR((F109*I109*J109),"")</f>
        <v>73.709999999999994</v>
      </c>
      <c r="L109" s="1069">
        <f t="shared" ref="L109" si="90">IFERROR(((F109*I109)*J109)*(1-H109),"")</f>
        <v>65.601900000000001</v>
      </c>
      <c r="M109" s="1069">
        <f t="shared" ref="M109" si="91">IFERROR((K109/12),"")</f>
        <v>6.1424999999999992</v>
      </c>
      <c r="N109" s="1254"/>
      <c r="O109" s="284"/>
      <c r="P109" s="8"/>
    </row>
    <row r="110" spans="2:16" ht="18" x14ac:dyDescent="0.35">
      <c r="B110" s="1251">
        <v>46298</v>
      </c>
      <c r="C110" s="1251"/>
      <c r="D110" s="1016" t="s">
        <v>12</v>
      </c>
      <c r="E110" s="1017" t="s">
        <v>772</v>
      </c>
      <c r="F110" s="1018">
        <v>63</v>
      </c>
      <c r="G110" s="1019" t="s">
        <v>15</v>
      </c>
      <c r="H110" s="1020">
        <v>0.09</v>
      </c>
      <c r="I110" s="1021">
        <f t="shared" ref="I110" si="92">IFERROR((VLOOKUP(G110,S$6:T$8,2,FALSE)),"")</f>
        <v>3</v>
      </c>
      <c r="J110" s="1022">
        <v>1.3</v>
      </c>
      <c r="K110" s="1023">
        <f t="shared" ref="K110" si="93">IFERROR((F110*I110*J110),"")</f>
        <v>245.70000000000002</v>
      </c>
      <c r="L110" s="1069">
        <f t="shared" ref="L110" si="94">IFERROR(((F110*I110)*J110)*(1-H110),"")</f>
        <v>223.58700000000002</v>
      </c>
      <c r="M110" s="1069">
        <f t="shared" ref="M110" si="95">IFERROR((K110/12),"")</f>
        <v>20.475000000000001</v>
      </c>
      <c r="N110" s="1252">
        <f>SUM(L110:L111)</f>
        <v>464.91899999999998</v>
      </c>
      <c r="O110" s="284"/>
      <c r="P110" s="8"/>
    </row>
    <row r="111" spans="2:16" ht="18" x14ac:dyDescent="0.35">
      <c r="B111" s="1251"/>
      <c r="C111" s="1251"/>
      <c r="D111" s="1016" t="s">
        <v>13</v>
      </c>
      <c r="E111" s="1017" t="s">
        <v>773</v>
      </c>
      <c r="F111" s="1018">
        <v>68</v>
      </c>
      <c r="G111" s="1019" t="s">
        <v>15</v>
      </c>
      <c r="H111" s="1020">
        <v>0.09</v>
      </c>
      <c r="I111" s="1021">
        <f t="shared" ref="I111" si="96">IFERROR((VLOOKUP(G111,S$6:T$8,2,FALSE)),"")</f>
        <v>3</v>
      </c>
      <c r="J111" s="1022">
        <v>1.3</v>
      </c>
      <c r="K111" s="1023">
        <f t="shared" ref="K111" si="97">IFERROR((F111*I111*J111),"")</f>
        <v>265.2</v>
      </c>
      <c r="L111" s="1069">
        <f t="shared" ref="L111" si="98">IFERROR(((F111*I111)*J111)*(1-H111),"")</f>
        <v>241.33199999999999</v>
      </c>
      <c r="M111" s="1069">
        <f t="shared" ref="M111" si="99">IFERROR((K111/12),"")</f>
        <v>22.099999999999998</v>
      </c>
      <c r="N111" s="1253"/>
      <c r="O111" s="284"/>
      <c r="P111" s="8"/>
    </row>
    <row r="112" spans="2:16" ht="18" x14ac:dyDescent="0.35">
      <c r="B112" s="1251">
        <v>46299</v>
      </c>
      <c r="C112" s="1251"/>
      <c r="D112" s="1016" t="s">
        <v>12</v>
      </c>
      <c r="E112" s="1017" t="s">
        <v>774</v>
      </c>
      <c r="F112" s="1018">
        <v>17</v>
      </c>
      <c r="G112" s="1019" t="s">
        <v>15</v>
      </c>
      <c r="H112" s="1020">
        <v>0.09</v>
      </c>
      <c r="I112" s="1021">
        <f t="shared" ref="I112" si="100">IFERROR((VLOOKUP(G112,S$6:T$8,2,FALSE)),"")</f>
        <v>3</v>
      </c>
      <c r="J112" s="1022">
        <v>2.2999999999999998</v>
      </c>
      <c r="K112" s="1023">
        <f t="shared" ref="K112" si="101">IFERROR((F112*I112*J112),"")</f>
        <v>117.3</v>
      </c>
      <c r="L112" s="1069">
        <f t="shared" ref="L112" si="102">IFERROR(((F112*I112)*J112)*(1-H112),"")</f>
        <v>106.74299999999999</v>
      </c>
      <c r="M112" s="1069">
        <f t="shared" ref="M112" si="103">IFERROR((K112/12),"")</f>
        <v>9.7750000000000004</v>
      </c>
      <c r="N112" s="1069">
        <f>SUM(M112:M113)</f>
        <v>9.7750000000000004</v>
      </c>
      <c r="O112" s="284"/>
      <c r="P112" s="8"/>
    </row>
    <row r="113" spans="2:19" ht="18" x14ac:dyDescent="0.35">
      <c r="B113" s="1251"/>
      <c r="C113" s="1251"/>
      <c r="D113" s="1016" t="s">
        <v>13</v>
      </c>
      <c r="E113" s="1017" t="s">
        <v>773</v>
      </c>
      <c r="F113" s="1018"/>
      <c r="G113" s="1019"/>
      <c r="H113" s="1020"/>
      <c r="I113" s="1021"/>
      <c r="J113" s="1022"/>
      <c r="K113" s="1023"/>
      <c r="L113" s="1069"/>
      <c r="M113" s="1069"/>
      <c r="N113" s="1069"/>
      <c r="O113" s="284"/>
      <c r="P113" s="8"/>
    </row>
    <row r="114" spans="2:19" ht="18" x14ac:dyDescent="0.35">
      <c r="B114" s="1283" t="s">
        <v>16</v>
      </c>
      <c r="C114" s="1284"/>
      <c r="D114" s="318"/>
      <c r="E114" s="319"/>
      <c r="F114" s="320">
        <f>AVERAGE(F6:F91)</f>
        <v>182</v>
      </c>
      <c r="G114" s="321"/>
      <c r="H114" s="322">
        <f>AVERAGE(H6:H86)</f>
        <v>0.11073333333333336</v>
      </c>
      <c r="I114" s="323" t="str">
        <f t="shared" si="4"/>
        <v/>
      </c>
      <c r="J114" s="324"/>
      <c r="K114" s="325">
        <f>AVERAGE(K6:K67)</f>
        <v>150.91452380952381</v>
      </c>
      <c r="L114" s="326">
        <f>AVERAGE(L6:L80)</f>
        <v>128.63389230769229</v>
      </c>
      <c r="M114" s="1062">
        <f>AVERAGE(M6:M103)</f>
        <v>12.962948717948722</v>
      </c>
      <c r="N114" s="1198">
        <f>AVERAGE(N6:N85)</f>
        <v>97.510261538461535</v>
      </c>
      <c r="O114" s="1197"/>
      <c r="S114" s="4"/>
    </row>
    <row r="115" spans="2:19" ht="18.600000000000001" thickBot="1" x14ac:dyDescent="0.4">
      <c r="B115" s="1285" t="s">
        <v>17</v>
      </c>
      <c r="C115" s="1286"/>
      <c r="D115" s="1185"/>
      <c r="E115" s="327"/>
      <c r="F115" s="328">
        <f>SUM(F6:F85)</f>
        <v>5971</v>
      </c>
      <c r="G115" s="327"/>
      <c r="H115" s="329"/>
      <c r="I115" s="329"/>
      <c r="J115" s="327"/>
      <c r="K115" s="330"/>
      <c r="L115" s="331"/>
      <c r="M115" s="327"/>
      <c r="N115" s="333">
        <f>SUM(N6:N113)</f>
        <v>6336.6421</v>
      </c>
      <c r="O115" s="284"/>
      <c r="Q115" s="4"/>
      <c r="R115" s="4"/>
      <c r="S115" s="2"/>
    </row>
    <row r="116" spans="2:19" x14ac:dyDescent="0.3">
      <c r="D116" s="1184"/>
      <c r="F116" s="264"/>
      <c r="H116" s="267"/>
      <c r="I116" s="269"/>
    </row>
    <row r="117" spans="2:19" x14ac:dyDescent="0.3">
      <c r="K117" s="10"/>
      <c r="N117" s="948"/>
    </row>
    <row r="118" spans="2:19" x14ac:dyDescent="0.3">
      <c r="F118" s="265"/>
      <c r="I118" s="265"/>
      <c r="N118" s="948"/>
    </row>
    <row r="122" spans="2:19" x14ac:dyDescent="0.3">
      <c r="O122" s="4"/>
    </row>
  </sheetData>
  <mergeCells count="110">
    <mergeCell ref="N40:N41"/>
    <mergeCell ref="N50:N51"/>
    <mergeCell ref="B52:C53"/>
    <mergeCell ref="N52:N53"/>
    <mergeCell ref="B42:C43"/>
    <mergeCell ref="N42:N43"/>
    <mergeCell ref="B50:C51"/>
    <mergeCell ref="B48:C49"/>
    <mergeCell ref="N48:N49"/>
    <mergeCell ref="B114:C114"/>
    <mergeCell ref="B115:C115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94:C95"/>
    <mergeCell ref="N94:N95"/>
    <mergeCell ref="N96:N97"/>
    <mergeCell ref="B96:C97"/>
    <mergeCell ref="B98:C99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84:N85"/>
    <mergeCell ref="B84:C85"/>
    <mergeCell ref="N30:N31"/>
    <mergeCell ref="B34:C35"/>
    <mergeCell ref="N34:N35"/>
    <mergeCell ref="B56:C57"/>
    <mergeCell ref="N56:N57"/>
    <mergeCell ref="B58:C59"/>
    <mergeCell ref="N58:N59"/>
    <mergeCell ref="B40:C4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</mergeCells>
  <phoneticPr fontId="91" type="noConversion"/>
  <dataValidations count="1">
    <dataValidation type="list" allowBlank="1" showInputMessage="1" showErrorMessage="1" sqref="G6:G114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291" t="s">
        <v>122</v>
      </c>
      <c r="C1" s="1291"/>
      <c r="D1" s="1291"/>
      <c r="E1" s="1291"/>
      <c r="F1" s="1291"/>
      <c r="G1" s="1291"/>
      <c r="H1" s="1291"/>
      <c r="I1" s="1291"/>
      <c r="J1" s="1291"/>
      <c r="K1" s="1291"/>
      <c r="L1" s="1291"/>
    </row>
    <row r="2" spans="1:27" ht="18" x14ac:dyDescent="0.35">
      <c r="F2" s="1299" t="s">
        <v>418</v>
      </c>
      <c r="G2" s="1299"/>
      <c r="H2" s="1299"/>
      <c r="I2" s="1299"/>
      <c r="J2" s="1299"/>
    </row>
    <row r="3" spans="1:27" ht="15" thickBot="1" x14ac:dyDescent="0.35">
      <c r="A3" s="1294" t="s">
        <v>198</v>
      </c>
      <c r="B3" s="1295"/>
      <c r="C3" s="1295"/>
      <c r="D3" s="1295"/>
      <c r="E3" s="1295"/>
      <c r="F3" s="1295"/>
      <c r="G3" s="1296"/>
    </row>
    <row r="4" spans="1:27" ht="15" thickBot="1" x14ac:dyDescent="0.35">
      <c r="A4" s="1297" t="s">
        <v>0</v>
      </c>
      <c r="B4" s="1298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208</v>
      </c>
      <c r="M4" s="15" t="s">
        <v>410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292">
        <v>46252</v>
      </c>
      <c r="B6" s="1293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387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292">
        <v>46253</v>
      </c>
      <c r="B7" s="1293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388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292">
        <v>46254</v>
      </c>
      <c r="B8" s="1293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289" t="s">
        <v>209</v>
      </c>
      <c r="AA8" s="1290"/>
    </row>
    <row r="9" spans="1:27" x14ac:dyDescent="0.3">
      <c r="A9" s="1292">
        <v>46255</v>
      </c>
      <c r="B9" s="1293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419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210</v>
      </c>
      <c r="AA9" s="147">
        <f>L43</f>
        <v>65.95</v>
      </c>
    </row>
    <row r="10" spans="1:27" x14ac:dyDescent="0.3">
      <c r="A10" s="1292">
        <v>46256</v>
      </c>
      <c r="B10" s="1293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412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211</v>
      </c>
      <c r="AA10" s="147">
        <f>N43</f>
        <v>66.05</v>
      </c>
    </row>
    <row r="11" spans="1:27" x14ac:dyDescent="0.3">
      <c r="A11" s="1292">
        <v>46257</v>
      </c>
      <c r="B11" s="1293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413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213</v>
      </c>
      <c r="AA11" s="148">
        <f>L44</f>
        <v>0.61064814814814816</v>
      </c>
    </row>
    <row r="12" spans="1:27" x14ac:dyDescent="0.3">
      <c r="A12" s="1292">
        <v>46258</v>
      </c>
      <c r="B12" s="1293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414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212</v>
      </c>
      <c r="AA12" s="148">
        <f>N44</f>
        <v>0</v>
      </c>
    </row>
    <row r="13" spans="1:27" x14ac:dyDescent="0.3">
      <c r="A13" s="1292">
        <v>46259</v>
      </c>
      <c r="B13" s="1293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413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292">
        <v>46260</v>
      </c>
      <c r="B14" s="1293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413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292">
        <v>46261</v>
      </c>
      <c r="B15" s="1293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420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292">
        <v>46262</v>
      </c>
      <c r="B16" s="1293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421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292">
        <v>46263</v>
      </c>
      <c r="B17" s="1293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430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292">
        <v>46264</v>
      </c>
      <c r="B18" s="1293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292">
        <v>46265</v>
      </c>
      <c r="B19" s="1293"/>
      <c r="C19" s="64"/>
      <c r="D19" s="60"/>
      <c r="E19" s="60"/>
      <c r="F19" s="61">
        <f t="shared" si="0"/>
        <v>0</v>
      </c>
      <c r="G19" s="399" t="s">
        <v>432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292">
        <v>46266</v>
      </c>
      <c r="B20" s="1293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292">
        <v>46267</v>
      </c>
      <c r="B21" s="1293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292">
        <v>46268</v>
      </c>
      <c r="B22" s="1293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292">
        <v>46269</v>
      </c>
      <c r="B23" s="1293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292">
        <v>46270</v>
      </c>
      <c r="B24" s="1293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292">
        <v>46271</v>
      </c>
      <c r="B25" s="1293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292">
        <v>46272</v>
      </c>
      <c r="B26" s="1293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292">
        <v>46273</v>
      </c>
      <c r="B27" s="1293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292">
        <v>46274</v>
      </c>
      <c r="B28" s="1293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292">
        <v>46275</v>
      </c>
      <c r="B29" s="1293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292">
        <v>46276</v>
      </c>
      <c r="B30" s="1293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292">
        <v>46277</v>
      </c>
      <c r="B31" s="1293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292">
        <v>46278</v>
      </c>
      <c r="B32" s="1293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292">
        <v>46279</v>
      </c>
      <c r="B33" s="1293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292">
        <v>46280</v>
      </c>
      <c r="B34" s="1293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292">
        <v>46281</v>
      </c>
      <c r="B35" s="1293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292">
        <v>46282</v>
      </c>
      <c r="B36" s="1293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292">
        <v>46283</v>
      </c>
      <c r="B37" s="1293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292">
        <v>46284</v>
      </c>
      <c r="B38" s="1293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292">
        <v>46285</v>
      </c>
      <c r="B39" s="1293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292">
        <v>46286</v>
      </c>
      <c r="B40" s="1293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292">
        <v>46287</v>
      </c>
      <c r="B41" s="1293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292">
        <v>46288</v>
      </c>
      <c r="B42" s="1293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415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A13"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300" t="s">
        <v>601</v>
      </c>
      <c r="C2" s="1301"/>
      <c r="D2" s="1301"/>
      <c r="E2" s="1301"/>
      <c r="F2" s="1301"/>
      <c r="G2" s="1301"/>
      <c r="H2" s="1301"/>
      <c r="I2" s="1301"/>
      <c r="J2" s="1301"/>
      <c r="K2" s="1301"/>
      <c r="L2" s="1301"/>
      <c r="M2" s="1301"/>
      <c r="N2" s="1301"/>
      <c r="O2" s="1301"/>
      <c r="P2" s="1301"/>
      <c r="Q2" s="1301"/>
      <c r="R2" s="1301"/>
      <c r="S2" s="1301"/>
      <c r="T2" s="1302"/>
    </row>
    <row r="3" spans="2:28" x14ac:dyDescent="1.65">
      <c r="B3" s="846"/>
      <c r="C3" s="1301" t="s">
        <v>602</v>
      </c>
      <c r="D3" s="1301"/>
      <c r="E3" s="1301"/>
      <c r="F3" s="1301"/>
      <c r="G3" s="1301"/>
      <c r="H3" s="1301"/>
      <c r="I3" s="1301"/>
      <c r="J3" s="1301"/>
      <c r="K3" s="1301"/>
      <c r="L3" s="1301"/>
      <c r="M3" s="1301"/>
      <c r="N3" s="1301"/>
      <c r="O3" s="1301"/>
      <c r="P3" s="1301"/>
      <c r="Q3" s="1301"/>
      <c r="R3" s="1301"/>
      <c r="S3" s="1301"/>
      <c r="T3" s="1302"/>
    </row>
    <row r="4" spans="2:28" ht="92.4" thickBot="1" x14ac:dyDescent="1.7">
      <c r="B4" s="1303" t="s">
        <v>603</v>
      </c>
      <c r="C4" s="1304"/>
      <c r="D4" s="1304"/>
      <c r="E4" s="1304"/>
      <c r="F4" s="1304"/>
      <c r="G4" s="1304"/>
      <c r="H4" s="1304"/>
      <c r="I4" s="1304"/>
      <c r="J4" s="1304"/>
      <c r="K4" s="1304"/>
      <c r="L4" s="1304"/>
      <c r="M4" s="1304"/>
      <c r="N4" s="1304"/>
      <c r="O4" s="1304"/>
      <c r="P4" s="1304"/>
      <c r="Q4" s="1304"/>
      <c r="R4" s="1304"/>
      <c r="S4" s="1304"/>
      <c r="T4" s="1305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306" t="s">
        <v>622</v>
      </c>
      <c r="C6" s="1307"/>
      <c r="D6" s="1307"/>
      <c r="E6" s="1307"/>
      <c r="F6" s="1307"/>
      <c r="G6" s="1307"/>
      <c r="H6" s="1307"/>
      <c r="I6" s="1307"/>
      <c r="J6" s="1307"/>
      <c r="K6" s="1307"/>
      <c r="L6" s="1307"/>
      <c r="M6" s="1307"/>
      <c r="N6" s="1307"/>
      <c r="O6" s="1307"/>
      <c r="P6" s="1307"/>
      <c r="Q6" s="1307"/>
      <c r="R6" s="1307"/>
      <c r="S6" s="1307"/>
      <c r="T6" s="1308"/>
    </row>
    <row r="7" spans="2:28" ht="92.4" thickBot="1" x14ac:dyDescent="1.7">
      <c r="B7" s="1309"/>
      <c r="C7" s="1310"/>
      <c r="D7" s="1310"/>
      <c r="E7" s="1310"/>
      <c r="F7" s="1310"/>
      <c r="G7" s="1310"/>
      <c r="H7" s="1310"/>
      <c r="I7" s="1310"/>
      <c r="J7" s="1310"/>
      <c r="K7" s="1310"/>
      <c r="L7" s="1310"/>
      <c r="M7" s="1310"/>
      <c r="N7" s="1310"/>
      <c r="O7" s="1310"/>
      <c r="P7" s="1310"/>
      <c r="Q7" s="1310"/>
      <c r="R7" s="1310"/>
      <c r="S7" s="1310"/>
      <c r="T7" s="1311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604</v>
      </c>
      <c r="F13" s="853" t="s">
        <v>667</v>
      </c>
      <c r="G13" s="853" t="s">
        <v>611</v>
      </c>
      <c r="H13" s="853" t="s">
        <v>605</v>
      </c>
      <c r="I13" s="853" t="s">
        <v>606</v>
      </c>
      <c r="J13" s="853" t="s">
        <v>607</v>
      </c>
      <c r="K13" s="853" t="s">
        <v>608</v>
      </c>
      <c r="L13" s="853" t="s">
        <v>225</v>
      </c>
      <c r="M13" s="853" t="s">
        <v>609</v>
      </c>
      <c r="T13" s="852"/>
      <c r="Z13" s="1312" t="s">
        <v>620</v>
      </c>
      <c r="AA13" s="1312"/>
      <c r="AB13" s="1312"/>
    </row>
    <row r="14" spans="2:28" x14ac:dyDescent="1.65">
      <c r="B14" s="854"/>
      <c r="C14" s="855">
        <v>1</v>
      </c>
      <c r="D14" s="861">
        <v>46268</v>
      </c>
      <c r="E14" s="855" t="s">
        <v>612</v>
      </c>
      <c r="F14" s="855" t="s">
        <v>613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619</v>
      </c>
      <c r="M14" s="1089">
        <v>7</v>
      </c>
      <c r="T14" s="852"/>
      <c r="Z14" s="844">
        <v>1</v>
      </c>
      <c r="AA14" s="844" t="s">
        <v>621</v>
      </c>
    </row>
    <row r="15" spans="2:28" x14ac:dyDescent="1.65">
      <c r="B15" s="854"/>
      <c r="C15" s="855">
        <v>2</v>
      </c>
      <c r="D15" s="861">
        <v>46269</v>
      </c>
      <c r="E15" s="855" t="s">
        <v>612</v>
      </c>
      <c r="F15" s="855" t="s">
        <v>613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619</v>
      </c>
      <c r="M15" s="1089">
        <v>7</v>
      </c>
      <c r="T15" s="852"/>
      <c r="Z15" s="844">
        <v>2</v>
      </c>
      <c r="AA15" s="844" t="s">
        <v>618</v>
      </c>
    </row>
    <row r="16" spans="2:28" x14ac:dyDescent="1.65">
      <c r="B16" s="854"/>
      <c r="C16" s="855">
        <v>3</v>
      </c>
      <c r="D16" s="861">
        <v>46269</v>
      </c>
      <c r="E16" s="855" t="s">
        <v>615</v>
      </c>
      <c r="F16" s="855" t="s">
        <v>613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619</v>
      </c>
      <c r="M16" s="1089">
        <v>7</v>
      </c>
      <c r="T16" s="852"/>
      <c r="Z16" s="844">
        <v>3</v>
      </c>
      <c r="AA16" s="844" t="s">
        <v>610</v>
      </c>
    </row>
    <row r="17" spans="2:20" x14ac:dyDescent="1.65">
      <c r="B17" s="851"/>
      <c r="C17" s="855">
        <v>4</v>
      </c>
      <c r="D17" s="862">
        <v>46270</v>
      </c>
      <c r="E17" s="856" t="s">
        <v>616</v>
      </c>
      <c r="F17" s="855" t="s">
        <v>613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619</v>
      </c>
      <c r="M17" s="1089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617</v>
      </c>
      <c r="F18" s="855" t="s">
        <v>618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619</v>
      </c>
      <c r="M18" s="1089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614</v>
      </c>
      <c r="F19" s="855" t="s">
        <v>613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619</v>
      </c>
      <c r="M19" s="1089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616</v>
      </c>
      <c r="F20" s="855" t="s">
        <v>613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619</v>
      </c>
      <c r="M20" s="1089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614</v>
      </c>
      <c r="F21" s="855" t="s">
        <v>613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619</v>
      </c>
      <c r="M21" s="1089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616</v>
      </c>
      <c r="F22" s="855" t="s">
        <v>613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619</v>
      </c>
      <c r="M22" s="1089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614</v>
      </c>
      <c r="F23" s="855" t="s">
        <v>613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619</v>
      </c>
      <c r="M23" s="1089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616</v>
      </c>
      <c r="F24" s="855" t="s">
        <v>610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619</v>
      </c>
      <c r="M24" s="1089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614</v>
      </c>
      <c r="F25" s="855" t="s">
        <v>610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619</v>
      </c>
      <c r="M25" s="1089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614</v>
      </c>
      <c r="F26" s="855" t="s">
        <v>610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619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616</v>
      </c>
      <c r="F27" s="855" t="s">
        <v>610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619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616</v>
      </c>
      <c r="F28" s="855" t="s">
        <v>610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619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614</v>
      </c>
      <c r="F29" s="855" t="s">
        <v>610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619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616</v>
      </c>
      <c r="F30" s="855" t="s">
        <v>610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619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614</v>
      </c>
      <c r="F31" s="855" t="s">
        <v>610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619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614</v>
      </c>
      <c r="F32" s="855" t="s">
        <v>618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619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616</v>
      </c>
      <c r="F33" s="855" t="s">
        <v>618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619</v>
      </c>
      <c r="M33" s="1089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614</v>
      </c>
      <c r="F34" s="855" t="s">
        <v>618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619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134" zoomScaleNormal="100" workbookViewId="0">
      <selection activeCell="F152" sqref="F152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32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220" t="s">
        <v>458</v>
      </c>
      <c r="C2" s="1220"/>
      <c r="D2" s="1220"/>
      <c r="E2" s="1220"/>
      <c r="F2" s="1220"/>
      <c r="G2" s="1220"/>
      <c r="H2" s="1220"/>
      <c r="T2" s="1207" t="s">
        <v>499</v>
      </c>
      <c r="U2" s="1207"/>
      <c r="V2" s="1207"/>
      <c r="W2" s="1" t="s">
        <v>500</v>
      </c>
    </row>
    <row r="3" spans="2:28" x14ac:dyDescent="0.3">
      <c r="B3" s="14" t="s">
        <v>70</v>
      </c>
      <c r="C3" s="14" t="s">
        <v>459</v>
      </c>
      <c r="D3" s="14" t="s">
        <v>454</v>
      </c>
      <c r="E3" s="430" t="s">
        <v>455</v>
      </c>
      <c r="F3" s="14" t="s">
        <v>456</v>
      </c>
      <c r="G3" s="14" t="s">
        <v>457</v>
      </c>
      <c r="H3" s="14" t="s">
        <v>341</v>
      </c>
      <c r="M3" s="14" t="s">
        <v>70</v>
      </c>
      <c r="N3" s="14" t="s">
        <v>459</v>
      </c>
      <c r="O3" s="14" t="s">
        <v>454</v>
      </c>
      <c r="P3" s="430" t="s">
        <v>455</v>
      </c>
      <c r="Q3" s="14" t="s">
        <v>456</v>
      </c>
      <c r="R3" s="14" t="s">
        <v>457</v>
      </c>
      <c r="S3" s="14" t="s">
        <v>341</v>
      </c>
      <c r="T3" s="252" t="s">
        <v>253</v>
      </c>
      <c r="U3" s="252" t="s">
        <v>254</v>
      </c>
      <c r="V3" s="252" t="s">
        <v>255</v>
      </c>
    </row>
    <row r="4" spans="2:28" x14ac:dyDescent="0.3">
      <c r="B4" s="579">
        <v>1</v>
      </c>
      <c r="C4" s="1211">
        <v>1</v>
      </c>
      <c r="D4" s="615" t="s">
        <v>460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489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212"/>
      <c r="D5" s="615" t="s">
        <v>461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490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212"/>
      <c r="D6" s="615" t="s">
        <v>462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491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212"/>
      <c r="D7" s="615" t="s">
        <v>463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492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212"/>
      <c r="D8" s="615" t="s">
        <v>464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493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212"/>
      <c r="D9" s="615" t="s">
        <v>465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494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212"/>
      <c r="D10" s="615" t="s">
        <v>460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489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212"/>
      <c r="D11" s="615" t="s">
        <v>461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490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212"/>
      <c r="D12" s="615" t="s">
        <v>462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491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212"/>
      <c r="D13" s="615" t="s">
        <v>463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493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212"/>
      <c r="D14" s="615" t="s">
        <v>464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495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213"/>
      <c r="D15" s="615" t="s">
        <v>465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496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208">
        <v>2</v>
      </c>
      <c r="D16" s="618" t="s">
        <v>460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497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209"/>
      <c r="D17" s="618" t="s">
        <v>461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498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209"/>
      <c r="D18" s="618" t="s">
        <v>462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493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209"/>
      <c r="D19" s="618" t="s">
        <v>463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490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209"/>
      <c r="D20" s="618" t="s">
        <v>464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491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209"/>
      <c r="D21" s="618" t="s">
        <v>465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493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209"/>
      <c r="D22" s="618" t="s">
        <v>460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494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209"/>
      <c r="D23" s="618" t="s">
        <v>461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489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210"/>
      <c r="D24" s="618" t="s">
        <v>462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490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211">
        <v>3</v>
      </c>
      <c r="D25" s="615" t="s">
        <v>463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492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212"/>
      <c r="D26" s="615" t="s">
        <v>464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493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212"/>
      <c r="D27" s="615" t="s">
        <v>465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212"/>
      <c r="D28" s="615" t="s">
        <v>460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212"/>
      <c r="D29" s="615" t="s">
        <v>461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212"/>
      <c r="D30" s="615" t="s">
        <v>462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212"/>
      <c r="D31" s="615" t="s">
        <v>463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212"/>
      <c r="D32" s="615" t="s">
        <v>464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212"/>
      <c r="D33" s="615" t="s">
        <v>465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212"/>
      <c r="D34" s="615" t="s">
        <v>460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212"/>
      <c r="D35" s="615" t="s">
        <v>461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213"/>
      <c r="D36" s="615" t="s">
        <v>462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208">
        <v>4</v>
      </c>
      <c r="D37" s="618" t="s">
        <v>463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209"/>
      <c r="D38" s="618" t="s">
        <v>464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209"/>
      <c r="D39" s="618" t="s">
        <v>465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209"/>
      <c r="D40" s="618" t="s">
        <v>460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209"/>
      <c r="D41" s="618" t="s">
        <v>461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209"/>
      <c r="D42" s="618" t="s">
        <v>462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209"/>
      <c r="D43" s="618" t="s">
        <v>463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209"/>
      <c r="D44" s="618" t="s">
        <v>464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209"/>
      <c r="D45" s="618" t="s">
        <v>465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209"/>
      <c r="D46" s="618" t="s">
        <v>460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209"/>
      <c r="D47" s="618" t="s">
        <v>461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210"/>
      <c r="D48" s="618" t="s">
        <v>462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463</v>
      </c>
      <c r="E49" s="431">
        <v>46274</v>
      </c>
      <c r="F49" s="6" t="s">
        <v>538</v>
      </c>
      <c r="G49" s="6"/>
      <c r="H49" s="6"/>
    </row>
    <row r="50" spans="2:8" x14ac:dyDescent="0.3">
      <c r="B50" s="233">
        <v>47</v>
      </c>
      <c r="C50" s="6"/>
      <c r="D50" s="6" t="s">
        <v>464</v>
      </c>
      <c r="E50" s="431">
        <v>46274</v>
      </c>
      <c r="F50" s="6" t="s">
        <v>539</v>
      </c>
      <c r="G50" s="6"/>
      <c r="H50" s="6"/>
    </row>
    <row r="51" spans="2:8" x14ac:dyDescent="0.3">
      <c r="B51" s="233">
        <v>48</v>
      </c>
      <c r="C51" s="6"/>
      <c r="D51" s="6" t="s">
        <v>465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208">
        <v>5</v>
      </c>
      <c r="D52" s="618" t="s">
        <v>460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209"/>
      <c r="D53" s="618" t="s">
        <v>461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209"/>
      <c r="D54" s="618" t="s">
        <v>462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209"/>
      <c r="D55" s="618" t="s">
        <v>463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209"/>
      <c r="D56" s="618" t="s">
        <v>464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209"/>
      <c r="D57" s="618" t="s">
        <v>465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209"/>
      <c r="D58" s="618" t="s">
        <v>460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209"/>
      <c r="D59" s="618" t="s">
        <v>461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210"/>
      <c r="D60" s="618" t="s">
        <v>462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211">
        <v>6</v>
      </c>
      <c r="D61" s="615" t="s">
        <v>463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212"/>
      <c r="D62" s="615" t="s">
        <v>464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212"/>
      <c r="D63" s="615" t="s">
        <v>465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212"/>
      <c r="D64" s="615" t="s">
        <v>460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212"/>
      <c r="D65" s="615" t="s">
        <v>461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213"/>
      <c r="D66" s="615" t="s">
        <v>462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208">
        <v>7</v>
      </c>
      <c r="D67" s="618" t="s">
        <v>463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209"/>
      <c r="D68" s="618" t="s">
        <v>464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209"/>
      <c r="D69" s="618" t="s">
        <v>465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209"/>
      <c r="D70" s="618" t="s">
        <v>460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209"/>
      <c r="D71" s="618" t="s">
        <v>461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209"/>
      <c r="D72" s="618" t="s">
        <v>462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209"/>
      <c r="D73" s="618" t="s">
        <v>463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209"/>
      <c r="D74" s="618" t="s">
        <v>464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210"/>
      <c r="D75" s="618" t="s">
        <v>465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211">
        <v>8</v>
      </c>
      <c r="D76" s="615" t="s">
        <v>460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212"/>
      <c r="D77" s="615" t="s">
        <v>461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212"/>
      <c r="D78" s="615" t="s">
        <v>462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212"/>
      <c r="D79" s="615" t="s">
        <v>463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212"/>
      <c r="D80" s="615" t="s">
        <v>464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212"/>
      <c r="D81" s="615" t="s">
        <v>465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212"/>
      <c r="D82" s="615" t="s">
        <v>460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212"/>
      <c r="D83" s="615" t="s">
        <v>461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212"/>
      <c r="D84" s="615" t="s">
        <v>462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212"/>
      <c r="D85" s="615" t="s">
        <v>463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212"/>
      <c r="D86" s="615" t="s">
        <v>464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213"/>
      <c r="D87" s="615" t="s">
        <v>465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217">
        <v>9</v>
      </c>
      <c r="D88" s="452" t="s">
        <v>460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218"/>
      <c r="D89" s="452" t="s">
        <v>461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218"/>
      <c r="D90" s="452" t="s">
        <v>462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218"/>
      <c r="D91" s="452" t="s">
        <v>463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218"/>
      <c r="D92" s="452" t="s">
        <v>464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218"/>
      <c r="D93" s="452" t="s">
        <v>465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218"/>
      <c r="D94" s="452" t="s">
        <v>460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218"/>
      <c r="D95" s="452" t="s">
        <v>461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218"/>
      <c r="D96" s="452" t="s">
        <v>462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218"/>
      <c r="D97" s="452" t="s">
        <v>463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218"/>
      <c r="D98" s="452" t="s">
        <v>464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219"/>
      <c r="D99" s="452" t="s">
        <v>465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204">
        <v>10</v>
      </c>
      <c r="D100" s="615" t="s">
        <v>460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205"/>
      <c r="D101" s="615" t="s">
        <v>461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205"/>
      <c r="D102" s="615" t="s">
        <v>462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205"/>
      <c r="D103" s="615" t="s">
        <v>463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205"/>
      <c r="D104" s="615" t="s">
        <v>464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205"/>
      <c r="D105" s="615" t="s">
        <v>465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205"/>
      <c r="D106" s="615" t="s">
        <v>460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205"/>
      <c r="D107" s="615" t="s">
        <v>461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205"/>
      <c r="D108" s="615" t="s">
        <v>462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205"/>
      <c r="D109" s="615" t="s">
        <v>463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205"/>
      <c r="D110" s="615" t="s">
        <v>464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205"/>
      <c r="D111" s="615" t="s">
        <v>465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205"/>
      <c r="D112" s="615" t="s">
        <v>460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205"/>
      <c r="D113" s="615" t="s">
        <v>461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205"/>
      <c r="D114" s="615" t="s">
        <v>462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205"/>
      <c r="D115" s="615" t="s">
        <v>463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205"/>
      <c r="D116" s="615" t="s">
        <v>464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205"/>
      <c r="D117" s="615" t="s">
        <v>465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205"/>
      <c r="D118" s="615" t="s">
        <v>460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205"/>
      <c r="D119" s="615" t="s">
        <v>461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206"/>
      <c r="D120" s="615" t="s">
        <v>462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214">
        <v>11</v>
      </c>
      <c r="D121" s="452" t="s">
        <v>463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215"/>
      <c r="D122" s="452" t="s">
        <v>464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215"/>
      <c r="D123" s="452" t="s">
        <v>465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215"/>
      <c r="D124" s="452" t="s">
        <v>460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215"/>
      <c r="D125" s="452" t="s">
        <v>461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215"/>
      <c r="D126" s="452" t="s">
        <v>462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215"/>
      <c r="D127" s="452" t="s">
        <v>463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215"/>
      <c r="D128" s="452" t="s">
        <v>464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216"/>
      <c r="D129" s="452" t="s">
        <v>465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204">
        <v>12</v>
      </c>
      <c r="D130" s="615" t="s">
        <v>460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205"/>
      <c r="D131" s="615" t="s">
        <v>461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205"/>
      <c r="D132" s="615" t="s">
        <v>462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205"/>
      <c r="D133" s="615" t="s">
        <v>463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205"/>
      <c r="D134" s="615" t="s">
        <v>464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205"/>
      <c r="D135" s="615" t="s">
        <v>465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205"/>
      <c r="D136" s="615" t="s">
        <v>460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205"/>
      <c r="D137" s="615" t="s">
        <v>461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205"/>
      <c r="D138" s="615" t="s">
        <v>462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205"/>
      <c r="D139" s="615" t="s">
        <v>463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205"/>
      <c r="D140" s="615" t="s">
        <v>464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205"/>
      <c r="D141" s="615" t="s">
        <v>465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205"/>
      <c r="D142" s="615" t="s">
        <v>460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205"/>
      <c r="D143" s="615" t="s">
        <v>461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205"/>
      <c r="D144" s="615" t="s">
        <v>462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8" x14ac:dyDescent="0.3">
      <c r="B145" s="615">
        <v>142</v>
      </c>
      <c r="C145" s="1205"/>
      <c r="D145" s="615" t="s">
        <v>463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8" x14ac:dyDescent="0.3">
      <c r="B146" s="615">
        <v>143</v>
      </c>
      <c r="C146" s="1205"/>
      <c r="D146" s="615" t="s">
        <v>464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8" x14ac:dyDescent="0.3">
      <c r="B147" s="615">
        <v>144</v>
      </c>
      <c r="C147" s="1206"/>
      <c r="D147" s="615" t="s">
        <v>465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8" x14ac:dyDescent="0.3">
      <c r="B148" s="452">
        <v>145</v>
      </c>
      <c r="C148" s="1201">
        <v>13</v>
      </c>
      <c r="D148" s="452" t="s">
        <v>463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8" x14ac:dyDescent="0.3">
      <c r="B149" s="452">
        <v>146</v>
      </c>
      <c r="C149" s="1202"/>
      <c r="D149" s="452" t="s">
        <v>464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8" x14ac:dyDescent="0.3">
      <c r="B150" s="452">
        <v>147</v>
      </c>
      <c r="C150" s="1202"/>
      <c r="D150" s="452" t="s">
        <v>465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8" x14ac:dyDescent="0.3">
      <c r="B151" s="452">
        <v>148</v>
      </c>
      <c r="C151" s="1202"/>
      <c r="D151" s="452" t="s">
        <v>460</v>
      </c>
      <c r="E151" s="453">
        <v>46299</v>
      </c>
      <c r="F151" s="452"/>
      <c r="G151" s="452"/>
      <c r="H151" s="452"/>
    </row>
    <row r="152" spans="2:8" x14ac:dyDescent="0.3">
      <c r="B152" s="452">
        <v>149</v>
      </c>
      <c r="C152" s="1202"/>
      <c r="D152" s="452" t="s">
        <v>461</v>
      </c>
      <c r="E152" s="453">
        <v>46299</v>
      </c>
      <c r="F152" s="452"/>
      <c r="G152" s="452"/>
      <c r="H152" s="452"/>
    </row>
    <row r="153" spans="2:8" x14ac:dyDescent="0.3">
      <c r="B153" s="452">
        <v>150</v>
      </c>
      <c r="C153" s="1202"/>
      <c r="D153" s="452" t="s">
        <v>462</v>
      </c>
      <c r="E153" s="453">
        <v>46299</v>
      </c>
      <c r="F153" s="452"/>
      <c r="G153" s="452"/>
      <c r="H153" s="452"/>
    </row>
    <row r="154" spans="2:8" x14ac:dyDescent="0.3">
      <c r="B154" s="452">
        <v>151</v>
      </c>
      <c r="C154" s="1202"/>
      <c r="D154" s="452" t="s">
        <v>463</v>
      </c>
      <c r="E154" s="453">
        <v>46299</v>
      </c>
      <c r="F154" s="452"/>
      <c r="G154" s="452"/>
      <c r="H154" s="452"/>
    </row>
    <row r="155" spans="2:8" x14ac:dyDescent="0.3">
      <c r="B155" s="452">
        <v>152</v>
      </c>
      <c r="C155" s="1202"/>
      <c r="D155" s="452" t="s">
        <v>464</v>
      </c>
      <c r="E155" s="453">
        <v>46299</v>
      </c>
      <c r="F155" s="452"/>
      <c r="G155" s="452"/>
      <c r="H155" s="452"/>
    </row>
    <row r="156" spans="2:8" x14ac:dyDescent="0.3">
      <c r="B156" s="452">
        <v>153</v>
      </c>
      <c r="C156" s="1203"/>
      <c r="D156" s="452" t="s">
        <v>465</v>
      </c>
      <c r="E156" s="453">
        <v>46299</v>
      </c>
      <c r="F156" s="452"/>
      <c r="G156" s="452"/>
      <c r="H156" s="452"/>
    </row>
    <row r="157" spans="2:8" x14ac:dyDescent="0.3">
      <c r="B157" s="6"/>
      <c r="C157" s="6"/>
      <c r="D157" s="6"/>
      <c r="E157" s="233"/>
      <c r="F157" s="6"/>
      <c r="G157" s="6"/>
      <c r="H157" s="6"/>
    </row>
    <row r="158" spans="2:8" x14ac:dyDescent="0.3">
      <c r="B158" s="6"/>
      <c r="C158" s="6"/>
      <c r="D158" s="6"/>
      <c r="E158" s="233"/>
      <c r="F158" s="6"/>
      <c r="G158" s="6"/>
      <c r="H158" s="6"/>
    </row>
    <row r="159" spans="2:8" x14ac:dyDescent="0.3">
      <c r="B159" s="6"/>
      <c r="C159" s="6"/>
      <c r="D159" s="6"/>
      <c r="E159" s="233"/>
      <c r="F159" s="6"/>
      <c r="G159" s="6"/>
      <c r="H159" s="6"/>
    </row>
    <row r="160" spans="2:8" x14ac:dyDescent="0.3">
      <c r="B160" s="6"/>
      <c r="C160" s="6"/>
      <c r="D160" s="6"/>
      <c r="E160" s="233"/>
      <c r="F160" s="6"/>
      <c r="G160" s="6"/>
      <c r="H160" s="6"/>
    </row>
    <row r="161" spans="2:8" x14ac:dyDescent="0.3">
      <c r="B161" s="6"/>
      <c r="C161" s="6"/>
      <c r="D161" s="6"/>
      <c r="E161" s="233"/>
      <c r="F161" s="6"/>
      <c r="G161" s="6"/>
      <c r="H161" s="6"/>
    </row>
    <row r="162" spans="2:8" x14ac:dyDescent="0.3">
      <c r="B162" s="6"/>
      <c r="C162" s="6"/>
      <c r="D162" s="6"/>
      <c r="E162" s="233"/>
      <c r="F162" s="6"/>
      <c r="G162" s="6"/>
      <c r="H162" s="6"/>
    </row>
    <row r="163" spans="2:8" x14ac:dyDescent="0.3">
      <c r="B163" s="6"/>
      <c r="C163" s="6"/>
      <c r="D163" s="6"/>
      <c r="E163" s="233"/>
      <c r="F163" s="6"/>
      <c r="G163" s="6"/>
      <c r="H163" s="6"/>
    </row>
    <row r="164" spans="2:8" x14ac:dyDescent="0.3">
      <c r="B164" s="6"/>
      <c r="C164" s="6"/>
      <c r="D164" s="6"/>
      <c r="E164" s="233"/>
      <c r="F164" s="6"/>
      <c r="G164" s="6"/>
      <c r="H164" s="6"/>
    </row>
    <row r="165" spans="2:8" x14ac:dyDescent="0.3">
      <c r="B165" s="6"/>
      <c r="C165" s="6"/>
      <c r="D165" s="6"/>
      <c r="E165" s="233"/>
      <c r="F165" s="6"/>
      <c r="G165" s="6"/>
      <c r="H165" s="6"/>
    </row>
    <row r="166" spans="2:8" x14ac:dyDescent="0.3">
      <c r="B166" s="6"/>
      <c r="C166" s="6"/>
      <c r="D166" s="6"/>
      <c r="E166" s="233"/>
      <c r="F166" s="6"/>
      <c r="G166" s="6"/>
      <c r="H166" s="6"/>
    </row>
    <row r="167" spans="2:8" x14ac:dyDescent="0.3">
      <c r="B167" s="6"/>
      <c r="C167" s="6"/>
      <c r="D167" s="6"/>
      <c r="E167" s="233"/>
      <c r="F167" s="6"/>
      <c r="G167" s="6"/>
      <c r="H167" s="6"/>
    </row>
    <row r="168" spans="2:8" x14ac:dyDescent="0.3">
      <c r="B168" s="6"/>
      <c r="C168" s="6"/>
      <c r="D168" s="6"/>
      <c r="E168" s="233"/>
      <c r="F168" s="6"/>
      <c r="G168" s="6"/>
      <c r="H168" s="6"/>
    </row>
    <row r="169" spans="2:8" x14ac:dyDescent="0.3">
      <c r="B169" s="6"/>
      <c r="C169" s="6"/>
      <c r="D169" s="6"/>
      <c r="E169" s="233"/>
      <c r="F169" s="6"/>
      <c r="G169" s="6"/>
      <c r="H169" s="6"/>
    </row>
    <row r="170" spans="2:8" x14ac:dyDescent="0.3">
      <c r="B170" s="6"/>
      <c r="C170" s="6"/>
      <c r="D170" s="6"/>
      <c r="E170" s="233"/>
      <c r="F170" s="6"/>
      <c r="G170" s="6"/>
      <c r="H170" s="6"/>
    </row>
    <row r="171" spans="2:8" x14ac:dyDescent="0.3">
      <c r="B171" s="6"/>
      <c r="C171" s="6"/>
      <c r="D171" s="6"/>
      <c r="E171" s="233"/>
      <c r="F171" s="6"/>
      <c r="G171" s="6"/>
      <c r="H171" s="6"/>
    </row>
    <row r="172" spans="2:8" x14ac:dyDescent="0.3">
      <c r="B172" s="6"/>
      <c r="C172" s="6"/>
      <c r="D172" s="6"/>
      <c r="E172" s="233"/>
      <c r="F172" s="6"/>
      <c r="G172" s="6"/>
      <c r="H172" s="6"/>
    </row>
    <row r="173" spans="2:8" x14ac:dyDescent="0.3">
      <c r="B173" s="6"/>
      <c r="C173" s="6"/>
      <c r="D173" s="6"/>
      <c r="E173" s="233"/>
      <c r="F173" s="6"/>
      <c r="G173" s="6"/>
      <c r="H173" s="6"/>
    </row>
    <row r="174" spans="2:8" x14ac:dyDescent="0.3">
      <c r="B174" s="6"/>
      <c r="C174" s="6"/>
      <c r="D174" s="6"/>
      <c r="E174" s="233"/>
      <c r="F174" s="6"/>
      <c r="G174" s="6"/>
      <c r="H174" s="6"/>
    </row>
    <row r="175" spans="2:8" x14ac:dyDescent="0.3">
      <c r="B175" s="6"/>
      <c r="C175" s="6"/>
      <c r="D175" s="6"/>
      <c r="E175" s="233"/>
      <c r="F175" s="6"/>
      <c r="G175" s="6"/>
      <c r="H175" s="6"/>
    </row>
    <row r="176" spans="2:8" x14ac:dyDescent="0.3">
      <c r="B176" s="6"/>
      <c r="C176" s="6"/>
      <c r="D176" s="6"/>
      <c r="E176" s="233"/>
      <c r="F176" s="6"/>
      <c r="G176" s="6"/>
      <c r="H176" s="6"/>
    </row>
    <row r="177" spans="2:8" x14ac:dyDescent="0.3">
      <c r="B177" s="6"/>
      <c r="C177" s="6"/>
      <c r="D177" s="6"/>
      <c r="E177" s="233"/>
      <c r="F177" s="6"/>
      <c r="G177" s="6"/>
      <c r="H177" s="6"/>
    </row>
    <row r="178" spans="2:8" x14ac:dyDescent="0.3">
      <c r="B178" s="6"/>
      <c r="C178" s="6"/>
      <c r="D178" s="6"/>
      <c r="E178" s="233"/>
      <c r="F178" s="6"/>
      <c r="G178" s="6"/>
      <c r="H178" s="6"/>
    </row>
    <row r="179" spans="2:8" x14ac:dyDescent="0.3">
      <c r="B179" s="6"/>
      <c r="C179" s="6"/>
      <c r="D179" s="6"/>
      <c r="E179" s="233"/>
      <c r="F179" s="6"/>
      <c r="G179" s="6"/>
      <c r="H179" s="6"/>
    </row>
    <row r="180" spans="2:8" x14ac:dyDescent="0.3">
      <c r="B180" s="6"/>
      <c r="C180" s="6"/>
      <c r="D180" s="6"/>
      <c r="E180" s="233"/>
      <c r="F180" s="6"/>
      <c r="G180" s="6"/>
      <c r="H180" s="6"/>
    </row>
    <row r="181" spans="2:8" x14ac:dyDescent="0.3">
      <c r="B181" s="6"/>
      <c r="C181" s="6"/>
      <c r="D181" s="6"/>
      <c r="E181" s="233"/>
      <c r="F181" s="6"/>
      <c r="G181" s="6"/>
      <c r="H181" s="6"/>
    </row>
    <row r="182" spans="2:8" x14ac:dyDescent="0.3">
      <c r="B182" s="6"/>
      <c r="C182" s="6"/>
      <c r="D182" s="6"/>
      <c r="E182" s="233"/>
      <c r="F182" s="6"/>
      <c r="G182" s="6"/>
      <c r="H182" s="6"/>
    </row>
    <row r="183" spans="2:8" x14ac:dyDescent="0.3">
      <c r="B183" s="6"/>
      <c r="C183" s="6"/>
      <c r="D183" s="6"/>
      <c r="E183" s="233"/>
      <c r="F183" s="6"/>
      <c r="G183" s="6"/>
      <c r="H183" s="6"/>
    </row>
    <row r="184" spans="2:8" x14ac:dyDescent="0.3">
      <c r="B184" s="6"/>
      <c r="C184" s="6"/>
      <c r="D184" s="6"/>
      <c r="E184" s="233"/>
      <c r="F184" s="6"/>
      <c r="G184" s="6"/>
      <c r="H184" s="6"/>
    </row>
    <row r="185" spans="2:8" x14ac:dyDescent="0.3">
      <c r="B185" s="6"/>
      <c r="C185" s="6"/>
      <c r="D185" s="6"/>
      <c r="E185" s="233"/>
      <c r="F185" s="6"/>
      <c r="G185" s="6"/>
      <c r="H185" s="6"/>
    </row>
    <row r="186" spans="2:8" x14ac:dyDescent="0.3">
      <c r="B186" s="6"/>
      <c r="C186" s="6"/>
      <c r="D186" s="6"/>
      <c r="E186" s="233"/>
      <c r="F186" s="6"/>
      <c r="G186" s="6"/>
      <c r="H186" s="6"/>
    </row>
    <row r="187" spans="2:8" x14ac:dyDescent="0.3">
      <c r="B187" s="6"/>
      <c r="C187" s="6"/>
      <c r="D187" s="6"/>
      <c r="E187" s="233"/>
      <c r="F187" s="6"/>
      <c r="G187" s="6"/>
      <c r="H187" s="6"/>
    </row>
    <row r="188" spans="2:8" x14ac:dyDescent="0.3">
      <c r="B188" s="6"/>
      <c r="C188" s="6"/>
      <c r="D188" s="6"/>
      <c r="E188" s="233"/>
      <c r="F188" s="6"/>
      <c r="G188" s="6"/>
      <c r="H188" s="6"/>
    </row>
    <row r="189" spans="2:8" x14ac:dyDescent="0.3">
      <c r="B189" s="6"/>
      <c r="C189" s="6"/>
      <c r="D189" s="6"/>
      <c r="E189" s="233"/>
      <c r="F189" s="6"/>
      <c r="G189" s="6"/>
      <c r="H189" s="6"/>
    </row>
    <row r="190" spans="2:8" x14ac:dyDescent="0.3">
      <c r="B190" s="6"/>
      <c r="C190" s="6"/>
      <c r="D190" s="6"/>
      <c r="E190" s="233"/>
      <c r="F190" s="6"/>
      <c r="G190" s="6"/>
      <c r="H190" s="6"/>
    </row>
    <row r="191" spans="2:8" x14ac:dyDescent="0.3">
      <c r="B191" s="6"/>
      <c r="C191" s="6"/>
      <c r="D191" s="6"/>
      <c r="E191" s="233"/>
      <c r="F191" s="6"/>
      <c r="G191" s="6"/>
      <c r="H191" s="6"/>
    </row>
    <row r="192" spans="2:8" x14ac:dyDescent="0.3">
      <c r="B192" s="6"/>
      <c r="C192" s="6"/>
      <c r="D192" s="6"/>
      <c r="E192" s="233"/>
      <c r="F192" s="6"/>
      <c r="G192" s="6"/>
      <c r="H192" s="6"/>
    </row>
    <row r="193" spans="2:8" x14ac:dyDescent="0.3">
      <c r="B193" s="6"/>
      <c r="C193" s="6"/>
      <c r="D193" s="6"/>
      <c r="E193" s="233"/>
      <c r="F193" s="6"/>
      <c r="G193" s="6"/>
      <c r="H193" s="6"/>
    </row>
    <row r="194" spans="2:8" x14ac:dyDescent="0.3">
      <c r="B194" s="6"/>
      <c r="C194" s="6"/>
      <c r="D194" s="6"/>
      <c r="E194" s="233"/>
      <c r="F194" s="6"/>
      <c r="G194" s="6"/>
      <c r="H194" s="6"/>
    </row>
    <row r="195" spans="2:8" x14ac:dyDescent="0.3">
      <c r="B195" s="6"/>
      <c r="C195" s="6"/>
      <c r="D195" s="6"/>
      <c r="E195" s="233"/>
      <c r="F195" s="6"/>
      <c r="G195" s="6"/>
      <c r="H195" s="6"/>
    </row>
    <row r="196" spans="2:8" x14ac:dyDescent="0.3">
      <c r="B196" s="6"/>
      <c r="C196" s="6"/>
      <c r="D196" s="6"/>
      <c r="E196" s="233"/>
      <c r="F196" s="6"/>
      <c r="G196" s="6"/>
      <c r="H196" s="6"/>
    </row>
    <row r="197" spans="2:8" x14ac:dyDescent="0.3">
      <c r="B197" s="6"/>
      <c r="C197" s="6"/>
      <c r="D197" s="6"/>
      <c r="E197" s="233"/>
      <c r="F197" s="6"/>
      <c r="G197" s="6"/>
      <c r="H197" s="6"/>
    </row>
    <row r="198" spans="2:8" x14ac:dyDescent="0.3">
      <c r="B198" s="6"/>
      <c r="C198" s="6"/>
      <c r="D198" s="6"/>
      <c r="E198" s="233"/>
      <c r="F198" s="6"/>
      <c r="G198" s="6"/>
      <c r="H198" s="6"/>
    </row>
    <row r="199" spans="2:8" x14ac:dyDescent="0.3">
      <c r="B199" s="6"/>
      <c r="C199" s="6"/>
      <c r="D199" s="6"/>
      <c r="E199" s="233"/>
      <c r="F199" s="6"/>
      <c r="G199" s="6"/>
      <c r="H199" s="6"/>
    </row>
    <row r="200" spans="2:8" x14ac:dyDescent="0.3">
      <c r="B200" s="6"/>
      <c r="C200" s="6"/>
      <c r="D200" s="6"/>
      <c r="E200" s="233"/>
      <c r="F200" s="6"/>
      <c r="G200" s="6"/>
      <c r="H200" s="6"/>
    </row>
    <row r="201" spans="2:8" x14ac:dyDescent="0.3">
      <c r="B201" s="6"/>
      <c r="C201" s="6"/>
      <c r="D201" s="6"/>
      <c r="E201" s="233"/>
      <c r="F201" s="6"/>
      <c r="G201" s="6"/>
      <c r="H201" s="6"/>
    </row>
    <row r="202" spans="2:8" x14ac:dyDescent="0.3">
      <c r="B202" s="6"/>
      <c r="C202" s="6"/>
      <c r="D202" s="6"/>
      <c r="E202" s="233"/>
      <c r="F202" s="6"/>
      <c r="G202" s="6"/>
      <c r="H202" s="6"/>
    </row>
    <row r="203" spans="2:8" x14ac:dyDescent="0.3">
      <c r="B203" s="6"/>
      <c r="C203" s="6"/>
      <c r="D203" s="6"/>
      <c r="E203" s="233"/>
      <c r="F203" s="6"/>
      <c r="G203" s="6"/>
      <c r="H203" s="6"/>
    </row>
    <row r="204" spans="2:8" x14ac:dyDescent="0.3">
      <c r="B204" s="6"/>
      <c r="C204" s="6"/>
      <c r="D204" s="6"/>
      <c r="E204" s="233"/>
      <c r="F204" s="6"/>
      <c r="G204" s="6"/>
      <c r="H204" s="6"/>
    </row>
    <row r="205" spans="2:8" x14ac:dyDescent="0.3">
      <c r="B205" s="6"/>
      <c r="C205" s="6"/>
      <c r="D205" s="6"/>
      <c r="E205" s="233"/>
      <c r="F205" s="6"/>
      <c r="G205" s="6"/>
      <c r="H205" s="6"/>
    </row>
    <row r="206" spans="2:8" x14ac:dyDescent="0.3">
      <c r="B206" s="6"/>
      <c r="C206" s="6"/>
      <c r="D206" s="6"/>
      <c r="E206" s="233"/>
      <c r="F206" s="6"/>
      <c r="G206" s="6"/>
      <c r="H206" s="6"/>
    </row>
    <row r="207" spans="2:8" x14ac:dyDescent="0.3">
      <c r="B207" s="6"/>
      <c r="C207" s="6"/>
      <c r="D207" s="6"/>
      <c r="E207" s="233"/>
      <c r="F207" s="6"/>
      <c r="G207" s="6"/>
      <c r="H207" s="6"/>
    </row>
    <row r="208" spans="2:8" x14ac:dyDescent="0.3">
      <c r="B208" s="6"/>
      <c r="C208" s="6"/>
      <c r="D208" s="6"/>
      <c r="E208" s="233"/>
      <c r="F208" s="6"/>
      <c r="G208" s="6"/>
      <c r="H208" s="6"/>
    </row>
    <row r="209" spans="2:8" x14ac:dyDescent="0.3">
      <c r="B209" s="6"/>
      <c r="C209" s="6"/>
      <c r="D209" s="6"/>
      <c r="E209" s="233"/>
      <c r="F209" s="6"/>
      <c r="G209" s="6"/>
      <c r="H209" s="6"/>
    </row>
    <row r="210" spans="2:8" x14ac:dyDescent="0.3">
      <c r="B210" s="6"/>
      <c r="C210" s="6"/>
      <c r="D210" s="6"/>
      <c r="E210" s="233"/>
      <c r="F210" s="6"/>
      <c r="G210" s="6"/>
      <c r="H210" s="6"/>
    </row>
    <row r="211" spans="2:8" x14ac:dyDescent="0.3">
      <c r="B211" s="6"/>
      <c r="C211" s="6"/>
      <c r="D211" s="6"/>
      <c r="E211" s="233"/>
      <c r="F211" s="6"/>
      <c r="G211" s="6"/>
      <c r="H211" s="6"/>
    </row>
    <row r="212" spans="2:8" x14ac:dyDescent="0.3">
      <c r="B212" s="6"/>
      <c r="C212" s="6"/>
      <c r="D212" s="6"/>
      <c r="E212" s="233"/>
      <c r="F212" s="6"/>
      <c r="G212" s="6"/>
      <c r="H212" s="6"/>
    </row>
    <row r="213" spans="2:8" x14ac:dyDescent="0.3">
      <c r="B213" s="6"/>
      <c r="C213" s="6"/>
      <c r="D213" s="6"/>
      <c r="E213" s="233"/>
      <c r="F213" s="6"/>
      <c r="G213" s="6"/>
      <c r="H213" s="6"/>
    </row>
    <row r="214" spans="2:8" x14ac:dyDescent="0.3">
      <c r="B214" s="6"/>
      <c r="C214" s="6"/>
      <c r="D214" s="6"/>
      <c r="E214" s="233"/>
      <c r="F214" s="6"/>
      <c r="G214" s="6"/>
      <c r="H214" s="6"/>
    </row>
    <row r="215" spans="2:8" x14ac:dyDescent="0.3">
      <c r="B215" s="6"/>
      <c r="C215" s="6"/>
      <c r="D215" s="6"/>
      <c r="E215" s="233"/>
      <c r="F215" s="6"/>
      <c r="G215" s="6"/>
      <c r="H215" s="6"/>
    </row>
    <row r="216" spans="2:8" x14ac:dyDescent="0.3">
      <c r="B216" s="6"/>
      <c r="C216" s="6"/>
      <c r="D216" s="6"/>
      <c r="E216" s="233"/>
      <c r="F216" s="6"/>
      <c r="G216" s="6"/>
      <c r="H216" s="6"/>
    </row>
    <row r="217" spans="2:8" x14ac:dyDescent="0.3">
      <c r="B217" s="6"/>
      <c r="C217" s="6"/>
      <c r="D217" s="6"/>
      <c r="E217" s="233"/>
      <c r="F217" s="6"/>
      <c r="G217" s="6"/>
      <c r="H217" s="6"/>
    </row>
    <row r="218" spans="2:8" x14ac:dyDescent="0.3">
      <c r="B218" s="6"/>
      <c r="C218" s="6"/>
      <c r="D218" s="6"/>
      <c r="E218" s="233"/>
      <c r="F218" s="6"/>
      <c r="G218" s="6"/>
      <c r="H218" s="6"/>
    </row>
    <row r="219" spans="2:8" x14ac:dyDescent="0.3">
      <c r="B219" s="6"/>
      <c r="C219" s="6"/>
      <c r="D219" s="6"/>
      <c r="E219" s="233"/>
      <c r="F219" s="6"/>
      <c r="G219" s="6"/>
      <c r="H219" s="6"/>
    </row>
    <row r="220" spans="2:8" x14ac:dyDescent="0.3">
      <c r="B220" s="6"/>
      <c r="C220" s="6"/>
      <c r="D220" s="6"/>
      <c r="E220" s="233"/>
      <c r="F220" s="6"/>
      <c r="G220" s="6"/>
      <c r="H220" s="6"/>
    </row>
    <row r="221" spans="2:8" x14ac:dyDescent="0.3">
      <c r="B221" s="6"/>
      <c r="C221" s="6"/>
      <c r="D221" s="6"/>
      <c r="E221" s="233"/>
      <c r="F221" s="6"/>
      <c r="G221" s="6"/>
      <c r="H221" s="6"/>
    </row>
    <row r="222" spans="2:8" x14ac:dyDescent="0.3">
      <c r="B222" s="6"/>
      <c r="C222" s="6"/>
      <c r="D222" s="6"/>
      <c r="E222" s="233"/>
      <c r="F222" s="6"/>
      <c r="G222" s="6"/>
      <c r="H222" s="6"/>
    </row>
    <row r="223" spans="2:8" x14ac:dyDescent="0.3">
      <c r="B223" s="6"/>
      <c r="C223" s="6"/>
      <c r="D223" s="6"/>
      <c r="E223" s="233"/>
      <c r="F223" s="6"/>
      <c r="G223" s="6"/>
      <c r="H223" s="6"/>
    </row>
    <row r="224" spans="2:8" x14ac:dyDescent="0.3">
      <c r="B224" s="6"/>
      <c r="C224" s="6"/>
      <c r="D224" s="6"/>
      <c r="E224" s="233"/>
      <c r="F224" s="6"/>
      <c r="G224" s="6"/>
      <c r="H224" s="6"/>
    </row>
    <row r="225" spans="2:8" x14ac:dyDescent="0.3">
      <c r="B225" s="6"/>
      <c r="C225" s="6"/>
      <c r="D225" s="6"/>
      <c r="E225" s="233"/>
      <c r="F225" s="6"/>
      <c r="G225" s="6"/>
      <c r="H225" s="6"/>
    </row>
    <row r="226" spans="2:8" x14ac:dyDescent="0.3">
      <c r="B226" s="6"/>
      <c r="C226" s="6"/>
      <c r="D226" s="6"/>
      <c r="E226" s="233"/>
      <c r="F226" s="6"/>
      <c r="G226" s="6"/>
      <c r="H226" s="6"/>
    </row>
    <row r="227" spans="2:8" x14ac:dyDescent="0.3">
      <c r="B227" s="6"/>
      <c r="C227" s="6"/>
      <c r="D227" s="6"/>
      <c r="E227" s="233"/>
      <c r="F227" s="6"/>
      <c r="G227" s="6"/>
      <c r="H227" s="6"/>
    </row>
    <row r="228" spans="2:8" x14ac:dyDescent="0.3">
      <c r="B228" s="6"/>
      <c r="C228" s="6"/>
      <c r="D228" s="6"/>
      <c r="E228" s="233"/>
      <c r="F228" s="6"/>
      <c r="G228" s="6"/>
      <c r="H228" s="6"/>
    </row>
    <row r="229" spans="2:8" x14ac:dyDescent="0.3">
      <c r="B229" s="6"/>
      <c r="C229" s="6"/>
      <c r="D229" s="6"/>
      <c r="E229" s="233"/>
      <c r="F229" s="6"/>
      <c r="G229" s="6"/>
      <c r="H229" s="6"/>
    </row>
    <row r="230" spans="2:8" x14ac:dyDescent="0.3">
      <c r="B230" s="6"/>
      <c r="C230" s="6"/>
      <c r="D230" s="6"/>
      <c r="E230" s="233"/>
      <c r="F230" s="6"/>
      <c r="G230" s="6"/>
      <c r="H230" s="6"/>
    </row>
    <row r="231" spans="2:8" x14ac:dyDescent="0.3">
      <c r="B231" s="6"/>
      <c r="C231" s="6"/>
      <c r="D231" s="6"/>
      <c r="E231" s="233"/>
      <c r="F231" s="6"/>
      <c r="G231" s="6"/>
      <c r="H231" s="6"/>
    </row>
    <row r="232" spans="2:8" x14ac:dyDescent="0.3">
      <c r="B232" s="6"/>
      <c r="C232" s="6"/>
      <c r="D232" s="6"/>
      <c r="E232" s="233"/>
      <c r="F232" s="6"/>
      <c r="G232" s="6"/>
      <c r="H232" s="6"/>
    </row>
    <row r="233" spans="2:8" x14ac:dyDescent="0.3">
      <c r="B233" s="6"/>
      <c r="C233" s="6"/>
      <c r="D233" s="6"/>
      <c r="E233" s="233"/>
      <c r="F233" s="6"/>
      <c r="G233" s="6"/>
      <c r="H233" s="6"/>
    </row>
    <row r="234" spans="2:8" x14ac:dyDescent="0.3">
      <c r="B234" s="6"/>
      <c r="C234" s="6"/>
      <c r="D234" s="6"/>
      <c r="E234" s="233"/>
      <c r="F234" s="6"/>
      <c r="G234" s="6"/>
      <c r="H234" s="6"/>
    </row>
    <row r="235" spans="2:8" x14ac:dyDescent="0.3">
      <c r="B235" s="6"/>
      <c r="C235" s="6"/>
      <c r="D235" s="6"/>
      <c r="E235" s="233"/>
      <c r="F235" s="6"/>
      <c r="G235" s="6"/>
      <c r="H235" s="6"/>
    </row>
    <row r="236" spans="2:8" x14ac:dyDescent="0.3">
      <c r="B236" s="6"/>
      <c r="C236" s="6"/>
      <c r="D236" s="6"/>
      <c r="E236" s="233"/>
      <c r="F236" s="6"/>
      <c r="G236" s="6"/>
      <c r="H236" s="6"/>
    </row>
    <row r="237" spans="2:8" x14ac:dyDescent="0.3">
      <c r="B237" s="6"/>
      <c r="C237" s="6"/>
      <c r="D237" s="6"/>
      <c r="E237" s="233"/>
      <c r="F237" s="6"/>
      <c r="G237" s="6"/>
      <c r="H237" s="6"/>
    </row>
    <row r="238" spans="2:8" x14ac:dyDescent="0.3">
      <c r="B238" s="6"/>
      <c r="C238" s="6"/>
      <c r="D238" s="6"/>
      <c r="E238" s="233"/>
      <c r="F238" s="6"/>
      <c r="G238" s="6"/>
      <c r="H238" s="6"/>
    </row>
    <row r="239" spans="2:8" x14ac:dyDescent="0.3">
      <c r="B239" s="6"/>
      <c r="C239" s="6"/>
      <c r="D239" s="6"/>
      <c r="E239" s="233"/>
      <c r="F239" s="6"/>
      <c r="G239" s="6"/>
      <c r="H239" s="6"/>
    </row>
    <row r="240" spans="2:8" x14ac:dyDescent="0.3">
      <c r="B240" s="6"/>
      <c r="C240" s="6"/>
      <c r="D240" s="6"/>
      <c r="E240" s="233"/>
      <c r="F240" s="6"/>
      <c r="G240" s="6"/>
      <c r="H240" s="6"/>
    </row>
    <row r="241" spans="2:8" x14ac:dyDescent="0.3">
      <c r="B241" s="6"/>
      <c r="C241" s="6"/>
      <c r="D241" s="6"/>
      <c r="E241" s="233"/>
      <c r="F241" s="6"/>
      <c r="G241" s="6"/>
      <c r="H241" s="6"/>
    </row>
    <row r="242" spans="2:8" x14ac:dyDescent="0.3">
      <c r="B242" s="6"/>
      <c r="C242" s="6"/>
      <c r="D242" s="6"/>
      <c r="E242" s="233"/>
      <c r="F242" s="6"/>
      <c r="G242" s="6"/>
      <c r="H242" s="6"/>
    </row>
    <row r="243" spans="2:8" x14ac:dyDescent="0.3">
      <c r="B243" s="6"/>
      <c r="C243" s="6"/>
      <c r="D243" s="6"/>
      <c r="E243" s="233"/>
      <c r="F243" s="6"/>
      <c r="G243" s="6"/>
      <c r="H243" s="6"/>
    </row>
    <row r="244" spans="2:8" x14ac:dyDescent="0.3">
      <c r="B244" s="6"/>
      <c r="C244" s="6"/>
      <c r="D244" s="6"/>
      <c r="E244" s="233"/>
      <c r="F244" s="6"/>
      <c r="G244" s="6"/>
      <c r="H244" s="6"/>
    </row>
    <row r="245" spans="2:8" x14ac:dyDescent="0.3">
      <c r="B245" s="6"/>
      <c r="C245" s="6"/>
      <c r="D245" s="6"/>
      <c r="E245" s="233"/>
      <c r="F245" s="6"/>
      <c r="G245" s="6"/>
      <c r="H245" s="6"/>
    </row>
    <row r="246" spans="2:8" x14ac:dyDescent="0.3">
      <c r="B246" s="6"/>
      <c r="C246" s="6"/>
      <c r="D246" s="6"/>
      <c r="E246" s="233"/>
      <c r="F246" s="6"/>
      <c r="G246" s="6"/>
      <c r="H246" s="6"/>
    </row>
    <row r="247" spans="2:8" x14ac:dyDescent="0.3">
      <c r="B247" s="6"/>
      <c r="C247" s="6"/>
      <c r="D247" s="6"/>
      <c r="E247" s="233"/>
      <c r="F247" s="6"/>
      <c r="G247" s="6"/>
      <c r="H247" s="6"/>
    </row>
    <row r="248" spans="2:8" x14ac:dyDescent="0.3">
      <c r="B248" s="6"/>
      <c r="C248" s="6"/>
      <c r="D248" s="6"/>
      <c r="E248" s="233"/>
      <c r="F248" s="6"/>
      <c r="G248" s="6"/>
      <c r="H248" s="6"/>
    </row>
    <row r="249" spans="2:8" x14ac:dyDescent="0.3">
      <c r="B249" s="6"/>
      <c r="C249" s="6"/>
      <c r="D249" s="6"/>
      <c r="E249" s="233"/>
      <c r="F249" s="6"/>
      <c r="G249" s="6"/>
      <c r="H249" s="6"/>
    </row>
    <row r="250" spans="2:8" x14ac:dyDescent="0.3">
      <c r="B250" s="6"/>
      <c r="C250" s="6"/>
      <c r="D250" s="6"/>
      <c r="E250" s="233"/>
      <c r="F250" s="6"/>
      <c r="G250" s="6"/>
      <c r="H250" s="6"/>
    </row>
    <row r="251" spans="2:8" x14ac:dyDescent="0.3">
      <c r="B251" s="6"/>
      <c r="C251" s="6"/>
      <c r="D251" s="6"/>
      <c r="E251" s="233"/>
      <c r="F251" s="6"/>
      <c r="G251" s="6"/>
      <c r="H251" s="6"/>
    </row>
    <row r="252" spans="2:8" x14ac:dyDescent="0.3">
      <c r="B252" s="6"/>
      <c r="C252" s="6"/>
      <c r="D252" s="6"/>
      <c r="E252" s="233"/>
      <c r="F252" s="6"/>
      <c r="G252" s="6"/>
      <c r="H252" s="6"/>
    </row>
    <row r="253" spans="2:8" x14ac:dyDescent="0.3">
      <c r="B253" s="6"/>
      <c r="C253" s="6"/>
      <c r="D253" s="6"/>
      <c r="E253" s="233"/>
      <c r="F253" s="6"/>
      <c r="G253" s="6"/>
      <c r="H253" s="6"/>
    </row>
    <row r="254" spans="2:8" x14ac:dyDescent="0.3">
      <c r="B254" s="6"/>
      <c r="C254" s="6"/>
      <c r="D254" s="6"/>
      <c r="E254" s="233"/>
      <c r="F254" s="6"/>
      <c r="G254" s="6"/>
      <c r="H254" s="6"/>
    </row>
    <row r="255" spans="2:8" x14ac:dyDescent="0.3">
      <c r="B255" s="6"/>
      <c r="C255" s="6"/>
      <c r="D255" s="6"/>
      <c r="E255" s="233"/>
      <c r="F255" s="6"/>
      <c r="G255" s="6"/>
      <c r="H255" s="6"/>
    </row>
    <row r="256" spans="2:8" x14ac:dyDescent="0.3">
      <c r="B256" s="6"/>
      <c r="C256" s="6"/>
      <c r="D256" s="6"/>
      <c r="E256" s="233"/>
      <c r="F256" s="6"/>
      <c r="G256" s="6"/>
      <c r="H256" s="6"/>
    </row>
    <row r="257" spans="2:8" x14ac:dyDescent="0.3">
      <c r="B257" s="6"/>
      <c r="C257" s="6"/>
      <c r="D257" s="6"/>
      <c r="E257" s="233"/>
      <c r="F257" s="6"/>
      <c r="G257" s="6"/>
      <c r="H257" s="6"/>
    </row>
    <row r="258" spans="2:8" x14ac:dyDescent="0.3">
      <c r="B258" s="6"/>
      <c r="C258" s="6"/>
      <c r="D258" s="6"/>
      <c r="E258" s="233"/>
      <c r="F258" s="6"/>
      <c r="G258" s="6"/>
      <c r="H258" s="6"/>
    </row>
    <row r="259" spans="2:8" x14ac:dyDescent="0.3">
      <c r="B259" s="6"/>
      <c r="C259" s="6"/>
      <c r="D259" s="6"/>
      <c r="E259" s="233"/>
      <c r="F259" s="6"/>
      <c r="G259" s="6"/>
      <c r="H259" s="6"/>
    </row>
    <row r="260" spans="2:8" x14ac:dyDescent="0.3">
      <c r="B260" s="6"/>
      <c r="C260" s="6"/>
      <c r="D260" s="6"/>
      <c r="E260" s="233"/>
      <c r="F260" s="6"/>
      <c r="G260" s="6"/>
      <c r="H260" s="6"/>
    </row>
    <row r="261" spans="2:8" x14ac:dyDescent="0.3">
      <c r="B261" s="6"/>
      <c r="C261" s="6"/>
      <c r="D261" s="6"/>
      <c r="E261" s="233"/>
      <c r="F261" s="6"/>
      <c r="G261" s="6"/>
      <c r="H261" s="6"/>
    </row>
    <row r="262" spans="2:8" x14ac:dyDescent="0.3">
      <c r="B262" s="6"/>
      <c r="C262" s="6"/>
      <c r="D262" s="6"/>
      <c r="E262" s="233"/>
      <c r="F262" s="6"/>
      <c r="G262" s="6"/>
      <c r="H262" s="6"/>
    </row>
    <row r="263" spans="2:8" x14ac:dyDescent="0.3">
      <c r="B263" s="6"/>
      <c r="C263" s="6"/>
      <c r="D263" s="6"/>
      <c r="E263" s="233"/>
      <c r="F263" s="6"/>
      <c r="G263" s="6"/>
      <c r="H263" s="6"/>
    </row>
    <row r="264" spans="2:8" x14ac:dyDescent="0.3">
      <c r="B264" s="6"/>
      <c r="C264" s="6"/>
      <c r="D264" s="6"/>
      <c r="E264" s="233"/>
      <c r="F264" s="6"/>
      <c r="G264" s="6"/>
      <c r="H264" s="6"/>
    </row>
    <row r="265" spans="2:8" x14ac:dyDescent="0.3">
      <c r="B265" s="6"/>
      <c r="C265" s="6"/>
      <c r="D265" s="6"/>
      <c r="E265" s="233"/>
      <c r="F265" s="6"/>
      <c r="G265" s="6"/>
      <c r="H265" s="6"/>
    </row>
    <row r="266" spans="2:8" x14ac:dyDescent="0.3">
      <c r="B266" s="6"/>
      <c r="C266" s="6"/>
      <c r="D266" s="6"/>
      <c r="E266" s="233"/>
      <c r="F266" s="6"/>
      <c r="G266" s="6"/>
      <c r="H266" s="6"/>
    </row>
    <row r="267" spans="2:8" x14ac:dyDescent="0.3">
      <c r="B267" s="6"/>
      <c r="C267" s="6"/>
      <c r="D267" s="6"/>
      <c r="E267" s="233"/>
      <c r="F267" s="6"/>
      <c r="G267" s="6"/>
      <c r="H267" s="6"/>
    </row>
    <row r="268" spans="2:8" x14ac:dyDescent="0.3">
      <c r="B268" s="6"/>
      <c r="C268" s="6"/>
      <c r="D268" s="6"/>
      <c r="E268" s="233"/>
      <c r="F268" s="6"/>
      <c r="G268" s="6"/>
      <c r="H268" s="6"/>
    </row>
    <row r="269" spans="2:8" x14ac:dyDescent="0.3">
      <c r="B269" s="6"/>
      <c r="C269" s="6"/>
      <c r="D269" s="6"/>
      <c r="E269" s="233"/>
      <c r="F269" s="6"/>
      <c r="G269" s="6"/>
      <c r="H269" s="6"/>
    </row>
    <row r="270" spans="2:8" x14ac:dyDescent="0.3">
      <c r="B270" s="6"/>
      <c r="C270" s="6"/>
      <c r="D270" s="6"/>
      <c r="E270" s="233"/>
      <c r="F270" s="6"/>
      <c r="G270" s="6"/>
      <c r="H270" s="6"/>
    </row>
    <row r="271" spans="2:8" x14ac:dyDescent="0.3">
      <c r="B271" s="6"/>
      <c r="C271" s="6"/>
      <c r="D271" s="6"/>
      <c r="E271" s="233"/>
      <c r="F271" s="6"/>
      <c r="G271" s="6"/>
      <c r="H271" s="6"/>
    </row>
    <row r="272" spans="2:8" x14ac:dyDescent="0.3">
      <c r="B272" s="6"/>
      <c r="C272" s="6"/>
      <c r="D272" s="6"/>
      <c r="E272" s="233"/>
      <c r="F272" s="6"/>
      <c r="G272" s="6"/>
      <c r="H272" s="6"/>
    </row>
    <row r="273" spans="2:8" x14ac:dyDescent="0.3">
      <c r="B273" s="6"/>
      <c r="C273" s="6"/>
      <c r="D273" s="6"/>
      <c r="E273" s="233"/>
      <c r="F273" s="6"/>
      <c r="G273" s="6"/>
      <c r="H273" s="6"/>
    </row>
    <row r="274" spans="2:8" x14ac:dyDescent="0.3">
      <c r="B274" s="6"/>
      <c r="C274" s="6"/>
      <c r="D274" s="6"/>
      <c r="E274" s="233"/>
      <c r="F274" s="6"/>
      <c r="G274" s="6"/>
      <c r="H274" s="6"/>
    </row>
    <row r="275" spans="2:8" x14ac:dyDescent="0.3">
      <c r="B275" s="6"/>
      <c r="C275" s="6"/>
      <c r="D275" s="6"/>
      <c r="E275" s="233"/>
      <c r="F275" s="6"/>
      <c r="G275" s="6"/>
      <c r="H275" s="6"/>
    </row>
    <row r="276" spans="2:8" x14ac:dyDescent="0.3">
      <c r="B276" s="6"/>
      <c r="C276" s="6"/>
      <c r="D276" s="6"/>
      <c r="E276" s="233"/>
      <c r="F276" s="6"/>
      <c r="G276" s="6"/>
      <c r="H276" s="6"/>
    </row>
    <row r="277" spans="2:8" x14ac:dyDescent="0.3">
      <c r="B277" s="6"/>
      <c r="C277" s="6"/>
      <c r="D277" s="6"/>
      <c r="E277" s="233"/>
      <c r="F277" s="6"/>
      <c r="G277" s="6"/>
      <c r="H277" s="6"/>
    </row>
    <row r="278" spans="2:8" x14ac:dyDescent="0.3">
      <c r="B278" s="6"/>
      <c r="C278" s="6"/>
      <c r="D278" s="6"/>
      <c r="E278" s="233"/>
      <c r="F278" s="6"/>
      <c r="G278" s="6"/>
      <c r="H278" s="6"/>
    </row>
    <row r="279" spans="2:8" x14ac:dyDescent="0.3">
      <c r="B279" s="6"/>
      <c r="C279" s="6"/>
      <c r="D279" s="6"/>
      <c r="E279" s="233"/>
      <c r="F279" s="6"/>
      <c r="G279" s="6"/>
      <c r="H279" s="6"/>
    </row>
    <row r="280" spans="2:8" x14ac:dyDescent="0.3">
      <c r="B280" s="6"/>
      <c r="C280" s="6"/>
      <c r="D280" s="6"/>
      <c r="E280" s="233"/>
      <c r="F280" s="6"/>
      <c r="G280" s="6"/>
      <c r="H280" s="6"/>
    </row>
    <row r="281" spans="2:8" x14ac:dyDescent="0.3">
      <c r="B281" s="6"/>
      <c r="C281" s="6"/>
      <c r="D281" s="6"/>
      <c r="E281" s="233"/>
      <c r="F281" s="6"/>
      <c r="G281" s="6"/>
      <c r="H281" s="6"/>
    </row>
    <row r="282" spans="2:8" x14ac:dyDescent="0.3">
      <c r="B282" s="6"/>
      <c r="C282" s="6"/>
      <c r="D282" s="6"/>
      <c r="E282" s="233"/>
      <c r="F282" s="6"/>
      <c r="G282" s="6"/>
      <c r="H282" s="6"/>
    </row>
    <row r="283" spans="2:8" x14ac:dyDescent="0.3">
      <c r="B283" s="6"/>
      <c r="C283" s="6"/>
      <c r="D283" s="6"/>
      <c r="E283" s="233"/>
      <c r="F283" s="6"/>
      <c r="G283" s="6"/>
      <c r="H283" s="6"/>
    </row>
    <row r="284" spans="2:8" x14ac:dyDescent="0.3">
      <c r="B284" s="6"/>
      <c r="C284" s="6"/>
      <c r="D284" s="6"/>
      <c r="E284" s="233"/>
      <c r="F284" s="6"/>
      <c r="G284" s="6"/>
      <c r="H284" s="6"/>
    </row>
    <row r="285" spans="2:8" x14ac:dyDescent="0.3">
      <c r="B285" s="6"/>
      <c r="C285" s="6"/>
      <c r="D285" s="6"/>
      <c r="E285" s="233"/>
      <c r="F285" s="6"/>
      <c r="G285" s="6"/>
      <c r="H285" s="6"/>
    </row>
    <row r="286" spans="2:8" x14ac:dyDescent="0.3">
      <c r="B286" s="6"/>
      <c r="C286" s="6"/>
      <c r="D286" s="6"/>
      <c r="E286" s="233"/>
      <c r="F286" s="6"/>
      <c r="G286" s="6"/>
      <c r="H286" s="6"/>
    </row>
    <row r="287" spans="2:8" x14ac:dyDescent="0.3">
      <c r="B287" s="6"/>
      <c r="C287" s="6"/>
      <c r="D287" s="6"/>
      <c r="E287" s="233"/>
      <c r="F287" s="6"/>
      <c r="G287" s="6"/>
      <c r="H287" s="6"/>
    </row>
    <row r="288" spans="2:8" x14ac:dyDescent="0.3">
      <c r="B288" s="6"/>
      <c r="C288" s="6"/>
      <c r="D288" s="6"/>
      <c r="E288" s="233"/>
      <c r="F288" s="6"/>
      <c r="G288" s="6"/>
      <c r="H288" s="6"/>
    </row>
    <row r="289" spans="2:8" x14ac:dyDescent="0.3">
      <c r="B289" s="6"/>
      <c r="C289" s="6"/>
      <c r="D289" s="6"/>
      <c r="E289" s="233"/>
      <c r="F289" s="6"/>
      <c r="G289" s="6"/>
      <c r="H289" s="6"/>
    </row>
    <row r="290" spans="2:8" x14ac:dyDescent="0.3">
      <c r="B290" s="6"/>
      <c r="C290" s="6"/>
      <c r="D290" s="6"/>
      <c r="E290" s="233"/>
      <c r="F290" s="6"/>
      <c r="G290" s="6"/>
      <c r="H290" s="6"/>
    </row>
    <row r="291" spans="2:8" x14ac:dyDescent="0.3">
      <c r="B291" s="6"/>
      <c r="C291" s="6"/>
      <c r="D291" s="6"/>
      <c r="E291" s="233"/>
      <c r="F291" s="6"/>
      <c r="G291" s="6"/>
      <c r="H291" s="6"/>
    </row>
    <row r="292" spans="2:8" x14ac:dyDescent="0.3">
      <c r="B292" s="6"/>
      <c r="C292" s="6"/>
      <c r="D292" s="6"/>
      <c r="E292" s="233"/>
      <c r="F292" s="6"/>
      <c r="G292" s="6"/>
      <c r="H292" s="6"/>
    </row>
    <row r="293" spans="2:8" x14ac:dyDescent="0.3">
      <c r="B293" s="6"/>
      <c r="C293" s="6"/>
      <c r="D293" s="6"/>
      <c r="E293" s="233"/>
      <c r="F293" s="6"/>
      <c r="G293" s="6"/>
      <c r="H293" s="6"/>
    </row>
    <row r="294" spans="2:8" x14ac:dyDescent="0.3">
      <c r="B294" s="6"/>
      <c r="C294" s="6"/>
      <c r="D294" s="6"/>
      <c r="E294" s="233"/>
      <c r="F294" s="6"/>
      <c r="G294" s="6"/>
      <c r="H294" s="6"/>
    </row>
    <row r="295" spans="2:8" x14ac:dyDescent="0.3">
      <c r="B295" s="6"/>
      <c r="C295" s="6"/>
      <c r="D295" s="6"/>
      <c r="E295" s="233"/>
      <c r="F295" s="6"/>
      <c r="G295" s="6"/>
      <c r="H295" s="6"/>
    </row>
    <row r="296" spans="2:8" x14ac:dyDescent="0.3">
      <c r="B296" s="6"/>
      <c r="C296" s="6"/>
      <c r="D296" s="6"/>
      <c r="E296" s="233"/>
      <c r="F296" s="6"/>
      <c r="G296" s="6"/>
      <c r="H296" s="6"/>
    </row>
    <row r="297" spans="2:8" x14ac:dyDescent="0.3">
      <c r="B297" s="6"/>
      <c r="C297" s="6"/>
      <c r="D297" s="6"/>
      <c r="E297" s="233"/>
      <c r="F297" s="6"/>
      <c r="G297" s="6"/>
      <c r="H297" s="6"/>
    </row>
    <row r="298" spans="2:8" x14ac:dyDescent="0.3">
      <c r="B298" s="6"/>
      <c r="C298" s="6"/>
      <c r="D298" s="6"/>
      <c r="E298" s="233"/>
      <c r="F298" s="6"/>
      <c r="G298" s="6"/>
      <c r="H298" s="6"/>
    </row>
    <row r="299" spans="2:8" x14ac:dyDescent="0.3">
      <c r="B299" s="6"/>
      <c r="C299" s="6"/>
      <c r="D299" s="6"/>
      <c r="E299" s="233"/>
      <c r="F299" s="6"/>
      <c r="G299" s="6"/>
      <c r="H299" s="6"/>
    </row>
    <row r="300" spans="2:8" x14ac:dyDescent="0.3">
      <c r="B300" s="6"/>
      <c r="C300" s="6"/>
      <c r="D300" s="6"/>
      <c r="E300" s="233"/>
      <c r="F300" s="6"/>
      <c r="G300" s="6"/>
      <c r="H300" s="6"/>
    </row>
    <row r="301" spans="2:8" x14ac:dyDescent="0.3">
      <c r="B301" s="6"/>
      <c r="C301" s="6"/>
      <c r="D301" s="6"/>
      <c r="E301" s="233"/>
      <c r="F301" s="6"/>
      <c r="G301" s="6"/>
      <c r="H301" s="6"/>
    </row>
    <row r="302" spans="2:8" x14ac:dyDescent="0.3">
      <c r="B302" s="6"/>
      <c r="C302" s="6"/>
      <c r="D302" s="6"/>
      <c r="E302" s="233"/>
      <c r="F302" s="6"/>
      <c r="G302" s="6"/>
      <c r="H302" s="6"/>
    </row>
    <row r="303" spans="2:8" x14ac:dyDescent="0.3">
      <c r="B303" s="6"/>
      <c r="C303" s="6"/>
      <c r="D303" s="6"/>
      <c r="E303" s="233"/>
      <c r="F303" s="6"/>
      <c r="G303" s="6"/>
      <c r="H303" s="6"/>
    </row>
    <row r="304" spans="2:8" x14ac:dyDescent="0.3">
      <c r="B304" s="6"/>
      <c r="C304" s="6"/>
      <c r="D304" s="6"/>
      <c r="E304" s="233"/>
      <c r="F304" s="6"/>
      <c r="G304" s="6"/>
      <c r="H304" s="6"/>
    </row>
    <row r="305" spans="2:8" x14ac:dyDescent="0.3">
      <c r="B305" s="6"/>
      <c r="C305" s="6"/>
      <c r="D305" s="6"/>
      <c r="E305" s="233"/>
      <c r="F305" s="6"/>
      <c r="G305" s="6"/>
      <c r="H305" s="6"/>
    </row>
    <row r="306" spans="2:8" x14ac:dyDescent="0.3">
      <c r="B306" s="6"/>
      <c r="C306" s="6"/>
      <c r="D306" s="6"/>
      <c r="E306" s="233"/>
      <c r="F306" s="6"/>
      <c r="G306" s="6"/>
      <c r="H306" s="6"/>
    </row>
    <row r="307" spans="2:8" x14ac:dyDescent="0.3">
      <c r="B307" s="6"/>
      <c r="C307" s="6"/>
      <c r="D307" s="6"/>
      <c r="E307" s="233"/>
      <c r="F307" s="6"/>
      <c r="G307" s="6"/>
      <c r="H307" s="6"/>
    </row>
    <row r="308" spans="2:8" x14ac:dyDescent="0.3">
      <c r="B308" s="6"/>
      <c r="C308" s="6"/>
      <c r="D308" s="6"/>
      <c r="E308" s="233"/>
      <c r="F308" s="6"/>
      <c r="G308" s="6"/>
      <c r="H308" s="6"/>
    </row>
    <row r="309" spans="2:8" x14ac:dyDescent="0.3">
      <c r="B309" s="6"/>
      <c r="C309" s="6"/>
      <c r="D309" s="6"/>
      <c r="E309" s="233"/>
      <c r="F309" s="6"/>
      <c r="G309" s="6"/>
      <c r="H309" s="6"/>
    </row>
    <row r="310" spans="2:8" x14ac:dyDescent="0.3">
      <c r="B310" s="6"/>
      <c r="C310" s="6"/>
      <c r="D310" s="6"/>
      <c r="E310" s="233"/>
      <c r="F310" s="6"/>
      <c r="G310" s="6"/>
      <c r="H310" s="6"/>
    </row>
    <row r="311" spans="2:8" x14ac:dyDescent="0.3">
      <c r="B311" s="6"/>
      <c r="C311" s="6"/>
      <c r="D311" s="6"/>
      <c r="E311" s="233"/>
      <c r="F311" s="6"/>
      <c r="G311" s="6"/>
      <c r="H311" s="6"/>
    </row>
    <row r="312" spans="2:8" x14ac:dyDescent="0.3">
      <c r="B312" s="6"/>
      <c r="C312" s="6"/>
      <c r="D312" s="6"/>
      <c r="E312" s="233"/>
      <c r="F312" s="6"/>
      <c r="G312" s="6"/>
      <c r="H312" s="6"/>
    </row>
    <row r="313" spans="2:8" x14ac:dyDescent="0.3">
      <c r="B313" s="6"/>
      <c r="C313" s="6"/>
      <c r="D313" s="6"/>
      <c r="E313" s="233"/>
      <c r="F313" s="6"/>
      <c r="G313" s="6"/>
      <c r="H313" s="6"/>
    </row>
    <row r="314" spans="2:8" x14ac:dyDescent="0.3">
      <c r="B314" s="6"/>
      <c r="C314" s="6"/>
      <c r="D314" s="6"/>
      <c r="E314" s="233"/>
      <c r="F314" s="6"/>
      <c r="G314" s="6"/>
      <c r="H314" s="6"/>
    </row>
    <row r="315" spans="2:8" x14ac:dyDescent="0.3">
      <c r="B315" s="6"/>
      <c r="C315" s="6"/>
      <c r="D315" s="6"/>
      <c r="E315" s="233"/>
      <c r="F315" s="6"/>
      <c r="G315" s="6"/>
      <c r="H315" s="6"/>
    </row>
    <row r="316" spans="2:8" x14ac:dyDescent="0.3">
      <c r="B316" s="6"/>
      <c r="C316" s="6"/>
      <c r="D316" s="6"/>
      <c r="E316" s="233"/>
      <c r="F316" s="6"/>
      <c r="G316" s="6"/>
      <c r="H316" s="6"/>
    </row>
    <row r="317" spans="2:8" x14ac:dyDescent="0.3">
      <c r="B317" s="6"/>
      <c r="C317" s="6"/>
      <c r="D317" s="6"/>
      <c r="E317" s="233"/>
      <c r="F317" s="6"/>
      <c r="G317" s="6"/>
      <c r="H317" s="6"/>
    </row>
    <row r="318" spans="2:8" x14ac:dyDescent="0.3">
      <c r="B318" s="6"/>
      <c r="C318" s="6"/>
      <c r="D318" s="6"/>
      <c r="E318" s="233"/>
      <c r="F318" s="6"/>
      <c r="G318" s="6"/>
      <c r="H318" s="6"/>
    </row>
    <row r="319" spans="2:8" x14ac:dyDescent="0.3">
      <c r="B319" s="6"/>
      <c r="C319" s="6"/>
      <c r="D319" s="6"/>
      <c r="E319" s="233"/>
      <c r="F319" s="6"/>
      <c r="G319" s="6"/>
      <c r="H319" s="6"/>
    </row>
    <row r="320" spans="2:8" x14ac:dyDescent="0.3">
      <c r="B320" s="6"/>
      <c r="C320" s="6"/>
      <c r="D320" s="6"/>
      <c r="E320" s="233"/>
      <c r="F320" s="6"/>
      <c r="G320" s="6"/>
      <c r="H320" s="6"/>
    </row>
    <row r="321" spans="2:8" x14ac:dyDescent="0.3">
      <c r="B321" s="6"/>
      <c r="C321" s="6"/>
      <c r="D321" s="6"/>
      <c r="E321" s="233"/>
      <c r="F321" s="6"/>
      <c r="G321" s="6"/>
      <c r="H321" s="6"/>
    </row>
    <row r="322" spans="2:8" x14ac:dyDescent="0.3">
      <c r="B322" s="6"/>
      <c r="C322" s="6"/>
      <c r="D322" s="6"/>
      <c r="E322" s="233"/>
      <c r="F322" s="6"/>
      <c r="G322" s="6"/>
      <c r="H322" s="6"/>
    </row>
    <row r="323" spans="2:8" x14ac:dyDescent="0.3">
      <c r="B323" s="6"/>
      <c r="C323" s="6"/>
      <c r="D323" s="6"/>
      <c r="E323" s="233"/>
      <c r="F323" s="6"/>
      <c r="G323" s="6"/>
      <c r="H323" s="6"/>
    </row>
    <row r="324" spans="2:8" x14ac:dyDescent="0.3">
      <c r="B324" s="6"/>
      <c r="C324" s="6"/>
      <c r="D324" s="6"/>
      <c r="E324" s="233"/>
      <c r="F324" s="6"/>
      <c r="G324" s="6"/>
      <c r="H324" s="6"/>
    </row>
    <row r="325" spans="2:8" x14ac:dyDescent="0.3">
      <c r="B325" s="6"/>
      <c r="C325" s="6"/>
      <c r="D325" s="6"/>
      <c r="E325" s="233"/>
      <c r="F325" s="6"/>
      <c r="G325" s="6"/>
      <c r="H325" s="6"/>
    </row>
    <row r="326" spans="2:8" x14ac:dyDescent="0.3">
      <c r="B326" s="6"/>
      <c r="C326" s="6"/>
      <c r="D326" s="6"/>
      <c r="E326" s="233"/>
      <c r="F326" s="6"/>
      <c r="G326" s="6"/>
      <c r="H326" s="6"/>
    </row>
    <row r="327" spans="2:8" x14ac:dyDescent="0.3">
      <c r="B327" s="6"/>
      <c r="C327" s="6"/>
      <c r="D327" s="6"/>
      <c r="E327" s="233"/>
      <c r="F327" s="6"/>
      <c r="G327" s="6"/>
      <c r="H327" s="6"/>
    </row>
    <row r="328" spans="2:8" x14ac:dyDescent="0.3">
      <c r="B328" s="6"/>
      <c r="C328" s="6"/>
      <c r="D328" s="6"/>
      <c r="E328" s="233"/>
      <c r="F328" s="6"/>
      <c r="G328" s="6"/>
      <c r="H328" s="6"/>
    </row>
    <row r="329" spans="2:8" x14ac:dyDescent="0.3">
      <c r="B329" s="6"/>
      <c r="C329" s="6"/>
      <c r="D329" s="6"/>
      <c r="E329" s="233"/>
      <c r="F329" s="6"/>
      <c r="G329" s="6"/>
      <c r="H329" s="6"/>
    </row>
    <row r="330" spans="2:8" x14ac:dyDescent="0.3">
      <c r="B330" s="6"/>
      <c r="C330" s="6"/>
      <c r="D330" s="6"/>
      <c r="E330" s="233"/>
      <c r="F330" s="6"/>
      <c r="G330" s="6"/>
      <c r="H330" s="6"/>
    </row>
    <row r="331" spans="2:8" x14ac:dyDescent="0.3">
      <c r="B331" s="6"/>
      <c r="C331" s="6"/>
      <c r="D331" s="6"/>
      <c r="E331" s="233"/>
      <c r="F331" s="6"/>
      <c r="G331" s="6"/>
      <c r="H331" s="6"/>
    </row>
    <row r="332" spans="2:8" x14ac:dyDescent="0.3">
      <c r="B332" s="6"/>
      <c r="C332" s="6"/>
      <c r="D332" s="6"/>
      <c r="E332" s="233"/>
      <c r="F332" s="6"/>
      <c r="G332" s="6"/>
      <c r="H332" s="6"/>
    </row>
    <row r="333" spans="2:8" x14ac:dyDescent="0.3">
      <c r="B333" s="6"/>
      <c r="C333" s="6"/>
      <c r="D333" s="6"/>
      <c r="E333" s="233"/>
      <c r="F333" s="6"/>
      <c r="G333" s="6"/>
      <c r="H333" s="6"/>
    </row>
    <row r="334" spans="2:8" x14ac:dyDescent="0.3">
      <c r="B334" s="6"/>
      <c r="C334" s="6"/>
      <c r="D334" s="6"/>
      <c r="E334" s="233"/>
      <c r="F334" s="6"/>
      <c r="G334" s="6"/>
      <c r="H334" s="6"/>
    </row>
    <row r="335" spans="2:8" x14ac:dyDescent="0.3">
      <c r="B335" s="6"/>
      <c r="C335" s="6"/>
      <c r="D335" s="6"/>
      <c r="E335" s="233"/>
      <c r="F335" s="6"/>
      <c r="G335" s="6"/>
      <c r="H335" s="6"/>
    </row>
    <row r="336" spans="2:8" x14ac:dyDescent="0.3">
      <c r="B336" s="6"/>
      <c r="C336" s="6"/>
      <c r="D336" s="6"/>
      <c r="E336" s="233"/>
      <c r="F336" s="6"/>
      <c r="G336" s="6"/>
      <c r="H336" s="6"/>
    </row>
    <row r="337" spans="2:8" x14ac:dyDescent="0.3">
      <c r="B337" s="6"/>
      <c r="C337" s="6"/>
      <c r="D337" s="6"/>
      <c r="E337" s="233"/>
      <c r="F337" s="6"/>
      <c r="G337" s="6"/>
      <c r="H337" s="6"/>
    </row>
    <row r="338" spans="2:8" x14ac:dyDescent="0.3">
      <c r="B338" s="6"/>
      <c r="C338" s="6"/>
      <c r="D338" s="6"/>
      <c r="E338" s="233"/>
      <c r="F338" s="6"/>
      <c r="G338" s="6"/>
      <c r="H338" s="6"/>
    </row>
    <row r="339" spans="2:8" x14ac:dyDescent="0.3">
      <c r="B339" s="6"/>
      <c r="C339" s="6"/>
      <c r="D339" s="6"/>
      <c r="E339" s="233"/>
      <c r="F339" s="6"/>
      <c r="G339" s="6"/>
      <c r="H339" s="6"/>
    </row>
    <row r="340" spans="2:8" x14ac:dyDescent="0.3">
      <c r="B340" s="6"/>
      <c r="C340" s="6"/>
      <c r="D340" s="6"/>
      <c r="E340" s="233"/>
      <c r="F340" s="6"/>
      <c r="G340" s="6"/>
      <c r="H340" s="6"/>
    </row>
    <row r="341" spans="2:8" x14ac:dyDescent="0.3">
      <c r="B341" s="6"/>
      <c r="C341" s="6"/>
      <c r="D341" s="6"/>
      <c r="E341" s="233"/>
      <c r="F341" s="6"/>
      <c r="G341" s="6"/>
      <c r="H341" s="6"/>
    </row>
    <row r="342" spans="2:8" x14ac:dyDescent="0.3">
      <c r="B342" s="6"/>
      <c r="C342" s="6"/>
      <c r="D342" s="6"/>
      <c r="E342" s="233"/>
      <c r="F342" s="6"/>
      <c r="G342" s="6"/>
      <c r="H342" s="6"/>
    </row>
    <row r="343" spans="2:8" x14ac:dyDescent="0.3">
      <c r="B343" s="6"/>
      <c r="C343" s="6"/>
      <c r="D343" s="6"/>
      <c r="E343" s="233"/>
      <c r="F343" s="6"/>
      <c r="G343" s="6"/>
      <c r="H343" s="6"/>
    </row>
    <row r="344" spans="2:8" x14ac:dyDescent="0.3">
      <c r="B344" s="6"/>
      <c r="C344" s="6"/>
      <c r="D344" s="6"/>
      <c r="E344" s="233"/>
      <c r="F344" s="6"/>
      <c r="G344" s="6"/>
      <c r="H344" s="6"/>
    </row>
    <row r="345" spans="2:8" x14ac:dyDescent="0.3">
      <c r="B345" s="6"/>
      <c r="C345" s="6"/>
      <c r="D345" s="6"/>
      <c r="E345" s="233"/>
      <c r="F345" s="6"/>
      <c r="G345" s="6"/>
      <c r="H345" s="6"/>
    </row>
    <row r="346" spans="2:8" x14ac:dyDescent="0.3">
      <c r="B346" s="6"/>
      <c r="C346" s="6"/>
      <c r="D346" s="6"/>
      <c r="E346" s="233"/>
      <c r="F346" s="6"/>
      <c r="G346" s="6"/>
      <c r="H346" s="6"/>
    </row>
    <row r="347" spans="2:8" x14ac:dyDescent="0.3">
      <c r="B347" s="6"/>
      <c r="C347" s="6"/>
      <c r="D347" s="6"/>
      <c r="E347" s="233"/>
      <c r="F347" s="6"/>
      <c r="G347" s="6"/>
      <c r="H347" s="6"/>
    </row>
    <row r="348" spans="2:8" x14ac:dyDescent="0.3">
      <c r="B348" s="6"/>
      <c r="C348" s="6"/>
      <c r="D348" s="6"/>
      <c r="E348" s="233"/>
      <c r="F348" s="6"/>
      <c r="G348" s="6"/>
      <c r="H348" s="6"/>
    </row>
    <row r="349" spans="2:8" x14ac:dyDescent="0.3">
      <c r="B349" s="6"/>
      <c r="C349" s="6"/>
      <c r="D349" s="6"/>
      <c r="E349" s="233"/>
      <c r="F349" s="6"/>
      <c r="G349" s="6"/>
      <c r="H349" s="6"/>
    </row>
    <row r="350" spans="2:8" x14ac:dyDescent="0.3">
      <c r="B350" s="6"/>
      <c r="C350" s="6"/>
      <c r="D350" s="6"/>
      <c r="E350" s="233"/>
      <c r="F350" s="6"/>
      <c r="G350" s="6"/>
      <c r="H350" s="6"/>
    </row>
    <row r="351" spans="2:8" x14ac:dyDescent="0.3">
      <c r="B351" s="6"/>
      <c r="C351" s="6"/>
      <c r="D351" s="6"/>
      <c r="E351" s="233"/>
      <c r="F351" s="6"/>
      <c r="G351" s="6"/>
      <c r="H351" s="6"/>
    </row>
    <row r="352" spans="2:8" x14ac:dyDescent="0.3">
      <c r="B352" s="6"/>
      <c r="C352" s="6"/>
      <c r="D352" s="6"/>
      <c r="E352" s="233"/>
      <c r="F352" s="6"/>
      <c r="G352" s="6"/>
      <c r="H352" s="6"/>
    </row>
    <row r="353" spans="2:8" x14ac:dyDescent="0.3">
      <c r="B353" s="6"/>
      <c r="C353" s="6"/>
      <c r="D353" s="6"/>
      <c r="E353" s="233"/>
      <c r="F353" s="6"/>
      <c r="G353" s="6"/>
      <c r="H353" s="6"/>
    </row>
    <row r="354" spans="2:8" x14ac:dyDescent="0.3">
      <c r="B354" s="6"/>
      <c r="C354" s="6"/>
      <c r="D354" s="6"/>
      <c r="E354" s="233"/>
      <c r="F354" s="6"/>
      <c r="G354" s="6"/>
      <c r="H354" s="6"/>
    </row>
    <row r="355" spans="2:8" x14ac:dyDescent="0.3">
      <c r="B355" s="6"/>
      <c r="C355" s="6"/>
      <c r="D355" s="6"/>
      <c r="E355" s="233"/>
      <c r="F355" s="6"/>
      <c r="G355" s="6"/>
      <c r="H355" s="6"/>
    </row>
    <row r="356" spans="2:8" x14ac:dyDescent="0.3">
      <c r="B356" s="6"/>
      <c r="C356" s="6"/>
      <c r="D356" s="6"/>
      <c r="E356" s="233"/>
      <c r="F356" s="6"/>
      <c r="G356" s="6"/>
      <c r="H356" s="6"/>
    </row>
    <row r="357" spans="2:8" x14ac:dyDescent="0.3">
      <c r="B357" s="6"/>
      <c r="C357" s="6"/>
      <c r="D357" s="6"/>
      <c r="E357" s="233"/>
      <c r="F357" s="6"/>
      <c r="G357" s="6"/>
      <c r="H357" s="6"/>
    </row>
    <row r="358" spans="2:8" x14ac:dyDescent="0.3">
      <c r="B358" s="6"/>
      <c r="C358" s="6"/>
      <c r="D358" s="6"/>
      <c r="E358" s="233"/>
      <c r="F358" s="6"/>
      <c r="G358" s="6"/>
      <c r="H358" s="6"/>
    </row>
    <row r="359" spans="2:8" x14ac:dyDescent="0.3">
      <c r="B359" s="6"/>
      <c r="C359" s="6"/>
      <c r="D359" s="6"/>
      <c r="E359" s="233"/>
      <c r="F359" s="6"/>
      <c r="G359" s="6"/>
      <c r="H359" s="6"/>
    </row>
    <row r="360" spans="2:8" x14ac:dyDescent="0.3">
      <c r="B360" s="6"/>
      <c r="C360" s="6"/>
      <c r="D360" s="6"/>
      <c r="E360" s="233"/>
      <c r="F360" s="6"/>
      <c r="G360" s="6"/>
      <c r="H360" s="6"/>
    </row>
    <row r="361" spans="2:8" x14ac:dyDescent="0.3">
      <c r="B361" s="6"/>
      <c r="C361" s="6"/>
      <c r="D361" s="6"/>
      <c r="E361" s="233"/>
      <c r="F361" s="6"/>
      <c r="G361" s="6"/>
      <c r="H361" s="6"/>
    </row>
    <row r="362" spans="2:8" x14ac:dyDescent="0.3">
      <c r="B362" s="6"/>
      <c r="C362" s="6"/>
      <c r="D362" s="6"/>
      <c r="E362" s="233"/>
      <c r="F362" s="6"/>
      <c r="G362" s="6"/>
      <c r="H362" s="6"/>
    </row>
    <row r="363" spans="2:8" x14ac:dyDescent="0.3">
      <c r="B363" s="6"/>
      <c r="C363" s="6"/>
      <c r="D363" s="6"/>
      <c r="E363" s="233"/>
      <c r="F363" s="6"/>
      <c r="G363" s="6"/>
      <c r="H363" s="6"/>
    </row>
    <row r="364" spans="2:8" x14ac:dyDescent="0.3">
      <c r="B364" s="6"/>
      <c r="C364" s="6"/>
      <c r="D364" s="6"/>
      <c r="E364" s="233"/>
      <c r="F364" s="6"/>
      <c r="G364" s="6"/>
      <c r="H364" s="6"/>
    </row>
    <row r="365" spans="2:8" x14ac:dyDescent="0.3">
      <c r="B365" s="6"/>
      <c r="C365" s="6"/>
      <c r="D365" s="6"/>
      <c r="E365" s="233"/>
      <c r="F365" s="6"/>
      <c r="G365" s="6"/>
      <c r="H365" s="6"/>
    </row>
    <row r="366" spans="2:8" x14ac:dyDescent="0.3">
      <c r="B366" s="6"/>
      <c r="C366" s="6"/>
      <c r="D366" s="6"/>
      <c r="E366" s="233"/>
      <c r="F366" s="6"/>
      <c r="G366" s="6"/>
      <c r="H366" s="6"/>
    </row>
    <row r="367" spans="2:8" x14ac:dyDescent="0.3">
      <c r="B367" s="6"/>
      <c r="C367" s="6"/>
      <c r="D367" s="6"/>
      <c r="E367" s="233"/>
      <c r="F367" s="6"/>
      <c r="G367" s="6"/>
      <c r="H367" s="6"/>
    </row>
    <row r="368" spans="2:8" x14ac:dyDescent="0.3">
      <c r="B368" s="6"/>
      <c r="C368" s="6"/>
      <c r="D368" s="6"/>
      <c r="E368" s="233"/>
      <c r="F368" s="6"/>
      <c r="G368" s="6"/>
      <c r="H368" s="6"/>
    </row>
    <row r="369" spans="2:8" x14ac:dyDescent="0.3">
      <c r="B369" s="6"/>
      <c r="C369" s="6"/>
      <c r="D369" s="6"/>
      <c r="E369" s="233"/>
      <c r="F369" s="6"/>
      <c r="G369" s="6"/>
      <c r="H369" s="6"/>
    </row>
    <row r="370" spans="2:8" x14ac:dyDescent="0.3">
      <c r="B370" s="6"/>
      <c r="C370" s="6"/>
      <c r="D370" s="6"/>
      <c r="E370" s="233"/>
      <c r="F370" s="6"/>
      <c r="G370" s="6"/>
      <c r="H370" s="6"/>
    </row>
    <row r="371" spans="2:8" x14ac:dyDescent="0.3">
      <c r="B371" s="6"/>
      <c r="C371" s="6"/>
      <c r="D371" s="6"/>
      <c r="E371" s="233"/>
      <c r="F371" s="6"/>
      <c r="G371" s="6"/>
      <c r="H371" s="6"/>
    </row>
    <row r="372" spans="2:8" x14ac:dyDescent="0.3">
      <c r="B372" s="6"/>
      <c r="C372" s="6"/>
      <c r="D372" s="6"/>
      <c r="E372" s="233"/>
      <c r="F372" s="6"/>
      <c r="G372" s="6"/>
      <c r="H372" s="6"/>
    </row>
    <row r="373" spans="2:8" x14ac:dyDescent="0.3">
      <c r="B373" s="6"/>
      <c r="C373" s="6"/>
      <c r="D373" s="6"/>
      <c r="E373" s="233"/>
      <c r="F373" s="6"/>
      <c r="G373" s="6"/>
      <c r="H373" s="6"/>
    </row>
    <row r="374" spans="2:8" x14ac:dyDescent="0.3">
      <c r="B374" s="6"/>
      <c r="C374" s="6"/>
      <c r="D374" s="6"/>
      <c r="E374" s="233"/>
      <c r="F374" s="6"/>
      <c r="G374" s="6"/>
      <c r="H374" s="6"/>
    </row>
    <row r="375" spans="2:8" x14ac:dyDescent="0.3">
      <c r="B375" s="6"/>
      <c r="C375" s="6"/>
      <c r="D375" s="6"/>
      <c r="E375" s="233"/>
      <c r="F375" s="6"/>
      <c r="G375" s="6"/>
      <c r="H375" s="6"/>
    </row>
    <row r="376" spans="2:8" x14ac:dyDescent="0.3">
      <c r="B376" s="6"/>
      <c r="C376" s="6"/>
      <c r="D376" s="6"/>
      <c r="E376" s="233"/>
      <c r="F376" s="6"/>
      <c r="G376" s="6"/>
      <c r="H376" s="6"/>
    </row>
    <row r="377" spans="2:8" x14ac:dyDescent="0.3">
      <c r="B377" s="6"/>
      <c r="C377" s="6"/>
      <c r="D377" s="6"/>
      <c r="E377" s="233"/>
      <c r="F377" s="6"/>
      <c r="G377" s="6"/>
      <c r="H377" s="6"/>
    </row>
    <row r="378" spans="2:8" x14ac:dyDescent="0.3">
      <c r="B378" s="6"/>
      <c r="C378" s="6"/>
      <c r="D378" s="6"/>
      <c r="E378" s="233"/>
      <c r="F378" s="6"/>
      <c r="G378" s="6"/>
      <c r="H378" s="6"/>
    </row>
    <row r="379" spans="2:8" x14ac:dyDescent="0.3">
      <c r="B379" s="6"/>
      <c r="C379" s="6"/>
      <c r="D379" s="6"/>
      <c r="E379" s="233"/>
      <c r="F379" s="6"/>
      <c r="G379" s="6"/>
      <c r="H379" s="6"/>
    </row>
    <row r="380" spans="2:8" x14ac:dyDescent="0.3">
      <c r="B380" s="6"/>
      <c r="C380" s="6"/>
      <c r="D380" s="6"/>
      <c r="E380" s="233"/>
      <c r="F380" s="6"/>
      <c r="G380" s="6"/>
      <c r="H380" s="6"/>
    </row>
    <row r="381" spans="2:8" x14ac:dyDescent="0.3">
      <c r="B381" s="6"/>
      <c r="C381" s="6"/>
      <c r="D381" s="6"/>
      <c r="E381" s="233"/>
      <c r="F381" s="6"/>
      <c r="G381" s="6"/>
      <c r="H381" s="6"/>
    </row>
    <row r="382" spans="2:8" x14ac:dyDescent="0.3">
      <c r="B382" s="6"/>
      <c r="C382" s="6"/>
      <c r="D382" s="6"/>
      <c r="E382" s="233"/>
      <c r="F382" s="6"/>
      <c r="G382" s="6"/>
      <c r="H382" s="6"/>
    </row>
    <row r="383" spans="2:8" x14ac:dyDescent="0.3">
      <c r="B383" s="6"/>
      <c r="C383" s="6"/>
      <c r="D383" s="6"/>
      <c r="E383" s="233"/>
      <c r="F383" s="6"/>
      <c r="G383" s="6"/>
      <c r="H383" s="6"/>
    </row>
    <row r="384" spans="2:8" x14ac:dyDescent="0.3">
      <c r="B384" s="6"/>
      <c r="C384" s="6"/>
      <c r="D384" s="6"/>
      <c r="E384" s="233"/>
      <c r="F384" s="6"/>
      <c r="G384" s="6"/>
      <c r="H384" s="6"/>
    </row>
    <row r="385" spans="2:8" x14ac:dyDescent="0.3">
      <c r="B385" s="6"/>
      <c r="C385" s="6"/>
      <c r="D385" s="6"/>
      <c r="E385" s="233"/>
      <c r="F385" s="6"/>
      <c r="G385" s="6"/>
      <c r="H385" s="6"/>
    </row>
    <row r="386" spans="2:8" x14ac:dyDescent="0.3">
      <c r="B386" s="6"/>
      <c r="C386" s="6"/>
      <c r="D386" s="6"/>
      <c r="E386" s="233"/>
      <c r="F386" s="6"/>
      <c r="G386" s="6"/>
      <c r="H386" s="6"/>
    </row>
    <row r="387" spans="2:8" x14ac:dyDescent="0.3">
      <c r="B387" s="6"/>
      <c r="C387" s="6"/>
      <c r="D387" s="6"/>
      <c r="E387" s="233"/>
      <c r="F387" s="6"/>
      <c r="G387" s="6"/>
      <c r="H387" s="6"/>
    </row>
    <row r="388" spans="2:8" x14ac:dyDescent="0.3">
      <c r="B388" s="6"/>
      <c r="C388" s="6"/>
      <c r="D388" s="6"/>
      <c r="E388" s="233"/>
      <c r="F388" s="6"/>
      <c r="G388" s="6"/>
      <c r="H388" s="6"/>
    </row>
    <row r="389" spans="2:8" x14ac:dyDescent="0.3">
      <c r="B389" s="6"/>
      <c r="C389" s="6"/>
      <c r="D389" s="6"/>
      <c r="E389" s="233"/>
      <c r="F389" s="6"/>
      <c r="G389" s="6"/>
      <c r="H389" s="6"/>
    </row>
    <row r="390" spans="2:8" x14ac:dyDescent="0.3">
      <c r="B390" s="6"/>
      <c r="C390" s="6"/>
      <c r="D390" s="6"/>
      <c r="E390" s="233"/>
      <c r="F390" s="6"/>
      <c r="G390" s="6"/>
      <c r="H390" s="6"/>
    </row>
    <row r="391" spans="2:8" x14ac:dyDescent="0.3">
      <c r="B391" s="6"/>
      <c r="C391" s="6"/>
      <c r="D391" s="6"/>
      <c r="E391" s="233"/>
      <c r="F391" s="6"/>
      <c r="G391" s="6"/>
      <c r="H391" s="6"/>
    </row>
    <row r="392" spans="2:8" x14ac:dyDescent="0.3">
      <c r="B392" s="6"/>
      <c r="C392" s="6"/>
      <c r="D392" s="6"/>
      <c r="E392" s="233"/>
      <c r="F392" s="6"/>
      <c r="G392" s="6"/>
      <c r="H392" s="6"/>
    </row>
    <row r="393" spans="2:8" x14ac:dyDescent="0.3">
      <c r="B393" s="6"/>
      <c r="C393" s="6"/>
      <c r="D393" s="6"/>
      <c r="E393" s="233"/>
      <c r="F393" s="6"/>
      <c r="G393" s="6"/>
      <c r="H393" s="6"/>
    </row>
    <row r="394" spans="2:8" x14ac:dyDescent="0.3">
      <c r="B394" s="6"/>
      <c r="C394" s="6"/>
      <c r="D394" s="6"/>
      <c r="E394" s="233"/>
      <c r="F394" s="6"/>
      <c r="G394" s="6"/>
      <c r="H394" s="6"/>
    </row>
    <row r="395" spans="2:8" x14ac:dyDescent="0.3">
      <c r="B395" s="6"/>
      <c r="C395" s="6"/>
      <c r="D395" s="6"/>
      <c r="E395" s="233"/>
      <c r="F395" s="6"/>
      <c r="G395" s="6"/>
      <c r="H395" s="6"/>
    </row>
    <row r="396" spans="2:8" x14ac:dyDescent="0.3">
      <c r="B396" s="6"/>
      <c r="C396" s="6"/>
      <c r="D396" s="6"/>
      <c r="E396" s="233"/>
      <c r="F396" s="6"/>
      <c r="G396" s="6"/>
      <c r="H396" s="6"/>
    </row>
    <row r="397" spans="2:8" x14ac:dyDescent="0.3">
      <c r="B397" s="6"/>
      <c r="C397" s="6"/>
      <c r="D397" s="6"/>
      <c r="E397" s="233"/>
      <c r="F397" s="6"/>
      <c r="G397" s="6"/>
      <c r="H397" s="6"/>
    </row>
    <row r="398" spans="2:8" x14ac:dyDescent="0.3">
      <c r="B398" s="6"/>
      <c r="C398" s="6"/>
      <c r="D398" s="6"/>
      <c r="E398" s="233"/>
      <c r="F398" s="6"/>
      <c r="G398" s="6"/>
      <c r="H398" s="6"/>
    </row>
    <row r="399" spans="2:8" x14ac:dyDescent="0.3">
      <c r="B399" s="6"/>
      <c r="C399" s="6"/>
      <c r="D399" s="6"/>
      <c r="E399" s="233"/>
      <c r="F399" s="6"/>
      <c r="G399" s="6"/>
      <c r="H399" s="6"/>
    </row>
    <row r="400" spans="2:8" x14ac:dyDescent="0.3">
      <c r="B400" s="6"/>
      <c r="C400" s="6"/>
      <c r="D400" s="6"/>
      <c r="E400" s="233"/>
      <c r="F400" s="6"/>
      <c r="G400" s="6"/>
      <c r="H400" s="6"/>
    </row>
    <row r="401" spans="2:8" x14ac:dyDescent="0.3">
      <c r="B401" s="6"/>
      <c r="C401" s="6"/>
      <c r="D401" s="6"/>
      <c r="E401" s="233"/>
      <c r="F401" s="6"/>
      <c r="G401" s="6"/>
      <c r="H401" s="6"/>
    </row>
    <row r="402" spans="2:8" x14ac:dyDescent="0.3">
      <c r="B402" s="6"/>
      <c r="C402" s="6"/>
      <c r="D402" s="6"/>
      <c r="E402" s="233"/>
      <c r="F402" s="6"/>
      <c r="G402" s="6"/>
      <c r="H402" s="6"/>
    </row>
    <row r="403" spans="2:8" x14ac:dyDescent="0.3">
      <c r="B403" s="6"/>
      <c r="C403" s="6"/>
      <c r="D403" s="6"/>
      <c r="E403" s="233"/>
      <c r="F403" s="6"/>
      <c r="G403" s="6"/>
      <c r="H403" s="6"/>
    </row>
    <row r="404" spans="2:8" x14ac:dyDescent="0.3">
      <c r="B404" s="6"/>
      <c r="C404" s="6"/>
      <c r="D404" s="6"/>
      <c r="E404" s="233"/>
      <c r="F404" s="6"/>
      <c r="G404" s="6"/>
      <c r="H404" s="6"/>
    </row>
    <row r="405" spans="2:8" x14ac:dyDescent="0.3">
      <c r="B405" s="6"/>
      <c r="C405" s="6"/>
      <c r="D405" s="6"/>
      <c r="E405" s="233"/>
      <c r="F405" s="6"/>
      <c r="G405" s="6"/>
      <c r="H405" s="6"/>
    </row>
    <row r="406" spans="2:8" x14ac:dyDescent="0.3">
      <c r="B406" s="6"/>
      <c r="C406" s="6"/>
      <c r="D406" s="6"/>
      <c r="E406" s="233"/>
      <c r="F406" s="6"/>
      <c r="G406" s="6"/>
      <c r="H406" s="6"/>
    </row>
    <row r="407" spans="2:8" x14ac:dyDescent="0.3">
      <c r="B407" s="6"/>
      <c r="C407" s="6"/>
      <c r="D407" s="6"/>
      <c r="E407" s="233"/>
      <c r="F407" s="6"/>
      <c r="G407" s="6"/>
      <c r="H407" s="6"/>
    </row>
    <row r="408" spans="2:8" x14ac:dyDescent="0.3">
      <c r="B408" s="6"/>
      <c r="C408" s="6"/>
      <c r="D408" s="6"/>
      <c r="E408" s="233"/>
      <c r="F408" s="6"/>
      <c r="G408" s="6"/>
      <c r="H408" s="6"/>
    </row>
    <row r="409" spans="2:8" x14ac:dyDescent="0.3">
      <c r="B409" s="6"/>
      <c r="C409" s="6"/>
      <c r="D409" s="6"/>
      <c r="E409" s="233"/>
      <c r="F409" s="6"/>
      <c r="G409" s="6"/>
      <c r="H409" s="6"/>
    </row>
    <row r="410" spans="2:8" x14ac:dyDescent="0.3">
      <c r="B410" s="6"/>
      <c r="C410" s="6"/>
      <c r="D410" s="6"/>
      <c r="E410" s="233"/>
      <c r="F410" s="6"/>
      <c r="G410" s="6"/>
      <c r="H410" s="6"/>
    </row>
    <row r="411" spans="2:8" x14ac:dyDescent="0.3">
      <c r="B411" s="6"/>
      <c r="C411" s="6"/>
      <c r="D411" s="6"/>
      <c r="E411" s="233"/>
      <c r="F411" s="6"/>
      <c r="G411" s="6"/>
      <c r="H411" s="6"/>
    </row>
    <row r="412" spans="2:8" x14ac:dyDescent="0.3">
      <c r="B412" s="6"/>
      <c r="C412" s="6"/>
      <c r="D412" s="6"/>
      <c r="E412" s="233"/>
      <c r="F412" s="6"/>
      <c r="G412" s="6"/>
      <c r="H412" s="6"/>
    </row>
    <row r="413" spans="2:8" x14ac:dyDescent="0.3">
      <c r="B413" s="6"/>
      <c r="C413" s="6"/>
      <c r="D413" s="6"/>
      <c r="E413" s="233"/>
      <c r="F413" s="6"/>
      <c r="G413" s="6"/>
      <c r="H413" s="6"/>
    </row>
    <row r="414" spans="2:8" x14ac:dyDescent="0.3">
      <c r="B414" s="6"/>
      <c r="C414" s="6"/>
      <c r="D414" s="6"/>
      <c r="E414" s="233"/>
      <c r="F414" s="6"/>
      <c r="G414" s="6"/>
      <c r="H414" s="6"/>
    </row>
    <row r="415" spans="2:8" x14ac:dyDescent="0.3">
      <c r="B415" s="6"/>
      <c r="C415" s="6"/>
      <c r="D415" s="6"/>
      <c r="E415" s="233"/>
      <c r="F415" s="6"/>
      <c r="G415" s="6"/>
      <c r="H415" s="6"/>
    </row>
    <row r="416" spans="2:8" x14ac:dyDescent="0.3">
      <c r="B416" s="6"/>
      <c r="C416" s="6"/>
      <c r="D416" s="6"/>
      <c r="E416" s="233"/>
      <c r="F416" s="6"/>
      <c r="G416" s="6"/>
      <c r="H416" s="6"/>
    </row>
    <row r="417" spans="2:8" x14ac:dyDescent="0.3">
      <c r="B417" s="6"/>
      <c r="C417" s="6"/>
      <c r="D417" s="6"/>
      <c r="E417" s="233"/>
      <c r="F417" s="6"/>
      <c r="G417" s="6"/>
      <c r="H417" s="6"/>
    </row>
    <row r="418" spans="2:8" x14ac:dyDescent="0.3">
      <c r="B418" s="6"/>
      <c r="C418" s="6"/>
      <c r="D418" s="6"/>
      <c r="E418" s="233"/>
      <c r="F418" s="6"/>
      <c r="G418" s="6"/>
      <c r="H418" s="6"/>
    </row>
    <row r="419" spans="2:8" x14ac:dyDescent="0.3">
      <c r="B419" s="6"/>
      <c r="C419" s="6"/>
      <c r="D419" s="6"/>
      <c r="E419" s="233"/>
      <c r="F419" s="6"/>
      <c r="G419" s="6"/>
      <c r="H419" s="6"/>
    </row>
    <row r="420" spans="2:8" x14ac:dyDescent="0.3">
      <c r="B420" s="6"/>
      <c r="C420" s="6"/>
      <c r="D420" s="6"/>
      <c r="E420" s="233"/>
      <c r="F420" s="6"/>
      <c r="G420" s="6"/>
      <c r="H420" s="6"/>
    </row>
    <row r="421" spans="2:8" x14ac:dyDescent="0.3">
      <c r="B421" s="6"/>
      <c r="C421" s="6"/>
      <c r="D421" s="6"/>
      <c r="E421" s="233"/>
      <c r="F421" s="6"/>
      <c r="G421" s="6"/>
      <c r="H421" s="6"/>
    </row>
    <row r="422" spans="2:8" x14ac:dyDescent="0.3">
      <c r="B422" s="6"/>
      <c r="C422" s="6"/>
      <c r="D422" s="6"/>
      <c r="E422" s="233"/>
      <c r="F422" s="6"/>
      <c r="G422" s="6"/>
      <c r="H422" s="6"/>
    </row>
    <row r="423" spans="2:8" x14ac:dyDescent="0.3">
      <c r="B423" s="6"/>
      <c r="C423" s="6"/>
      <c r="D423" s="6"/>
      <c r="E423" s="233"/>
      <c r="F423" s="6"/>
      <c r="G423" s="6"/>
      <c r="H423" s="6"/>
    </row>
    <row r="424" spans="2:8" x14ac:dyDescent="0.3">
      <c r="B424" s="6"/>
      <c r="C424" s="6"/>
      <c r="D424" s="6"/>
      <c r="E424" s="233"/>
      <c r="F424" s="6"/>
      <c r="G424" s="6"/>
      <c r="H424" s="6"/>
    </row>
    <row r="425" spans="2:8" x14ac:dyDescent="0.3">
      <c r="B425" s="6"/>
      <c r="C425" s="6"/>
      <c r="D425" s="6"/>
      <c r="E425" s="233"/>
      <c r="F425" s="6"/>
      <c r="G425" s="6"/>
      <c r="H425" s="6"/>
    </row>
    <row r="426" spans="2:8" x14ac:dyDescent="0.3">
      <c r="B426" s="6"/>
      <c r="C426" s="6"/>
      <c r="D426" s="6"/>
      <c r="E426" s="233"/>
      <c r="F426" s="6"/>
      <c r="G426" s="6"/>
      <c r="H426" s="6"/>
    </row>
    <row r="427" spans="2:8" x14ac:dyDescent="0.3">
      <c r="B427" s="6"/>
      <c r="C427" s="6"/>
      <c r="D427" s="6"/>
      <c r="E427" s="233"/>
      <c r="F427" s="6"/>
      <c r="G427" s="6"/>
      <c r="H427" s="6"/>
    </row>
    <row r="428" spans="2:8" x14ac:dyDescent="0.3">
      <c r="B428" s="6"/>
      <c r="C428" s="6"/>
      <c r="D428" s="6"/>
      <c r="E428" s="233"/>
      <c r="F428" s="6"/>
      <c r="G428" s="6"/>
      <c r="H428" s="6"/>
    </row>
    <row r="429" spans="2:8" x14ac:dyDescent="0.3">
      <c r="B429" s="6"/>
      <c r="C429" s="6"/>
      <c r="D429" s="6"/>
      <c r="E429" s="233"/>
      <c r="F429" s="6"/>
      <c r="G429" s="6"/>
      <c r="H429" s="6"/>
    </row>
    <row r="430" spans="2:8" x14ac:dyDescent="0.3">
      <c r="B430" s="6"/>
      <c r="C430" s="6"/>
      <c r="D430" s="6"/>
      <c r="E430" s="233"/>
      <c r="F430" s="6"/>
      <c r="G430" s="6"/>
      <c r="H430" s="6"/>
    </row>
    <row r="431" spans="2:8" x14ac:dyDescent="0.3">
      <c r="B431" s="6"/>
      <c r="C431" s="6"/>
      <c r="D431" s="6"/>
      <c r="E431" s="233"/>
      <c r="F431" s="6"/>
      <c r="G431" s="6"/>
      <c r="H431" s="6"/>
    </row>
    <row r="432" spans="2:8" x14ac:dyDescent="0.3">
      <c r="B432" s="6"/>
      <c r="C432" s="6"/>
      <c r="D432" s="6"/>
      <c r="E432" s="233"/>
      <c r="F432" s="6"/>
      <c r="G432" s="6"/>
      <c r="H432" s="6"/>
    </row>
    <row r="433" spans="2:8" x14ac:dyDescent="0.3">
      <c r="B433" s="6"/>
      <c r="C433" s="6"/>
      <c r="D433" s="6"/>
      <c r="E433" s="233"/>
      <c r="F433" s="6"/>
      <c r="G433" s="6"/>
      <c r="H433" s="6"/>
    </row>
    <row r="434" spans="2:8" x14ac:dyDescent="0.3">
      <c r="B434" s="6"/>
      <c r="C434" s="6"/>
      <c r="D434" s="6"/>
      <c r="E434" s="233"/>
      <c r="F434" s="6"/>
      <c r="G434" s="6"/>
      <c r="H434" s="6"/>
    </row>
    <row r="435" spans="2:8" x14ac:dyDescent="0.3">
      <c r="B435" s="6"/>
      <c r="C435" s="6"/>
      <c r="D435" s="6"/>
      <c r="E435" s="233"/>
      <c r="F435" s="6"/>
      <c r="G435" s="6"/>
      <c r="H435" s="6"/>
    </row>
    <row r="436" spans="2:8" x14ac:dyDescent="0.3">
      <c r="B436" s="6"/>
      <c r="C436" s="6"/>
      <c r="D436" s="6"/>
      <c r="E436" s="233"/>
      <c r="F436" s="6"/>
      <c r="G436" s="6"/>
      <c r="H436" s="6"/>
    </row>
    <row r="437" spans="2:8" x14ac:dyDescent="0.3">
      <c r="B437" s="6"/>
      <c r="C437" s="6"/>
      <c r="D437" s="6"/>
      <c r="E437" s="233"/>
      <c r="F437" s="6"/>
      <c r="G437" s="6"/>
      <c r="H437" s="6"/>
    </row>
    <row r="438" spans="2:8" x14ac:dyDescent="0.3">
      <c r="B438" s="6"/>
      <c r="C438" s="6"/>
      <c r="D438" s="6"/>
      <c r="E438" s="233"/>
      <c r="F438" s="6"/>
      <c r="G438" s="6"/>
      <c r="H438" s="6"/>
    </row>
    <row r="439" spans="2:8" x14ac:dyDescent="0.3">
      <c r="B439" s="6"/>
      <c r="C439" s="6"/>
      <c r="D439" s="6"/>
      <c r="E439" s="233"/>
      <c r="F439" s="6"/>
      <c r="G439" s="6"/>
      <c r="H439" s="6"/>
    </row>
    <row r="440" spans="2:8" x14ac:dyDescent="0.3">
      <c r="B440" s="6"/>
      <c r="C440" s="6"/>
      <c r="D440" s="6"/>
      <c r="E440" s="233"/>
      <c r="F440" s="6"/>
      <c r="G440" s="6"/>
      <c r="H440" s="6"/>
    </row>
    <row r="441" spans="2:8" x14ac:dyDescent="0.3">
      <c r="B441" s="6"/>
      <c r="C441" s="6"/>
      <c r="D441" s="6"/>
      <c r="E441" s="233"/>
      <c r="F441" s="6"/>
      <c r="G441" s="6"/>
      <c r="H441" s="6"/>
    </row>
    <row r="442" spans="2:8" x14ac:dyDescent="0.3">
      <c r="B442" s="6"/>
      <c r="C442" s="6"/>
      <c r="D442" s="6"/>
      <c r="E442" s="233"/>
      <c r="F442" s="6"/>
      <c r="G442" s="6"/>
      <c r="H442" s="6"/>
    </row>
    <row r="443" spans="2:8" x14ac:dyDescent="0.3">
      <c r="B443" s="6"/>
      <c r="C443" s="6"/>
      <c r="D443" s="6"/>
      <c r="E443" s="233"/>
      <c r="F443" s="6"/>
      <c r="G443" s="6"/>
      <c r="H443" s="6"/>
    </row>
    <row r="444" spans="2:8" x14ac:dyDescent="0.3">
      <c r="B444" s="6"/>
      <c r="C444" s="6"/>
      <c r="D444" s="6"/>
      <c r="E444" s="233"/>
      <c r="F444" s="6"/>
      <c r="G444" s="6"/>
      <c r="H444" s="6"/>
    </row>
    <row r="445" spans="2:8" x14ac:dyDescent="0.3">
      <c r="B445" s="6"/>
      <c r="C445" s="6"/>
      <c r="D445" s="6"/>
      <c r="E445" s="233"/>
      <c r="F445" s="6"/>
      <c r="G445" s="6"/>
      <c r="H445" s="6"/>
    </row>
    <row r="446" spans="2:8" x14ac:dyDescent="0.3">
      <c r="B446" s="6"/>
      <c r="C446" s="6"/>
      <c r="D446" s="6"/>
      <c r="E446" s="233"/>
      <c r="F446" s="6"/>
      <c r="G446" s="6"/>
      <c r="H446" s="6"/>
    </row>
    <row r="447" spans="2:8" x14ac:dyDescent="0.3">
      <c r="B447" s="6"/>
      <c r="C447" s="6"/>
      <c r="D447" s="6"/>
      <c r="E447" s="233"/>
      <c r="F447" s="6"/>
      <c r="G447" s="6"/>
      <c r="H447" s="6"/>
    </row>
    <row r="448" spans="2:8" x14ac:dyDescent="0.3">
      <c r="B448" s="6"/>
      <c r="C448" s="6"/>
      <c r="D448" s="6"/>
      <c r="E448" s="233"/>
      <c r="F448" s="6"/>
      <c r="G448" s="6"/>
      <c r="H448" s="6"/>
    </row>
    <row r="449" spans="2:8" x14ac:dyDescent="0.3">
      <c r="B449" s="6"/>
      <c r="C449" s="6"/>
      <c r="D449" s="6"/>
      <c r="E449" s="233"/>
      <c r="F449" s="6"/>
      <c r="G449" s="6"/>
      <c r="H449" s="6"/>
    </row>
    <row r="450" spans="2:8" x14ac:dyDescent="0.3">
      <c r="B450" s="6"/>
      <c r="C450" s="6"/>
      <c r="D450" s="6"/>
      <c r="E450" s="233"/>
      <c r="F450" s="6"/>
      <c r="G450" s="6"/>
      <c r="H450" s="6"/>
    </row>
    <row r="451" spans="2:8" x14ac:dyDescent="0.3">
      <c r="B451" s="6"/>
      <c r="C451" s="6"/>
      <c r="D451" s="6"/>
      <c r="E451" s="233"/>
      <c r="F451" s="6"/>
      <c r="G451" s="6"/>
      <c r="H451" s="6"/>
    </row>
    <row r="452" spans="2:8" x14ac:dyDescent="0.3">
      <c r="B452" s="6"/>
      <c r="C452" s="6"/>
      <c r="D452" s="6"/>
      <c r="E452" s="233"/>
      <c r="F452" s="6"/>
      <c r="G452" s="6"/>
      <c r="H452" s="6"/>
    </row>
    <row r="453" spans="2:8" x14ac:dyDescent="0.3">
      <c r="B453" s="6"/>
      <c r="C453" s="6"/>
      <c r="D453" s="6"/>
      <c r="E453" s="233"/>
      <c r="F453" s="6"/>
      <c r="G453" s="6"/>
      <c r="H453" s="6"/>
    </row>
    <row r="454" spans="2:8" x14ac:dyDescent="0.3">
      <c r="B454" s="6"/>
      <c r="C454" s="6"/>
      <c r="D454" s="6"/>
      <c r="E454" s="233"/>
      <c r="F454" s="6"/>
      <c r="G454" s="6"/>
      <c r="H454" s="6"/>
    </row>
    <row r="455" spans="2:8" x14ac:dyDescent="0.3">
      <c r="B455" s="6"/>
      <c r="C455" s="6"/>
      <c r="D455" s="6"/>
      <c r="E455" s="233"/>
      <c r="F455" s="6"/>
      <c r="G455" s="6"/>
      <c r="H455" s="6"/>
    </row>
    <row r="456" spans="2:8" x14ac:dyDescent="0.3">
      <c r="B456" s="6"/>
      <c r="C456" s="6"/>
      <c r="D456" s="6"/>
      <c r="E456" s="233"/>
      <c r="F456" s="6"/>
      <c r="G456" s="6"/>
      <c r="H456" s="6"/>
    </row>
    <row r="457" spans="2:8" x14ac:dyDescent="0.3">
      <c r="B457" s="6"/>
      <c r="C457" s="6"/>
      <c r="D457" s="6"/>
      <c r="E457" s="233"/>
      <c r="F457" s="6"/>
      <c r="G457" s="6"/>
      <c r="H457" s="6"/>
    </row>
    <row r="458" spans="2:8" x14ac:dyDescent="0.3">
      <c r="B458" s="6"/>
      <c r="C458" s="6"/>
      <c r="D458" s="6"/>
      <c r="E458" s="233"/>
      <c r="F458" s="6"/>
      <c r="G458" s="6"/>
      <c r="H458" s="6"/>
    </row>
    <row r="459" spans="2:8" x14ac:dyDescent="0.3">
      <c r="B459" s="6"/>
      <c r="C459" s="6"/>
      <c r="D459" s="6"/>
      <c r="E459" s="233"/>
      <c r="F459" s="6"/>
      <c r="G459" s="6"/>
      <c r="H459" s="6"/>
    </row>
    <row r="460" spans="2:8" x14ac:dyDescent="0.3">
      <c r="B460" s="6"/>
      <c r="C460" s="6"/>
      <c r="D460" s="6"/>
      <c r="E460" s="233"/>
      <c r="F460" s="6"/>
      <c r="G460" s="6"/>
      <c r="H460" s="6"/>
    </row>
    <row r="461" spans="2:8" x14ac:dyDescent="0.3">
      <c r="B461" s="6"/>
      <c r="C461" s="6"/>
      <c r="D461" s="6"/>
      <c r="E461" s="233"/>
      <c r="F461" s="6"/>
      <c r="G461" s="6"/>
      <c r="H461" s="6"/>
    </row>
    <row r="462" spans="2:8" x14ac:dyDescent="0.3">
      <c r="B462" s="6"/>
      <c r="C462" s="6"/>
      <c r="D462" s="6"/>
      <c r="E462" s="233"/>
      <c r="F462" s="6"/>
      <c r="G462" s="6"/>
      <c r="H462" s="6"/>
    </row>
    <row r="463" spans="2:8" x14ac:dyDescent="0.3">
      <c r="B463" s="6"/>
      <c r="C463" s="6"/>
      <c r="D463" s="6"/>
      <c r="E463" s="233"/>
      <c r="F463" s="6"/>
      <c r="G463" s="6"/>
      <c r="H463" s="6"/>
    </row>
    <row r="464" spans="2:8" x14ac:dyDescent="0.3">
      <c r="B464" s="6"/>
      <c r="C464" s="6"/>
      <c r="D464" s="6"/>
      <c r="E464" s="233"/>
      <c r="F464" s="6"/>
      <c r="G464" s="6"/>
      <c r="H464" s="6"/>
    </row>
    <row r="465" spans="2:8" x14ac:dyDescent="0.3">
      <c r="B465" s="6"/>
      <c r="C465" s="6"/>
      <c r="D465" s="6"/>
      <c r="E465" s="233"/>
      <c r="F465" s="6"/>
      <c r="G465" s="6"/>
      <c r="H465" s="6"/>
    </row>
    <row r="466" spans="2:8" x14ac:dyDescent="0.3">
      <c r="B466" s="6"/>
      <c r="C466" s="6"/>
      <c r="D466" s="6"/>
      <c r="E466" s="233"/>
      <c r="F466" s="6"/>
      <c r="G466" s="6"/>
      <c r="H466" s="6"/>
    </row>
    <row r="467" spans="2:8" x14ac:dyDescent="0.3">
      <c r="B467" s="6"/>
      <c r="C467" s="6"/>
      <c r="D467" s="6"/>
      <c r="E467" s="233"/>
      <c r="F467" s="6"/>
      <c r="G467" s="6"/>
      <c r="H467" s="6"/>
    </row>
    <row r="468" spans="2:8" x14ac:dyDescent="0.3">
      <c r="B468" s="6"/>
      <c r="C468" s="6"/>
      <c r="D468" s="6"/>
      <c r="E468" s="233"/>
      <c r="F468" s="6"/>
      <c r="G468" s="6"/>
      <c r="H468" s="6"/>
    </row>
    <row r="469" spans="2:8" x14ac:dyDescent="0.3">
      <c r="B469" s="6"/>
      <c r="C469" s="6"/>
      <c r="D469" s="6"/>
      <c r="E469" s="233"/>
      <c r="F469" s="6"/>
      <c r="G469" s="6"/>
      <c r="H469" s="6"/>
    </row>
    <row r="470" spans="2:8" x14ac:dyDescent="0.3">
      <c r="B470" s="6"/>
      <c r="C470" s="6"/>
      <c r="D470" s="6"/>
      <c r="E470" s="233"/>
      <c r="F470" s="6"/>
      <c r="G470" s="6"/>
      <c r="H470" s="6"/>
    </row>
    <row r="471" spans="2:8" x14ac:dyDescent="0.3">
      <c r="B471" s="6"/>
      <c r="C471" s="6"/>
      <c r="D471" s="6"/>
      <c r="E471" s="233"/>
      <c r="F471" s="6"/>
      <c r="G471" s="6"/>
      <c r="H471" s="6"/>
    </row>
    <row r="472" spans="2:8" x14ac:dyDescent="0.3">
      <c r="B472" s="6"/>
      <c r="C472" s="6"/>
      <c r="D472" s="6"/>
      <c r="E472" s="233"/>
      <c r="F472" s="6"/>
      <c r="G472" s="6"/>
      <c r="H472" s="6"/>
    </row>
    <row r="473" spans="2:8" x14ac:dyDescent="0.3">
      <c r="B473" s="6"/>
      <c r="C473" s="6"/>
      <c r="D473" s="6"/>
      <c r="E473" s="233"/>
      <c r="F473" s="6"/>
      <c r="G473" s="6"/>
      <c r="H473" s="6"/>
    </row>
    <row r="474" spans="2:8" x14ac:dyDescent="0.3">
      <c r="B474" s="6"/>
      <c r="C474" s="6"/>
      <c r="D474" s="6"/>
      <c r="E474" s="233"/>
      <c r="F474" s="6"/>
      <c r="G474" s="6"/>
      <c r="H474" s="6"/>
    </row>
    <row r="475" spans="2:8" x14ac:dyDescent="0.3">
      <c r="B475" s="6"/>
      <c r="C475" s="6"/>
      <c r="D475" s="6"/>
      <c r="E475" s="233"/>
      <c r="F475" s="6"/>
      <c r="G475" s="6"/>
      <c r="H475" s="6"/>
    </row>
    <row r="476" spans="2:8" x14ac:dyDescent="0.3">
      <c r="B476" s="6"/>
      <c r="C476" s="6"/>
      <c r="D476" s="6"/>
      <c r="E476" s="233"/>
      <c r="F476" s="6"/>
      <c r="G476" s="6"/>
      <c r="H476" s="6"/>
    </row>
    <row r="477" spans="2:8" x14ac:dyDescent="0.3">
      <c r="B477" s="6"/>
      <c r="C477" s="6"/>
      <c r="D477" s="6"/>
      <c r="E477" s="233"/>
      <c r="F477" s="6"/>
      <c r="G477" s="6"/>
      <c r="H477" s="6"/>
    </row>
    <row r="478" spans="2:8" x14ac:dyDescent="0.3">
      <c r="B478" s="6"/>
      <c r="C478" s="6"/>
      <c r="D478" s="6"/>
      <c r="E478" s="233"/>
      <c r="F478" s="6"/>
      <c r="G478" s="6"/>
      <c r="H478" s="6"/>
    </row>
    <row r="479" spans="2:8" x14ac:dyDescent="0.3">
      <c r="B479" s="6"/>
      <c r="C479" s="6"/>
      <c r="D479" s="6"/>
      <c r="E479" s="233"/>
      <c r="F479" s="6"/>
      <c r="G479" s="6"/>
      <c r="H479" s="6"/>
    </row>
    <row r="480" spans="2:8" x14ac:dyDescent="0.3">
      <c r="B480" s="6"/>
      <c r="C480" s="6"/>
      <c r="D480" s="6"/>
      <c r="E480" s="233"/>
      <c r="F480" s="6"/>
      <c r="G480" s="6"/>
      <c r="H480" s="6"/>
    </row>
    <row r="481" spans="2:8" x14ac:dyDescent="0.3">
      <c r="B481" s="6"/>
      <c r="C481" s="6"/>
      <c r="D481" s="6"/>
      <c r="E481" s="233"/>
      <c r="F481" s="6"/>
      <c r="G481" s="6"/>
      <c r="H481" s="6"/>
    </row>
    <row r="482" spans="2:8" x14ac:dyDescent="0.3">
      <c r="B482" s="6"/>
      <c r="C482" s="6"/>
      <c r="D482" s="6"/>
      <c r="E482" s="233"/>
      <c r="F482" s="6"/>
      <c r="G482" s="6"/>
      <c r="H482" s="6"/>
    </row>
    <row r="483" spans="2:8" x14ac:dyDescent="0.3">
      <c r="B483" s="6"/>
      <c r="C483" s="6"/>
      <c r="D483" s="6"/>
      <c r="E483" s="233"/>
      <c r="F483" s="6"/>
      <c r="G483" s="6"/>
      <c r="H483" s="6"/>
    </row>
    <row r="484" spans="2:8" x14ac:dyDescent="0.3">
      <c r="B484" s="6"/>
      <c r="C484" s="6"/>
      <c r="D484" s="6"/>
      <c r="E484" s="233"/>
      <c r="F484" s="6"/>
      <c r="G484" s="6"/>
      <c r="H484" s="6"/>
    </row>
    <row r="485" spans="2:8" x14ac:dyDescent="0.3">
      <c r="B485" s="6"/>
      <c r="C485" s="6"/>
      <c r="D485" s="6"/>
      <c r="E485" s="233"/>
      <c r="F485" s="6"/>
      <c r="G485" s="6"/>
      <c r="H485" s="6"/>
    </row>
    <row r="486" spans="2:8" x14ac:dyDescent="0.3">
      <c r="B486" s="6"/>
      <c r="C486" s="6"/>
      <c r="D486" s="6"/>
      <c r="E486" s="233"/>
      <c r="F486" s="6"/>
      <c r="G486" s="6"/>
      <c r="H486" s="6"/>
    </row>
    <row r="487" spans="2:8" x14ac:dyDescent="0.3">
      <c r="B487" s="6"/>
      <c r="C487" s="6"/>
      <c r="D487" s="6"/>
      <c r="E487" s="233"/>
      <c r="F487" s="6"/>
      <c r="G487" s="6"/>
      <c r="H487" s="6"/>
    </row>
    <row r="488" spans="2:8" x14ac:dyDescent="0.3">
      <c r="B488" s="6"/>
      <c r="C488" s="6"/>
      <c r="D488" s="6"/>
      <c r="E488" s="233"/>
      <c r="F488" s="6"/>
      <c r="G488" s="6"/>
      <c r="H488" s="6"/>
    </row>
    <row r="489" spans="2:8" x14ac:dyDescent="0.3">
      <c r="B489" s="6"/>
      <c r="C489" s="6"/>
      <c r="D489" s="6"/>
      <c r="E489" s="233"/>
      <c r="F489" s="6"/>
      <c r="G489" s="6"/>
      <c r="H489" s="6"/>
    </row>
    <row r="490" spans="2:8" x14ac:dyDescent="0.3">
      <c r="B490" s="6"/>
      <c r="C490" s="6"/>
      <c r="D490" s="6"/>
      <c r="E490" s="233"/>
      <c r="F490" s="6"/>
      <c r="G490" s="6"/>
      <c r="H490" s="6"/>
    </row>
    <row r="491" spans="2:8" x14ac:dyDescent="0.3">
      <c r="B491" s="6"/>
      <c r="C491" s="6"/>
      <c r="D491" s="6"/>
      <c r="E491" s="233"/>
      <c r="F491" s="6"/>
      <c r="G491" s="6"/>
      <c r="H491" s="6"/>
    </row>
    <row r="492" spans="2:8" x14ac:dyDescent="0.3">
      <c r="B492" s="6"/>
      <c r="C492" s="6"/>
      <c r="D492" s="6"/>
      <c r="E492" s="233"/>
      <c r="F492" s="6"/>
      <c r="G492" s="6"/>
      <c r="H492" s="6"/>
    </row>
    <row r="493" spans="2:8" x14ac:dyDescent="0.3">
      <c r="B493" s="6"/>
      <c r="C493" s="6"/>
      <c r="D493" s="6"/>
      <c r="E493" s="233"/>
      <c r="F493" s="6"/>
      <c r="G493" s="6"/>
      <c r="H493" s="6"/>
    </row>
    <row r="494" spans="2:8" x14ac:dyDescent="0.3">
      <c r="B494" s="6"/>
      <c r="C494" s="6"/>
      <c r="D494" s="6"/>
      <c r="E494" s="233"/>
      <c r="F494" s="6"/>
      <c r="G494" s="6"/>
      <c r="H494" s="6"/>
    </row>
    <row r="495" spans="2:8" x14ac:dyDescent="0.3">
      <c r="B495" s="6"/>
      <c r="C495" s="6"/>
      <c r="D495" s="6"/>
      <c r="E495" s="233"/>
      <c r="F495" s="6"/>
      <c r="G495" s="6"/>
      <c r="H495" s="6"/>
    </row>
    <row r="496" spans="2:8" x14ac:dyDescent="0.3">
      <c r="B496" s="6"/>
      <c r="C496" s="6"/>
      <c r="D496" s="6"/>
      <c r="E496" s="233"/>
      <c r="F496" s="6"/>
      <c r="G496" s="6"/>
      <c r="H496" s="6"/>
    </row>
    <row r="497" spans="2:8" x14ac:dyDescent="0.3">
      <c r="B497" s="6"/>
      <c r="C497" s="6"/>
      <c r="D497" s="6"/>
      <c r="E497" s="233"/>
      <c r="F497" s="6"/>
      <c r="G497" s="6"/>
      <c r="H497" s="6"/>
    </row>
    <row r="498" spans="2:8" x14ac:dyDescent="0.3">
      <c r="B498" s="6"/>
      <c r="C498" s="6"/>
      <c r="D498" s="6"/>
      <c r="E498" s="233"/>
      <c r="F498" s="6"/>
      <c r="G498" s="6"/>
      <c r="H498" s="6"/>
    </row>
    <row r="499" spans="2:8" x14ac:dyDescent="0.3">
      <c r="B499" s="6"/>
      <c r="C499" s="6"/>
      <c r="D499" s="6"/>
      <c r="E499" s="233"/>
      <c r="F499" s="6"/>
      <c r="G499" s="6"/>
      <c r="H499" s="6"/>
    </row>
    <row r="500" spans="2:8" x14ac:dyDescent="0.3">
      <c r="B500" s="6"/>
      <c r="C500" s="6"/>
      <c r="D500" s="6"/>
      <c r="E500" s="233"/>
      <c r="F500" s="6"/>
      <c r="G500" s="6"/>
      <c r="H500" s="6"/>
    </row>
    <row r="501" spans="2:8" x14ac:dyDescent="0.3">
      <c r="B501" s="6"/>
      <c r="C501" s="6"/>
      <c r="D501" s="6"/>
      <c r="E501" s="233"/>
      <c r="F501" s="6"/>
      <c r="G501" s="6"/>
      <c r="H501" s="6"/>
    </row>
    <row r="502" spans="2:8" x14ac:dyDescent="0.3">
      <c r="B502" s="6"/>
      <c r="C502" s="6"/>
      <c r="D502" s="6"/>
      <c r="E502" s="233"/>
      <c r="F502" s="6"/>
      <c r="G502" s="6"/>
      <c r="H502" s="6"/>
    </row>
    <row r="503" spans="2:8" x14ac:dyDescent="0.3">
      <c r="B503" s="6"/>
      <c r="C503" s="6"/>
      <c r="D503" s="6"/>
      <c r="E503" s="233"/>
      <c r="F503" s="6"/>
      <c r="G503" s="6"/>
      <c r="H503" s="6"/>
    </row>
    <row r="504" spans="2:8" x14ac:dyDescent="0.3">
      <c r="B504" s="6"/>
      <c r="C504" s="6"/>
      <c r="D504" s="6"/>
      <c r="E504" s="233"/>
      <c r="F504" s="6"/>
      <c r="G504" s="6"/>
      <c r="H504" s="6"/>
    </row>
    <row r="505" spans="2:8" x14ac:dyDescent="0.3">
      <c r="B505" s="6"/>
      <c r="C505" s="6"/>
      <c r="D505" s="6"/>
      <c r="E505" s="233"/>
      <c r="F505" s="6"/>
      <c r="G505" s="6"/>
      <c r="H505" s="6"/>
    </row>
    <row r="506" spans="2:8" x14ac:dyDescent="0.3">
      <c r="B506" s="6"/>
      <c r="C506" s="6"/>
      <c r="D506" s="6"/>
      <c r="E506" s="233"/>
      <c r="F506" s="6"/>
      <c r="G506" s="6"/>
      <c r="H506" s="6"/>
    </row>
    <row r="507" spans="2:8" x14ac:dyDescent="0.3">
      <c r="B507" s="6"/>
      <c r="C507" s="6"/>
      <c r="D507" s="6"/>
      <c r="E507" s="233"/>
      <c r="F507" s="6"/>
      <c r="G507" s="6"/>
      <c r="H507" s="6"/>
    </row>
    <row r="508" spans="2:8" x14ac:dyDescent="0.3">
      <c r="B508" s="6"/>
      <c r="C508" s="6"/>
      <c r="D508" s="6"/>
      <c r="E508" s="233"/>
      <c r="F508" s="6"/>
      <c r="G508" s="6"/>
      <c r="H508" s="6"/>
    </row>
    <row r="509" spans="2:8" x14ac:dyDescent="0.3">
      <c r="B509" s="6"/>
      <c r="C509" s="6"/>
      <c r="D509" s="6"/>
      <c r="E509" s="233"/>
      <c r="F509" s="6"/>
      <c r="G509" s="6"/>
      <c r="H509" s="6"/>
    </row>
    <row r="510" spans="2:8" x14ac:dyDescent="0.3">
      <c r="B510" s="6"/>
      <c r="C510" s="6"/>
      <c r="D510" s="6"/>
      <c r="E510" s="233"/>
      <c r="F510" s="6"/>
      <c r="G510" s="6"/>
      <c r="H510" s="6"/>
    </row>
    <row r="511" spans="2:8" x14ac:dyDescent="0.3">
      <c r="B511" s="6"/>
      <c r="C511" s="6"/>
      <c r="D511" s="6"/>
      <c r="E511" s="233"/>
      <c r="F511" s="6"/>
      <c r="G511" s="6"/>
      <c r="H511" s="6"/>
    </row>
    <row r="512" spans="2:8" x14ac:dyDescent="0.3">
      <c r="B512" s="6"/>
      <c r="C512" s="6"/>
      <c r="D512" s="6"/>
      <c r="E512" s="233"/>
      <c r="F512" s="6"/>
      <c r="G512" s="6"/>
      <c r="H512" s="6"/>
    </row>
    <row r="513" spans="2:8" x14ac:dyDescent="0.3">
      <c r="B513" s="6"/>
      <c r="C513" s="6"/>
      <c r="D513" s="6"/>
      <c r="E513" s="233"/>
      <c r="F513" s="6"/>
      <c r="G513" s="6"/>
      <c r="H513" s="6"/>
    </row>
    <row r="514" spans="2:8" x14ac:dyDescent="0.3">
      <c r="B514" s="6"/>
      <c r="C514" s="6"/>
      <c r="D514" s="6"/>
      <c r="E514" s="233"/>
      <c r="F514" s="6"/>
      <c r="G514" s="6"/>
      <c r="H514" s="6"/>
    </row>
    <row r="515" spans="2:8" x14ac:dyDescent="0.3">
      <c r="B515" s="6"/>
      <c r="C515" s="6"/>
      <c r="D515" s="6"/>
      <c r="E515" s="233"/>
      <c r="F515" s="6"/>
      <c r="G515" s="6"/>
      <c r="H515" s="6"/>
    </row>
    <row r="516" spans="2:8" x14ac:dyDescent="0.3">
      <c r="B516" s="6"/>
      <c r="C516" s="6"/>
      <c r="D516" s="6"/>
      <c r="E516" s="233"/>
      <c r="F516" s="6"/>
      <c r="G516" s="6"/>
      <c r="H516" s="6"/>
    </row>
    <row r="517" spans="2:8" x14ac:dyDescent="0.3">
      <c r="B517" s="6"/>
      <c r="C517" s="6"/>
      <c r="D517" s="6"/>
      <c r="E517" s="233"/>
      <c r="F517" s="6"/>
      <c r="G517" s="6"/>
      <c r="H517" s="6"/>
    </row>
    <row r="518" spans="2:8" x14ac:dyDescent="0.3">
      <c r="B518" s="6"/>
      <c r="C518" s="6"/>
      <c r="D518" s="6"/>
      <c r="E518" s="233"/>
      <c r="F518" s="6"/>
      <c r="G518" s="6"/>
      <c r="H518" s="6"/>
    </row>
    <row r="519" spans="2:8" x14ac:dyDescent="0.3">
      <c r="B519" s="6"/>
      <c r="C519" s="6"/>
      <c r="D519" s="6"/>
      <c r="E519" s="233"/>
      <c r="F519" s="6"/>
      <c r="G519" s="6"/>
      <c r="H519" s="6"/>
    </row>
    <row r="520" spans="2:8" x14ac:dyDescent="0.3">
      <c r="B520" s="6"/>
      <c r="C520" s="6"/>
      <c r="D520" s="6"/>
      <c r="E520" s="233"/>
      <c r="F520" s="6"/>
      <c r="G520" s="6"/>
      <c r="H520" s="6"/>
    </row>
    <row r="521" spans="2:8" x14ac:dyDescent="0.3">
      <c r="B521" s="6"/>
      <c r="C521" s="6"/>
      <c r="D521" s="6"/>
      <c r="E521" s="233"/>
      <c r="F521" s="6"/>
      <c r="G521" s="6"/>
      <c r="H521" s="6"/>
    </row>
    <row r="522" spans="2:8" x14ac:dyDescent="0.3">
      <c r="B522" s="6"/>
      <c r="C522" s="6"/>
      <c r="D522" s="6"/>
      <c r="E522" s="233"/>
      <c r="F522" s="6"/>
      <c r="G522" s="6"/>
      <c r="H522" s="6"/>
    </row>
    <row r="523" spans="2:8" x14ac:dyDescent="0.3">
      <c r="B523" s="6"/>
      <c r="C523" s="6"/>
      <c r="D523" s="6"/>
      <c r="E523" s="233"/>
      <c r="F523" s="6"/>
      <c r="G523" s="6"/>
      <c r="H523" s="6"/>
    </row>
    <row r="524" spans="2:8" x14ac:dyDescent="0.3">
      <c r="B524" s="6"/>
      <c r="C524" s="6"/>
      <c r="D524" s="6"/>
      <c r="E524" s="233"/>
      <c r="F524" s="6"/>
      <c r="G524" s="6"/>
      <c r="H524" s="6"/>
    </row>
    <row r="525" spans="2:8" x14ac:dyDescent="0.3">
      <c r="B525" s="6"/>
      <c r="C525" s="6"/>
      <c r="D525" s="6"/>
      <c r="E525" s="233"/>
      <c r="F525" s="6"/>
      <c r="G525" s="6"/>
      <c r="H525" s="6"/>
    </row>
    <row r="526" spans="2:8" x14ac:dyDescent="0.3">
      <c r="B526" s="6"/>
      <c r="C526" s="6"/>
      <c r="D526" s="6"/>
      <c r="E526" s="233"/>
      <c r="F526" s="6"/>
      <c r="G526" s="6"/>
      <c r="H526" s="6"/>
    </row>
    <row r="527" spans="2:8" x14ac:dyDescent="0.3">
      <c r="B527" s="6"/>
      <c r="C527" s="6"/>
      <c r="D527" s="6"/>
      <c r="E527" s="233"/>
      <c r="F527" s="6"/>
      <c r="G527" s="6"/>
      <c r="H527" s="6"/>
    </row>
    <row r="528" spans="2:8" x14ac:dyDescent="0.3">
      <c r="B528" s="6"/>
      <c r="C528" s="6"/>
      <c r="D528" s="6"/>
      <c r="E528" s="233"/>
      <c r="F528" s="6"/>
      <c r="G528" s="6"/>
      <c r="H528" s="6"/>
    </row>
    <row r="529" spans="2:8" x14ac:dyDescent="0.3">
      <c r="B529" s="6"/>
      <c r="C529" s="6"/>
      <c r="D529" s="6"/>
      <c r="E529" s="233"/>
      <c r="F529" s="6"/>
      <c r="G529" s="6"/>
      <c r="H529" s="6"/>
    </row>
    <row r="530" spans="2:8" x14ac:dyDescent="0.3">
      <c r="B530" s="6"/>
      <c r="C530" s="6"/>
      <c r="D530" s="6"/>
      <c r="E530" s="233"/>
      <c r="F530" s="6"/>
      <c r="G530" s="6"/>
      <c r="H530" s="6"/>
    </row>
    <row r="531" spans="2:8" x14ac:dyDescent="0.3">
      <c r="B531" s="6"/>
      <c r="C531" s="6"/>
      <c r="D531" s="6"/>
      <c r="E531" s="233"/>
      <c r="F531" s="6"/>
      <c r="G531" s="6"/>
      <c r="H531" s="6"/>
    </row>
    <row r="532" spans="2:8" x14ac:dyDescent="0.3">
      <c r="B532" s="6"/>
      <c r="C532" s="6"/>
      <c r="D532" s="6"/>
      <c r="E532" s="233"/>
      <c r="F532" s="6"/>
      <c r="G532" s="6"/>
      <c r="H532" s="6"/>
    </row>
    <row r="533" spans="2:8" x14ac:dyDescent="0.3">
      <c r="B533" s="6"/>
      <c r="C533" s="6"/>
      <c r="D533" s="6"/>
      <c r="E533" s="233"/>
      <c r="F533" s="6"/>
      <c r="G533" s="6"/>
      <c r="H533" s="6"/>
    </row>
    <row r="534" spans="2:8" x14ac:dyDescent="0.3">
      <c r="B534" s="6"/>
      <c r="C534" s="6"/>
      <c r="D534" s="6"/>
      <c r="E534" s="233"/>
      <c r="F534" s="6"/>
      <c r="G534" s="6"/>
      <c r="H534" s="6"/>
    </row>
    <row r="535" spans="2:8" x14ac:dyDescent="0.3">
      <c r="B535" s="6"/>
      <c r="C535" s="6"/>
      <c r="D535" s="6"/>
      <c r="E535" s="233"/>
      <c r="F535" s="6"/>
      <c r="G535" s="6"/>
      <c r="H535" s="6"/>
    </row>
    <row r="536" spans="2:8" x14ac:dyDescent="0.3">
      <c r="B536" s="6"/>
      <c r="C536" s="6"/>
      <c r="D536" s="6"/>
      <c r="E536" s="233"/>
      <c r="F536" s="6"/>
      <c r="G536" s="6"/>
      <c r="H536" s="6"/>
    </row>
    <row r="537" spans="2:8" x14ac:dyDescent="0.3">
      <c r="B537" s="6"/>
      <c r="C537" s="6"/>
      <c r="D537" s="6"/>
      <c r="E537" s="233"/>
      <c r="F537" s="6"/>
      <c r="G537" s="6"/>
      <c r="H537" s="6"/>
    </row>
    <row r="538" spans="2:8" x14ac:dyDescent="0.3">
      <c r="B538" s="6"/>
      <c r="C538" s="6"/>
      <c r="D538" s="6"/>
      <c r="E538" s="233"/>
      <c r="F538" s="6"/>
      <c r="G538" s="6"/>
      <c r="H538" s="6"/>
    </row>
    <row r="539" spans="2:8" x14ac:dyDescent="0.3">
      <c r="B539" s="6"/>
      <c r="C539" s="6"/>
      <c r="D539" s="6"/>
      <c r="E539" s="233"/>
      <c r="F539" s="6"/>
      <c r="G539" s="6"/>
      <c r="H539" s="6"/>
    </row>
    <row r="540" spans="2:8" x14ac:dyDescent="0.3">
      <c r="B540" s="6"/>
      <c r="C540" s="6"/>
      <c r="D540" s="6"/>
      <c r="E540" s="233"/>
      <c r="F540" s="6"/>
      <c r="G540" s="6"/>
      <c r="H540" s="6"/>
    </row>
    <row r="541" spans="2:8" x14ac:dyDescent="0.3">
      <c r="B541" s="6"/>
      <c r="C541" s="6"/>
      <c r="D541" s="6"/>
      <c r="E541" s="233"/>
      <c r="F541" s="6"/>
      <c r="G541" s="6"/>
      <c r="H541" s="6"/>
    </row>
    <row r="542" spans="2:8" x14ac:dyDescent="0.3">
      <c r="B542" s="6"/>
      <c r="C542" s="6"/>
      <c r="D542" s="6"/>
      <c r="E542" s="233"/>
      <c r="F542" s="6"/>
      <c r="G542" s="6"/>
      <c r="H542" s="6"/>
    </row>
    <row r="543" spans="2:8" x14ac:dyDescent="0.3">
      <c r="B543" s="6"/>
      <c r="C543" s="6"/>
      <c r="D543" s="6"/>
      <c r="E543" s="233"/>
      <c r="F543" s="6"/>
      <c r="G543" s="6"/>
      <c r="H543" s="6"/>
    </row>
    <row r="544" spans="2:8" x14ac:dyDescent="0.3">
      <c r="B544" s="6"/>
      <c r="C544" s="6"/>
      <c r="D544" s="6"/>
      <c r="E544" s="233"/>
      <c r="F544" s="6"/>
      <c r="G544" s="6"/>
      <c r="H544" s="6"/>
    </row>
    <row r="545" spans="2:8" x14ac:dyDescent="0.3">
      <c r="B545" s="6"/>
      <c r="C545" s="6"/>
      <c r="D545" s="6"/>
      <c r="E545" s="233"/>
      <c r="F545" s="6"/>
      <c r="G545" s="6"/>
      <c r="H545" s="6"/>
    </row>
    <row r="546" spans="2:8" x14ac:dyDescent="0.3">
      <c r="B546" s="6"/>
      <c r="C546" s="6"/>
      <c r="D546" s="6"/>
      <c r="E546" s="233"/>
      <c r="F546" s="6"/>
      <c r="G546" s="6"/>
      <c r="H546" s="6"/>
    </row>
    <row r="547" spans="2:8" x14ac:dyDescent="0.3">
      <c r="B547" s="6"/>
      <c r="C547" s="6"/>
      <c r="D547" s="6"/>
      <c r="E547" s="233"/>
      <c r="F547" s="6"/>
      <c r="G547" s="6"/>
      <c r="H547" s="6"/>
    </row>
    <row r="548" spans="2:8" x14ac:dyDescent="0.3">
      <c r="B548" s="6"/>
      <c r="C548" s="6"/>
      <c r="D548" s="6"/>
      <c r="E548" s="233"/>
      <c r="F548" s="6"/>
      <c r="G548" s="6"/>
      <c r="H548" s="6"/>
    </row>
    <row r="549" spans="2:8" x14ac:dyDescent="0.3">
      <c r="B549" s="6"/>
      <c r="C549" s="6"/>
      <c r="D549" s="6"/>
      <c r="E549" s="233"/>
      <c r="F549" s="6"/>
      <c r="G549" s="6"/>
      <c r="H549" s="6"/>
    </row>
    <row r="550" spans="2:8" x14ac:dyDescent="0.3">
      <c r="B550" s="6"/>
      <c r="C550" s="6"/>
      <c r="D550" s="6"/>
      <c r="E550" s="233"/>
      <c r="F550" s="6"/>
      <c r="G550" s="6"/>
      <c r="H550" s="6"/>
    </row>
    <row r="551" spans="2:8" x14ac:dyDescent="0.3">
      <c r="B551" s="6"/>
      <c r="C551" s="6"/>
      <c r="D551" s="6"/>
      <c r="E551" s="233"/>
      <c r="F551" s="6"/>
      <c r="G551" s="6"/>
      <c r="H551" s="6"/>
    </row>
    <row r="552" spans="2:8" x14ac:dyDescent="0.3">
      <c r="B552" s="6"/>
      <c r="C552" s="6"/>
      <c r="D552" s="6"/>
      <c r="E552" s="233"/>
      <c r="F552" s="6"/>
      <c r="G552" s="6"/>
      <c r="H552" s="6"/>
    </row>
    <row r="553" spans="2:8" x14ac:dyDescent="0.3">
      <c r="B553" s="6"/>
      <c r="C553" s="6"/>
      <c r="D553" s="6"/>
      <c r="E553" s="233"/>
      <c r="F553" s="6"/>
      <c r="G553" s="6"/>
      <c r="H553" s="6"/>
    </row>
    <row r="554" spans="2:8" x14ac:dyDescent="0.3">
      <c r="B554" s="6"/>
      <c r="C554" s="6"/>
      <c r="D554" s="6"/>
      <c r="E554" s="233"/>
      <c r="F554" s="6"/>
      <c r="G554" s="6"/>
      <c r="H554" s="6"/>
    </row>
    <row r="555" spans="2:8" x14ac:dyDescent="0.3">
      <c r="B555" s="6"/>
      <c r="C555" s="6"/>
      <c r="D555" s="6"/>
      <c r="E555" s="233"/>
      <c r="F555" s="6"/>
      <c r="G555" s="6"/>
      <c r="H555" s="6"/>
    </row>
    <row r="556" spans="2:8" x14ac:dyDescent="0.3">
      <c r="B556" s="6"/>
      <c r="C556" s="6"/>
      <c r="D556" s="6"/>
      <c r="E556" s="233"/>
      <c r="F556" s="6"/>
      <c r="G556" s="6"/>
      <c r="H556" s="6"/>
    </row>
    <row r="557" spans="2:8" x14ac:dyDescent="0.3">
      <c r="B557" s="6"/>
      <c r="C557" s="6"/>
      <c r="D557" s="6"/>
      <c r="E557" s="233"/>
      <c r="F557" s="6"/>
      <c r="G557" s="6"/>
      <c r="H557" s="6"/>
    </row>
    <row r="558" spans="2:8" x14ac:dyDescent="0.3">
      <c r="B558" s="6"/>
      <c r="C558" s="6"/>
      <c r="D558" s="6"/>
      <c r="E558" s="233"/>
      <c r="F558" s="6"/>
      <c r="G558" s="6"/>
      <c r="H558" s="6"/>
    </row>
    <row r="559" spans="2:8" x14ac:dyDescent="0.3">
      <c r="B559" s="6"/>
      <c r="C559" s="6"/>
      <c r="D559" s="6"/>
      <c r="E559" s="233"/>
      <c r="F559" s="6"/>
      <c r="G559" s="6"/>
      <c r="H559" s="6"/>
    </row>
    <row r="560" spans="2:8" x14ac:dyDescent="0.3">
      <c r="B560" s="6"/>
      <c r="C560" s="6"/>
      <c r="D560" s="6"/>
      <c r="E560" s="233"/>
      <c r="F560" s="6"/>
      <c r="G560" s="6"/>
      <c r="H560" s="6"/>
    </row>
    <row r="561" spans="2:8" x14ac:dyDescent="0.3">
      <c r="B561" s="6"/>
      <c r="C561" s="6"/>
      <c r="D561" s="6"/>
      <c r="E561" s="233"/>
      <c r="F561" s="6"/>
      <c r="G561" s="6"/>
      <c r="H561" s="6"/>
    </row>
    <row r="562" spans="2:8" x14ac:dyDescent="0.3">
      <c r="B562" s="6"/>
      <c r="C562" s="6"/>
      <c r="D562" s="6"/>
      <c r="E562" s="233"/>
      <c r="F562" s="6"/>
      <c r="G562" s="6"/>
      <c r="H562" s="6"/>
    </row>
    <row r="563" spans="2:8" x14ac:dyDescent="0.3">
      <c r="B563" s="6"/>
      <c r="C563" s="6"/>
      <c r="D563" s="6"/>
      <c r="E563" s="233"/>
      <c r="F563" s="6"/>
      <c r="G563" s="6"/>
      <c r="H563" s="6"/>
    </row>
    <row r="564" spans="2:8" x14ac:dyDescent="0.3">
      <c r="B564" s="6"/>
      <c r="C564" s="6"/>
      <c r="D564" s="6"/>
      <c r="E564" s="233"/>
      <c r="F564" s="6"/>
      <c r="G564" s="6"/>
      <c r="H564" s="6"/>
    </row>
    <row r="565" spans="2:8" x14ac:dyDescent="0.3">
      <c r="B565" s="6"/>
      <c r="C565" s="6"/>
      <c r="D565" s="6"/>
      <c r="E565" s="233"/>
      <c r="F565" s="6"/>
      <c r="G565" s="6"/>
      <c r="H565" s="6"/>
    </row>
    <row r="566" spans="2:8" x14ac:dyDescent="0.3">
      <c r="B566" s="6"/>
      <c r="C566" s="6"/>
      <c r="D566" s="6"/>
      <c r="E566" s="233"/>
      <c r="F566" s="6"/>
      <c r="G566" s="6"/>
      <c r="H566" s="6"/>
    </row>
    <row r="567" spans="2:8" x14ac:dyDescent="0.3">
      <c r="B567" s="6"/>
      <c r="C567" s="6"/>
      <c r="D567" s="6"/>
      <c r="E567" s="233"/>
      <c r="F567" s="6"/>
      <c r="G567" s="6"/>
      <c r="H567" s="6"/>
    </row>
    <row r="568" spans="2:8" x14ac:dyDescent="0.3">
      <c r="B568" s="6"/>
      <c r="C568" s="6"/>
      <c r="D568" s="6"/>
      <c r="E568" s="233"/>
      <c r="F568" s="6"/>
      <c r="G568" s="6"/>
      <c r="H568" s="6"/>
    </row>
    <row r="569" spans="2:8" x14ac:dyDescent="0.3">
      <c r="B569" s="6"/>
      <c r="C569" s="6"/>
      <c r="D569" s="6"/>
      <c r="E569" s="233"/>
      <c r="F569" s="6"/>
      <c r="G569" s="6"/>
      <c r="H569" s="6"/>
    </row>
    <row r="570" spans="2:8" x14ac:dyDescent="0.3">
      <c r="B570" s="6"/>
      <c r="C570" s="6"/>
      <c r="D570" s="6"/>
      <c r="E570" s="233"/>
      <c r="F570" s="6"/>
      <c r="G570" s="6"/>
      <c r="H570" s="6"/>
    </row>
    <row r="571" spans="2:8" x14ac:dyDescent="0.3">
      <c r="B571" s="6"/>
      <c r="C571" s="6"/>
      <c r="D571" s="6"/>
      <c r="E571" s="233"/>
      <c r="F571" s="6"/>
      <c r="G571" s="6"/>
      <c r="H571" s="6"/>
    </row>
    <row r="572" spans="2:8" x14ac:dyDescent="0.3">
      <c r="B572" s="6"/>
      <c r="C572" s="6"/>
      <c r="D572" s="6"/>
      <c r="E572" s="233"/>
      <c r="F572" s="6"/>
      <c r="G572" s="6"/>
      <c r="H572" s="6"/>
    </row>
    <row r="573" spans="2:8" x14ac:dyDescent="0.3">
      <c r="B573" s="6"/>
      <c r="C573" s="6"/>
      <c r="D573" s="6"/>
      <c r="E573" s="233"/>
      <c r="F573" s="6"/>
      <c r="G573" s="6"/>
      <c r="H573" s="6"/>
    </row>
    <row r="574" spans="2:8" x14ac:dyDescent="0.3">
      <c r="B574" s="6"/>
      <c r="C574" s="6"/>
      <c r="D574" s="6"/>
      <c r="E574" s="233"/>
      <c r="F574" s="6"/>
      <c r="G574" s="6"/>
      <c r="H574" s="6"/>
    </row>
    <row r="575" spans="2:8" x14ac:dyDescent="0.3">
      <c r="B575" s="6"/>
      <c r="C575" s="6"/>
      <c r="D575" s="6"/>
      <c r="E575" s="233"/>
      <c r="F575" s="6"/>
      <c r="G575" s="6"/>
      <c r="H575" s="6"/>
    </row>
    <row r="576" spans="2:8" x14ac:dyDescent="0.3">
      <c r="B576" s="6"/>
      <c r="C576" s="6"/>
      <c r="D576" s="6"/>
      <c r="E576" s="233"/>
      <c r="F576" s="6"/>
      <c r="G576" s="6"/>
      <c r="H576" s="6"/>
    </row>
    <row r="577" spans="2:8" x14ac:dyDescent="0.3">
      <c r="B577" s="6"/>
      <c r="C577" s="6"/>
      <c r="D577" s="6"/>
      <c r="E577" s="233"/>
      <c r="F577" s="6"/>
      <c r="G577" s="6"/>
      <c r="H577" s="6"/>
    </row>
    <row r="578" spans="2:8" x14ac:dyDescent="0.3">
      <c r="B578" s="6"/>
      <c r="C578" s="6"/>
      <c r="D578" s="6"/>
      <c r="E578" s="233"/>
      <c r="F578" s="6"/>
      <c r="G578" s="6"/>
      <c r="H578" s="6"/>
    </row>
    <row r="579" spans="2:8" x14ac:dyDescent="0.3">
      <c r="B579" s="6"/>
      <c r="C579" s="6"/>
      <c r="D579" s="6"/>
      <c r="E579" s="233"/>
      <c r="F579" s="6"/>
      <c r="G579" s="6"/>
      <c r="H579" s="6"/>
    </row>
    <row r="580" spans="2:8" x14ac:dyDescent="0.3">
      <c r="B580" s="6"/>
      <c r="C580" s="6"/>
      <c r="D580" s="6"/>
      <c r="E580" s="233"/>
      <c r="F580" s="6"/>
      <c r="G580" s="6"/>
      <c r="H580" s="6"/>
    </row>
    <row r="581" spans="2:8" x14ac:dyDescent="0.3">
      <c r="B581" s="6"/>
      <c r="C581" s="6"/>
      <c r="D581" s="6"/>
      <c r="E581" s="233"/>
      <c r="F581" s="6"/>
      <c r="G581" s="6"/>
      <c r="H581" s="6"/>
    </row>
    <row r="582" spans="2:8" x14ac:dyDescent="0.3">
      <c r="B582" s="6"/>
      <c r="C582" s="6"/>
      <c r="D582" s="6"/>
      <c r="E582" s="233"/>
      <c r="F582" s="6"/>
      <c r="G582" s="6"/>
      <c r="H582" s="6"/>
    </row>
    <row r="583" spans="2:8" x14ac:dyDescent="0.3">
      <c r="B583" s="6"/>
      <c r="C583" s="6"/>
      <c r="D583" s="6"/>
      <c r="E583" s="233"/>
      <c r="F583" s="6"/>
      <c r="G583" s="6"/>
      <c r="H583" s="6"/>
    </row>
    <row r="584" spans="2:8" x14ac:dyDescent="0.3">
      <c r="B584" s="6"/>
      <c r="C584" s="6"/>
      <c r="D584" s="6"/>
      <c r="E584" s="233"/>
      <c r="F584" s="6"/>
      <c r="G584" s="6"/>
      <c r="H584" s="6"/>
    </row>
    <row r="585" spans="2:8" x14ac:dyDescent="0.3">
      <c r="B585" s="6"/>
      <c r="C585" s="6"/>
      <c r="D585" s="6"/>
      <c r="E585" s="233"/>
      <c r="F585" s="6"/>
      <c r="G585" s="6"/>
      <c r="H585" s="6"/>
    </row>
    <row r="586" spans="2:8" x14ac:dyDescent="0.3">
      <c r="B586" s="6"/>
      <c r="C586" s="6"/>
      <c r="D586" s="6"/>
      <c r="E586" s="233"/>
      <c r="F586" s="6"/>
      <c r="G586" s="6"/>
      <c r="H586" s="6"/>
    </row>
    <row r="587" spans="2:8" x14ac:dyDescent="0.3">
      <c r="B587" s="6"/>
      <c r="C587" s="6"/>
      <c r="D587" s="6"/>
      <c r="E587" s="233"/>
      <c r="F587" s="6"/>
      <c r="G587" s="6"/>
      <c r="H587" s="6"/>
    </row>
    <row r="588" spans="2:8" x14ac:dyDescent="0.3">
      <c r="B588" s="6"/>
      <c r="C588" s="6"/>
      <c r="D588" s="6"/>
      <c r="E588" s="233"/>
      <c r="F588" s="6"/>
      <c r="G588" s="6"/>
      <c r="H588" s="6"/>
    </row>
    <row r="589" spans="2:8" x14ac:dyDescent="0.3">
      <c r="B589" s="6"/>
      <c r="C589" s="6"/>
      <c r="D589" s="6"/>
      <c r="E589" s="233"/>
      <c r="F589" s="6"/>
      <c r="G589" s="6"/>
      <c r="H589" s="6"/>
    </row>
    <row r="590" spans="2:8" x14ac:dyDescent="0.3">
      <c r="B590" s="6"/>
      <c r="C590" s="6"/>
      <c r="D590" s="6"/>
      <c r="E590" s="233"/>
      <c r="F590" s="6"/>
      <c r="G590" s="6"/>
      <c r="H590" s="6"/>
    </row>
    <row r="591" spans="2:8" x14ac:dyDescent="0.3">
      <c r="B591" s="6"/>
      <c r="C591" s="6"/>
      <c r="D591" s="6"/>
      <c r="E591" s="233"/>
      <c r="F591" s="6"/>
      <c r="G591" s="6"/>
      <c r="H591" s="6"/>
    </row>
    <row r="592" spans="2:8" x14ac:dyDescent="0.3">
      <c r="B592" s="6"/>
      <c r="C592" s="6"/>
      <c r="D592" s="6"/>
      <c r="E592" s="233"/>
      <c r="F592" s="6"/>
      <c r="G592" s="6"/>
      <c r="H592" s="6"/>
    </row>
    <row r="593" spans="2:8" x14ac:dyDescent="0.3">
      <c r="B593" s="6"/>
      <c r="C593" s="6"/>
      <c r="D593" s="6"/>
      <c r="E593" s="233"/>
      <c r="F593" s="6"/>
      <c r="G593" s="6"/>
      <c r="H593" s="6"/>
    </row>
    <row r="594" spans="2:8" x14ac:dyDescent="0.3">
      <c r="B594" s="6"/>
      <c r="C594" s="6"/>
      <c r="D594" s="6"/>
      <c r="E594" s="233"/>
      <c r="F594" s="6"/>
      <c r="G594" s="6"/>
      <c r="H594" s="6"/>
    </row>
    <row r="595" spans="2:8" x14ac:dyDescent="0.3">
      <c r="B595" s="6"/>
      <c r="C595" s="6"/>
      <c r="D595" s="6"/>
      <c r="E595" s="233"/>
      <c r="F595" s="6"/>
      <c r="G595" s="6"/>
      <c r="H595" s="6"/>
    </row>
    <row r="596" spans="2:8" x14ac:dyDescent="0.3">
      <c r="B596" s="6"/>
      <c r="C596" s="6"/>
      <c r="D596" s="6"/>
      <c r="E596" s="233"/>
      <c r="F596" s="6"/>
      <c r="G596" s="6"/>
      <c r="H596" s="6"/>
    </row>
    <row r="597" spans="2:8" x14ac:dyDescent="0.3">
      <c r="B597" s="6"/>
      <c r="C597" s="6"/>
      <c r="D597" s="6"/>
      <c r="E597" s="233"/>
      <c r="F597" s="6"/>
      <c r="G597" s="6"/>
      <c r="H597" s="6"/>
    </row>
    <row r="598" spans="2:8" x14ac:dyDescent="0.3">
      <c r="B598" s="6"/>
      <c r="C598" s="6"/>
      <c r="D598" s="6"/>
      <c r="E598" s="233"/>
      <c r="F598" s="6"/>
      <c r="G598" s="6"/>
      <c r="H598" s="6"/>
    </row>
    <row r="599" spans="2:8" x14ac:dyDescent="0.3">
      <c r="B599" s="6"/>
      <c r="C599" s="6"/>
      <c r="D599" s="6"/>
      <c r="E599" s="233"/>
      <c r="F599" s="6"/>
      <c r="G599" s="6"/>
      <c r="H599" s="6"/>
    </row>
    <row r="600" spans="2:8" x14ac:dyDescent="0.3">
      <c r="B600" s="6"/>
      <c r="C600" s="6"/>
      <c r="D600" s="6"/>
      <c r="E600" s="233"/>
      <c r="F600" s="6"/>
      <c r="G600" s="6"/>
      <c r="H600" s="6"/>
    </row>
    <row r="601" spans="2:8" x14ac:dyDescent="0.3">
      <c r="B601" s="6"/>
      <c r="C601" s="6"/>
      <c r="D601" s="6"/>
      <c r="E601" s="233"/>
      <c r="F601" s="6"/>
      <c r="G601" s="6"/>
      <c r="H601" s="6"/>
    </row>
    <row r="602" spans="2:8" x14ac:dyDescent="0.3">
      <c r="B602" s="6"/>
      <c r="C602" s="6"/>
      <c r="D602" s="6"/>
      <c r="E602" s="233"/>
      <c r="F602" s="6"/>
      <c r="G602" s="6"/>
      <c r="H602" s="6"/>
    </row>
    <row r="603" spans="2:8" x14ac:dyDescent="0.3">
      <c r="B603" s="6"/>
      <c r="C603" s="6"/>
      <c r="D603" s="6"/>
      <c r="E603" s="233"/>
      <c r="F603" s="6"/>
      <c r="G603" s="6"/>
      <c r="H603" s="6"/>
    </row>
    <row r="604" spans="2:8" x14ac:dyDescent="0.3">
      <c r="B604" s="6"/>
      <c r="C604" s="6"/>
      <c r="D604" s="6"/>
      <c r="E604" s="233"/>
      <c r="F604" s="6"/>
      <c r="G604" s="6"/>
      <c r="H604" s="6"/>
    </row>
    <row r="605" spans="2:8" x14ac:dyDescent="0.3">
      <c r="B605" s="6"/>
      <c r="C605" s="6"/>
      <c r="D605" s="6"/>
      <c r="E605" s="233"/>
      <c r="F605" s="6"/>
      <c r="G605" s="6"/>
      <c r="H605" s="6"/>
    </row>
    <row r="606" spans="2:8" x14ac:dyDescent="0.3">
      <c r="B606" s="6"/>
      <c r="C606" s="6"/>
      <c r="D606" s="6"/>
      <c r="E606" s="233"/>
      <c r="F606" s="6"/>
      <c r="G606" s="6"/>
      <c r="H606" s="6"/>
    </row>
    <row r="607" spans="2:8" x14ac:dyDescent="0.3">
      <c r="B607" s="6"/>
      <c r="C607" s="6"/>
      <c r="D607" s="6"/>
      <c r="E607" s="233"/>
      <c r="F607" s="6"/>
      <c r="G607" s="6"/>
      <c r="H607" s="6"/>
    </row>
    <row r="608" spans="2:8" x14ac:dyDescent="0.3">
      <c r="B608" s="6"/>
      <c r="C608" s="6"/>
      <c r="D608" s="6"/>
      <c r="E608" s="233"/>
      <c r="F608" s="6"/>
      <c r="G608" s="6"/>
      <c r="H608" s="6"/>
    </row>
    <row r="609" spans="2:8" x14ac:dyDescent="0.3">
      <c r="B609" s="6"/>
      <c r="C609" s="6"/>
      <c r="D609" s="6"/>
      <c r="E609" s="233"/>
      <c r="F609" s="6"/>
      <c r="G609" s="6"/>
      <c r="H609" s="6"/>
    </row>
    <row r="610" spans="2:8" x14ac:dyDescent="0.3">
      <c r="B610" s="6"/>
      <c r="C610" s="6"/>
      <c r="D610" s="6"/>
      <c r="E610" s="233"/>
      <c r="F610" s="6"/>
      <c r="G610" s="6"/>
      <c r="H610" s="6"/>
    </row>
    <row r="611" spans="2:8" x14ac:dyDescent="0.3">
      <c r="B611" s="6"/>
      <c r="C611" s="6"/>
      <c r="D611" s="6"/>
      <c r="E611" s="233"/>
      <c r="F611" s="6"/>
      <c r="G611" s="6"/>
      <c r="H611" s="6"/>
    </row>
    <row r="612" spans="2:8" x14ac:dyDescent="0.3">
      <c r="B612" s="6"/>
      <c r="C612" s="6"/>
      <c r="D612" s="6"/>
      <c r="E612" s="233"/>
      <c r="F612" s="6"/>
      <c r="G612" s="6"/>
      <c r="H612" s="6"/>
    </row>
    <row r="613" spans="2:8" x14ac:dyDescent="0.3">
      <c r="B613" s="6"/>
      <c r="C613" s="6"/>
      <c r="D613" s="6"/>
      <c r="E613" s="233"/>
      <c r="F613" s="6"/>
      <c r="G613" s="6"/>
      <c r="H613" s="6"/>
    </row>
    <row r="614" spans="2:8" x14ac:dyDescent="0.3">
      <c r="B614" s="6"/>
      <c r="C614" s="6"/>
      <c r="D614" s="6"/>
      <c r="E614" s="233"/>
      <c r="F614" s="6"/>
      <c r="G614" s="6"/>
      <c r="H614" s="6"/>
    </row>
    <row r="615" spans="2:8" x14ac:dyDescent="0.3">
      <c r="B615" s="6"/>
      <c r="C615" s="6"/>
      <c r="D615" s="6"/>
      <c r="E615" s="233"/>
      <c r="F615" s="6"/>
      <c r="G615" s="6"/>
      <c r="H615" s="6"/>
    </row>
    <row r="616" spans="2:8" x14ac:dyDescent="0.3">
      <c r="B616" s="6"/>
      <c r="C616" s="6"/>
      <c r="D616" s="6"/>
      <c r="E616" s="233"/>
      <c r="F616" s="6"/>
      <c r="G616" s="6"/>
      <c r="H616" s="6"/>
    </row>
    <row r="617" spans="2:8" x14ac:dyDescent="0.3">
      <c r="B617" s="6"/>
      <c r="C617" s="6"/>
      <c r="D617" s="6"/>
      <c r="E617" s="233"/>
      <c r="F617" s="6"/>
      <c r="G617" s="6"/>
      <c r="H617" s="6"/>
    </row>
    <row r="618" spans="2:8" x14ac:dyDescent="0.3">
      <c r="B618" s="6"/>
      <c r="C618" s="6"/>
      <c r="D618" s="6"/>
      <c r="E618" s="233"/>
      <c r="F618" s="6"/>
      <c r="G618" s="6"/>
      <c r="H618" s="6"/>
    </row>
    <row r="619" spans="2:8" x14ac:dyDescent="0.3">
      <c r="B619" s="6"/>
      <c r="C619" s="6"/>
      <c r="D619" s="6"/>
      <c r="E619" s="233"/>
      <c r="F619" s="6"/>
      <c r="G619" s="6"/>
      <c r="H619" s="6"/>
    </row>
    <row r="620" spans="2:8" x14ac:dyDescent="0.3">
      <c r="B620" s="6"/>
      <c r="C620" s="6"/>
      <c r="D620" s="6"/>
      <c r="E620" s="233"/>
      <c r="F620" s="6"/>
      <c r="G620" s="6"/>
      <c r="H620" s="6"/>
    </row>
    <row r="621" spans="2:8" x14ac:dyDescent="0.3">
      <c r="B621" s="6"/>
      <c r="C621" s="6"/>
      <c r="D621" s="6"/>
      <c r="E621" s="233"/>
      <c r="F621" s="6"/>
      <c r="G621" s="6"/>
      <c r="H621" s="6"/>
    </row>
    <row r="622" spans="2:8" x14ac:dyDescent="0.3">
      <c r="B622" s="6"/>
      <c r="C622" s="6"/>
      <c r="D622" s="6"/>
      <c r="E622" s="233"/>
      <c r="F622" s="6"/>
      <c r="G622" s="6"/>
      <c r="H622" s="6"/>
    </row>
    <row r="623" spans="2:8" x14ac:dyDescent="0.3">
      <c r="B623" s="6"/>
      <c r="C623" s="6"/>
      <c r="D623" s="6"/>
      <c r="E623" s="233"/>
      <c r="F623" s="6"/>
      <c r="G623" s="6"/>
      <c r="H623" s="6"/>
    </row>
    <row r="624" spans="2:8" x14ac:dyDescent="0.3">
      <c r="B624" s="6"/>
      <c r="C624" s="6"/>
      <c r="D624" s="6"/>
      <c r="E624" s="233"/>
      <c r="F624" s="6"/>
      <c r="G624" s="6"/>
      <c r="H624" s="6"/>
    </row>
    <row r="625" spans="2:8" x14ac:dyDescent="0.3">
      <c r="B625" s="6"/>
      <c r="C625" s="6"/>
      <c r="D625" s="6"/>
      <c r="E625" s="233"/>
      <c r="F625" s="6"/>
      <c r="G625" s="6"/>
      <c r="H625" s="6"/>
    </row>
    <row r="626" spans="2:8" x14ac:dyDescent="0.3">
      <c r="B626" s="6"/>
      <c r="C626" s="6"/>
      <c r="D626" s="6"/>
      <c r="E626" s="233"/>
      <c r="F626" s="6"/>
      <c r="G626" s="6"/>
      <c r="H626" s="6"/>
    </row>
    <row r="627" spans="2:8" x14ac:dyDescent="0.3">
      <c r="B627" s="6"/>
      <c r="C627" s="6"/>
      <c r="D627" s="6"/>
      <c r="E627" s="233"/>
      <c r="F627" s="6"/>
      <c r="G627" s="6"/>
      <c r="H627" s="6"/>
    </row>
    <row r="628" spans="2:8" x14ac:dyDescent="0.3">
      <c r="B628" s="6"/>
      <c r="C628" s="6"/>
      <c r="D628" s="6"/>
      <c r="E628" s="233"/>
      <c r="F628" s="6"/>
      <c r="G628" s="6"/>
      <c r="H628" s="6"/>
    </row>
    <row r="629" spans="2:8" x14ac:dyDescent="0.3">
      <c r="B629" s="6"/>
      <c r="C629" s="6"/>
      <c r="D629" s="6"/>
      <c r="E629" s="233"/>
      <c r="F629" s="6"/>
      <c r="G629" s="6"/>
      <c r="H629" s="6"/>
    </row>
    <row r="630" spans="2:8" x14ac:dyDescent="0.3">
      <c r="B630" s="6"/>
      <c r="C630" s="6"/>
      <c r="D630" s="6"/>
      <c r="E630" s="233"/>
      <c r="F630" s="6"/>
      <c r="G630" s="6"/>
      <c r="H630" s="6"/>
    </row>
    <row r="631" spans="2:8" x14ac:dyDescent="0.3">
      <c r="B631" s="6"/>
      <c r="C631" s="6"/>
      <c r="D631" s="6"/>
      <c r="E631" s="233"/>
      <c r="F631" s="6"/>
      <c r="G631" s="6"/>
      <c r="H631" s="6"/>
    </row>
    <row r="632" spans="2:8" x14ac:dyDescent="0.3">
      <c r="B632" s="6"/>
      <c r="C632" s="6"/>
      <c r="D632" s="6"/>
      <c r="E632" s="233"/>
      <c r="F632" s="6"/>
      <c r="G632" s="6"/>
      <c r="H632" s="6"/>
    </row>
    <row r="633" spans="2:8" x14ac:dyDescent="0.3">
      <c r="B633" s="6"/>
      <c r="C633" s="6"/>
      <c r="D633" s="6"/>
      <c r="E633" s="233"/>
      <c r="F633" s="6"/>
      <c r="G633" s="6"/>
      <c r="H633" s="6"/>
    </row>
    <row r="634" spans="2:8" x14ac:dyDescent="0.3">
      <c r="B634" s="6"/>
      <c r="C634" s="6"/>
      <c r="D634" s="6"/>
      <c r="E634" s="233"/>
      <c r="F634" s="6"/>
      <c r="G634" s="6"/>
      <c r="H634" s="6"/>
    </row>
    <row r="635" spans="2:8" x14ac:dyDescent="0.3">
      <c r="B635" s="6"/>
      <c r="C635" s="6"/>
      <c r="D635" s="6"/>
      <c r="E635" s="233"/>
      <c r="F635" s="6"/>
      <c r="G635" s="6"/>
      <c r="H635" s="6"/>
    </row>
    <row r="636" spans="2:8" x14ac:dyDescent="0.3">
      <c r="B636" s="6"/>
      <c r="C636" s="6"/>
      <c r="D636" s="6"/>
      <c r="E636" s="233"/>
      <c r="F636" s="6"/>
      <c r="G636" s="6"/>
      <c r="H636" s="6"/>
    </row>
    <row r="637" spans="2:8" x14ac:dyDescent="0.3">
      <c r="B637" s="6"/>
      <c r="C637" s="6"/>
      <c r="D637" s="6"/>
      <c r="E637" s="233"/>
      <c r="F637" s="6"/>
      <c r="G637" s="6"/>
      <c r="H637" s="6"/>
    </row>
    <row r="638" spans="2:8" x14ac:dyDescent="0.3">
      <c r="B638" s="6"/>
      <c r="C638" s="6"/>
      <c r="D638" s="6"/>
      <c r="E638" s="233"/>
      <c r="F638" s="6"/>
      <c r="G638" s="6"/>
      <c r="H638" s="6"/>
    </row>
    <row r="639" spans="2:8" x14ac:dyDescent="0.3">
      <c r="B639" s="6"/>
      <c r="C639" s="6"/>
      <c r="D639" s="6"/>
      <c r="E639" s="233"/>
      <c r="F639" s="6"/>
      <c r="G639" s="6"/>
      <c r="H639" s="6"/>
    </row>
    <row r="640" spans="2:8" x14ac:dyDescent="0.3">
      <c r="B640" s="6"/>
      <c r="C640" s="6"/>
      <c r="D640" s="6"/>
      <c r="E640" s="233"/>
      <c r="F640" s="6"/>
      <c r="G640" s="6"/>
      <c r="H640" s="6"/>
    </row>
    <row r="641" spans="2:8" x14ac:dyDescent="0.3">
      <c r="B641" s="6"/>
      <c r="C641" s="6"/>
      <c r="D641" s="6"/>
      <c r="E641" s="233"/>
      <c r="F641" s="6"/>
      <c r="G641" s="6"/>
      <c r="H641" s="6"/>
    </row>
    <row r="642" spans="2:8" x14ac:dyDescent="0.3">
      <c r="B642" s="6"/>
      <c r="C642" s="6"/>
      <c r="D642" s="6"/>
      <c r="E642" s="233"/>
      <c r="F642" s="6"/>
      <c r="G642" s="6"/>
      <c r="H642" s="6"/>
    </row>
    <row r="643" spans="2:8" x14ac:dyDescent="0.3">
      <c r="B643" s="6"/>
      <c r="C643" s="6"/>
      <c r="D643" s="6"/>
      <c r="E643" s="233"/>
      <c r="F643" s="6"/>
      <c r="G643" s="6"/>
      <c r="H643" s="6"/>
    </row>
    <row r="644" spans="2:8" x14ac:dyDescent="0.3">
      <c r="B644" s="6"/>
      <c r="C644" s="6"/>
      <c r="D644" s="6"/>
      <c r="E644" s="233"/>
      <c r="F644" s="6"/>
      <c r="G644" s="6"/>
      <c r="H644" s="6"/>
    </row>
    <row r="645" spans="2:8" x14ac:dyDescent="0.3">
      <c r="B645" s="6"/>
      <c r="C645" s="6"/>
      <c r="D645" s="6"/>
      <c r="E645" s="233"/>
      <c r="F645" s="6"/>
      <c r="G645" s="6"/>
      <c r="H645" s="6"/>
    </row>
    <row r="646" spans="2:8" x14ac:dyDescent="0.3">
      <c r="B646" s="6"/>
      <c r="C646" s="6"/>
      <c r="D646" s="6"/>
      <c r="E646" s="233"/>
      <c r="F646" s="6"/>
      <c r="G646" s="6"/>
      <c r="H646" s="6"/>
    </row>
    <row r="647" spans="2:8" x14ac:dyDescent="0.3">
      <c r="B647" s="6"/>
      <c r="C647" s="6"/>
      <c r="D647" s="6"/>
      <c r="E647" s="233"/>
      <c r="F647" s="6"/>
      <c r="G647" s="6"/>
      <c r="H647" s="6"/>
    </row>
    <row r="648" spans="2:8" x14ac:dyDescent="0.3">
      <c r="B648" s="6"/>
      <c r="C648" s="6"/>
      <c r="D648" s="6"/>
      <c r="E648" s="233"/>
      <c r="F648" s="6"/>
      <c r="G648" s="6"/>
      <c r="H648" s="6"/>
    </row>
    <row r="649" spans="2:8" x14ac:dyDescent="0.3">
      <c r="B649" s="6"/>
      <c r="C649" s="6"/>
      <c r="D649" s="6"/>
      <c r="E649" s="233"/>
      <c r="F649" s="6"/>
      <c r="G649" s="6"/>
      <c r="H649" s="6"/>
    </row>
    <row r="650" spans="2:8" x14ac:dyDescent="0.3">
      <c r="B650" s="6"/>
      <c r="C650" s="6"/>
      <c r="D650" s="6"/>
      <c r="E650" s="233"/>
      <c r="F650" s="6"/>
      <c r="G650" s="6"/>
      <c r="H650" s="6"/>
    </row>
    <row r="651" spans="2:8" x14ac:dyDescent="0.3">
      <c r="B651" s="6"/>
      <c r="C651" s="6"/>
      <c r="D651" s="6"/>
      <c r="E651" s="233"/>
      <c r="F651" s="6"/>
      <c r="G651" s="6"/>
      <c r="H651" s="6"/>
    </row>
    <row r="652" spans="2:8" x14ac:dyDescent="0.3">
      <c r="B652" s="6"/>
      <c r="C652" s="6"/>
      <c r="D652" s="6"/>
      <c r="E652" s="233"/>
      <c r="F652" s="6"/>
      <c r="G652" s="6"/>
      <c r="H652" s="6"/>
    </row>
    <row r="653" spans="2:8" x14ac:dyDescent="0.3">
      <c r="B653" s="6"/>
      <c r="C653" s="6"/>
      <c r="D653" s="6"/>
      <c r="E653" s="233"/>
      <c r="F653" s="6"/>
      <c r="G653" s="6"/>
      <c r="H653" s="6"/>
    </row>
    <row r="654" spans="2:8" x14ac:dyDescent="0.3">
      <c r="B654" s="6"/>
      <c r="C654" s="6"/>
      <c r="D654" s="6"/>
      <c r="E654" s="233"/>
      <c r="F654" s="6"/>
      <c r="G654" s="6"/>
      <c r="H654" s="6"/>
    </row>
    <row r="655" spans="2:8" x14ac:dyDescent="0.3">
      <c r="B655" s="6"/>
      <c r="C655" s="6"/>
      <c r="D655" s="6"/>
      <c r="E655" s="233"/>
      <c r="F655" s="6"/>
      <c r="G655" s="6"/>
      <c r="H655" s="6"/>
    </row>
    <row r="656" spans="2:8" x14ac:dyDescent="0.3">
      <c r="B656" s="6"/>
      <c r="C656" s="6"/>
      <c r="D656" s="6"/>
      <c r="E656" s="233"/>
      <c r="F656" s="6"/>
      <c r="G656" s="6"/>
      <c r="H656" s="6"/>
    </row>
    <row r="657" spans="2:8" x14ac:dyDescent="0.3">
      <c r="B657" s="6"/>
      <c r="C657" s="6"/>
      <c r="D657" s="6"/>
      <c r="E657" s="233"/>
      <c r="F657" s="6"/>
      <c r="G657" s="6"/>
      <c r="H657" s="6"/>
    </row>
    <row r="658" spans="2:8" x14ac:dyDescent="0.3">
      <c r="B658" s="6"/>
      <c r="C658" s="6"/>
      <c r="D658" s="6"/>
      <c r="E658" s="233"/>
      <c r="F658" s="6"/>
      <c r="G658" s="6"/>
      <c r="H658" s="6"/>
    </row>
    <row r="659" spans="2:8" x14ac:dyDescent="0.3">
      <c r="B659" s="6"/>
      <c r="C659" s="6"/>
      <c r="D659" s="6"/>
      <c r="E659" s="233"/>
      <c r="F659" s="6"/>
      <c r="G659" s="6"/>
      <c r="H659" s="6"/>
    </row>
    <row r="660" spans="2:8" x14ac:dyDescent="0.3">
      <c r="B660" s="6"/>
      <c r="C660" s="6"/>
      <c r="D660" s="6"/>
      <c r="E660" s="233"/>
      <c r="F660" s="6"/>
      <c r="G660" s="6"/>
      <c r="H660" s="6"/>
    </row>
    <row r="661" spans="2:8" x14ac:dyDescent="0.3">
      <c r="B661" s="6"/>
      <c r="C661" s="6"/>
      <c r="D661" s="6"/>
      <c r="E661" s="233"/>
      <c r="F661" s="6"/>
      <c r="G661" s="6"/>
      <c r="H661" s="6"/>
    </row>
    <row r="662" spans="2:8" x14ac:dyDescent="0.3">
      <c r="B662" s="6"/>
      <c r="C662" s="6"/>
      <c r="D662" s="6"/>
      <c r="E662" s="233"/>
      <c r="F662" s="6"/>
      <c r="G662" s="6"/>
      <c r="H662" s="6"/>
    </row>
    <row r="663" spans="2:8" x14ac:dyDescent="0.3">
      <c r="B663" s="6"/>
      <c r="C663" s="6"/>
      <c r="D663" s="6"/>
      <c r="E663" s="233"/>
      <c r="F663" s="6"/>
      <c r="G663" s="6"/>
      <c r="H663" s="6"/>
    </row>
    <row r="664" spans="2:8" x14ac:dyDescent="0.3">
      <c r="B664" s="6"/>
      <c r="C664" s="6"/>
      <c r="D664" s="6"/>
      <c r="E664" s="233"/>
      <c r="F664" s="6"/>
      <c r="G664" s="6"/>
      <c r="H664" s="6"/>
    </row>
    <row r="665" spans="2:8" x14ac:dyDescent="0.3">
      <c r="B665" s="6"/>
      <c r="C665" s="6"/>
      <c r="D665" s="6"/>
      <c r="E665" s="233"/>
      <c r="F665" s="6"/>
      <c r="G665" s="6"/>
      <c r="H665" s="6"/>
    </row>
    <row r="666" spans="2:8" x14ac:dyDescent="0.3">
      <c r="B666" s="6"/>
      <c r="C666" s="6"/>
      <c r="D666" s="6"/>
      <c r="E666" s="233"/>
      <c r="F666" s="6"/>
      <c r="G666" s="6"/>
      <c r="H666" s="6"/>
    </row>
    <row r="667" spans="2:8" x14ac:dyDescent="0.3">
      <c r="B667" s="6"/>
      <c r="C667" s="6"/>
      <c r="D667" s="6"/>
      <c r="E667" s="233"/>
      <c r="F667" s="6"/>
      <c r="G667" s="6"/>
      <c r="H667" s="6"/>
    </row>
    <row r="668" spans="2:8" x14ac:dyDescent="0.3">
      <c r="B668" s="6"/>
      <c r="C668" s="6"/>
      <c r="D668" s="6"/>
      <c r="E668" s="233"/>
      <c r="F668" s="6"/>
      <c r="G668" s="6"/>
      <c r="H668" s="6"/>
    </row>
    <row r="669" spans="2:8" x14ac:dyDescent="0.3">
      <c r="B669" s="6"/>
      <c r="C669" s="6"/>
      <c r="D669" s="6"/>
      <c r="E669" s="233"/>
      <c r="F669" s="6"/>
      <c r="G669" s="6"/>
      <c r="H669" s="6"/>
    </row>
    <row r="670" spans="2:8" x14ac:dyDescent="0.3">
      <c r="B670" s="6"/>
      <c r="C670" s="6"/>
      <c r="D670" s="6"/>
      <c r="E670" s="233"/>
      <c r="F670" s="6"/>
      <c r="G670" s="6"/>
      <c r="H670" s="6"/>
    </row>
    <row r="671" spans="2:8" x14ac:dyDescent="0.3">
      <c r="B671" s="6"/>
      <c r="C671" s="6"/>
      <c r="D671" s="6"/>
      <c r="E671" s="233"/>
      <c r="F671" s="6"/>
      <c r="G671" s="6"/>
      <c r="H671" s="6"/>
    </row>
    <row r="672" spans="2:8" x14ac:dyDescent="0.3">
      <c r="B672" s="6"/>
      <c r="C672" s="6"/>
      <c r="D672" s="6"/>
      <c r="E672" s="233"/>
      <c r="F672" s="6"/>
      <c r="G672" s="6"/>
      <c r="H672" s="6"/>
    </row>
    <row r="673" spans="2:8" x14ac:dyDescent="0.3">
      <c r="B673" s="6"/>
      <c r="C673" s="6"/>
      <c r="D673" s="6"/>
      <c r="E673" s="233"/>
      <c r="F673" s="6"/>
      <c r="G673" s="6"/>
      <c r="H673" s="6"/>
    </row>
    <row r="674" spans="2:8" x14ac:dyDescent="0.3">
      <c r="B674" s="6"/>
      <c r="C674" s="6"/>
      <c r="D674" s="6"/>
      <c r="E674" s="233"/>
      <c r="F674" s="6"/>
      <c r="G674" s="6"/>
      <c r="H674" s="6"/>
    </row>
    <row r="675" spans="2:8" x14ac:dyDescent="0.3">
      <c r="B675" s="6"/>
      <c r="C675" s="6"/>
      <c r="D675" s="6"/>
      <c r="E675" s="233"/>
      <c r="F675" s="6"/>
      <c r="G675" s="6"/>
      <c r="H675" s="6"/>
    </row>
    <row r="676" spans="2:8" x14ac:dyDescent="0.3">
      <c r="B676" s="6"/>
      <c r="C676" s="6"/>
      <c r="D676" s="6"/>
      <c r="E676" s="233"/>
      <c r="F676" s="6"/>
      <c r="G676" s="6"/>
      <c r="H676" s="6"/>
    </row>
    <row r="677" spans="2:8" x14ac:dyDescent="0.3">
      <c r="B677" s="6"/>
      <c r="C677" s="6"/>
      <c r="D677" s="6"/>
      <c r="E677" s="233"/>
      <c r="F677" s="6"/>
      <c r="G677" s="6"/>
      <c r="H677" s="6"/>
    </row>
    <row r="678" spans="2:8" x14ac:dyDescent="0.3">
      <c r="B678" s="6"/>
      <c r="C678" s="6"/>
      <c r="D678" s="6"/>
      <c r="E678" s="233"/>
      <c r="F678" s="6"/>
      <c r="G678" s="6"/>
      <c r="H678" s="6"/>
    </row>
    <row r="679" spans="2:8" x14ac:dyDescent="0.3">
      <c r="B679" s="6"/>
      <c r="C679" s="6"/>
      <c r="D679" s="6"/>
      <c r="E679" s="233"/>
      <c r="F679" s="6"/>
      <c r="G679" s="6"/>
      <c r="H679" s="6"/>
    </row>
    <row r="680" spans="2:8" x14ac:dyDescent="0.3">
      <c r="B680" s="6"/>
      <c r="C680" s="6"/>
      <c r="D680" s="6"/>
      <c r="E680" s="233"/>
      <c r="F680" s="6"/>
      <c r="G680" s="6"/>
      <c r="H680" s="6"/>
    </row>
    <row r="681" spans="2:8" x14ac:dyDescent="0.3">
      <c r="B681" s="6"/>
      <c r="C681" s="6"/>
      <c r="D681" s="6"/>
      <c r="E681" s="233"/>
      <c r="F681" s="6"/>
      <c r="G681" s="6"/>
      <c r="H681" s="6"/>
    </row>
    <row r="682" spans="2:8" x14ac:dyDescent="0.3">
      <c r="B682" s="6"/>
      <c r="C682" s="6"/>
      <c r="D682" s="6"/>
      <c r="E682" s="233"/>
      <c r="F682" s="6"/>
      <c r="G682" s="6"/>
      <c r="H682" s="6"/>
    </row>
    <row r="683" spans="2:8" x14ac:dyDescent="0.3">
      <c r="B683" s="6"/>
      <c r="C683" s="6"/>
      <c r="D683" s="6"/>
      <c r="E683" s="233"/>
      <c r="F683" s="6"/>
      <c r="G683" s="6"/>
      <c r="H683" s="6"/>
    </row>
    <row r="684" spans="2:8" x14ac:dyDescent="0.3">
      <c r="B684" s="6"/>
      <c r="C684" s="6"/>
      <c r="D684" s="6"/>
      <c r="E684" s="233"/>
      <c r="F684" s="6"/>
      <c r="G684" s="6"/>
      <c r="H684" s="6"/>
    </row>
    <row r="685" spans="2:8" x14ac:dyDescent="0.3">
      <c r="B685" s="6"/>
      <c r="C685" s="6"/>
      <c r="D685" s="6"/>
      <c r="E685" s="233"/>
      <c r="F685" s="6"/>
      <c r="G685" s="6"/>
      <c r="H685" s="6"/>
    </row>
    <row r="686" spans="2:8" x14ac:dyDescent="0.3">
      <c r="B686" s="6"/>
      <c r="C686" s="6"/>
      <c r="D686" s="6"/>
      <c r="E686" s="233"/>
      <c r="F686" s="6"/>
      <c r="G686" s="6"/>
      <c r="H686" s="6"/>
    </row>
    <row r="687" spans="2:8" x14ac:dyDescent="0.3">
      <c r="B687" s="6"/>
      <c r="C687" s="6"/>
      <c r="D687" s="6"/>
      <c r="E687" s="233"/>
      <c r="F687" s="6"/>
      <c r="G687" s="6"/>
      <c r="H687" s="6"/>
    </row>
    <row r="688" spans="2:8" x14ac:dyDescent="0.3">
      <c r="B688" s="6"/>
      <c r="C688" s="6"/>
      <c r="D688" s="6"/>
      <c r="E688" s="233"/>
      <c r="F688" s="6"/>
      <c r="G688" s="6"/>
      <c r="H688" s="6"/>
    </row>
    <row r="689" spans="2:8" x14ac:dyDescent="0.3">
      <c r="B689" s="6"/>
      <c r="C689" s="6"/>
      <c r="D689" s="6"/>
      <c r="E689" s="233"/>
      <c r="F689" s="6"/>
      <c r="G689" s="6"/>
      <c r="H689" s="6"/>
    </row>
    <row r="690" spans="2:8" x14ac:dyDescent="0.3">
      <c r="B690" s="6"/>
      <c r="C690" s="6"/>
      <c r="D690" s="6"/>
      <c r="E690" s="233"/>
      <c r="F690" s="6"/>
      <c r="G690" s="6"/>
      <c r="H690" s="6"/>
    </row>
    <row r="691" spans="2:8" x14ac:dyDescent="0.3">
      <c r="B691" s="6"/>
      <c r="C691" s="6"/>
      <c r="D691" s="6"/>
      <c r="E691" s="233"/>
      <c r="F691" s="6"/>
      <c r="G691" s="6"/>
      <c r="H691" s="6"/>
    </row>
    <row r="692" spans="2:8" x14ac:dyDescent="0.3">
      <c r="B692" s="6"/>
      <c r="C692" s="6"/>
      <c r="D692" s="6"/>
      <c r="E692" s="233"/>
      <c r="F692" s="6"/>
      <c r="G692" s="6"/>
      <c r="H692" s="6"/>
    </row>
    <row r="693" spans="2:8" x14ac:dyDescent="0.3">
      <c r="B693" s="6"/>
      <c r="C693" s="6"/>
      <c r="D693" s="6"/>
      <c r="E693" s="233"/>
      <c r="F693" s="6"/>
      <c r="G693" s="6"/>
      <c r="H693" s="6"/>
    </row>
    <row r="694" spans="2:8" x14ac:dyDescent="0.3">
      <c r="B694" s="6"/>
      <c r="C694" s="6"/>
      <c r="D694" s="6"/>
      <c r="E694" s="233"/>
      <c r="F694" s="6"/>
      <c r="G694" s="6"/>
      <c r="H694" s="6"/>
    </row>
    <row r="695" spans="2:8" x14ac:dyDescent="0.3">
      <c r="B695" s="6"/>
      <c r="C695" s="6"/>
      <c r="D695" s="6"/>
      <c r="E695" s="233"/>
      <c r="F695" s="6"/>
      <c r="G695" s="6"/>
      <c r="H695" s="6"/>
    </row>
    <row r="696" spans="2:8" x14ac:dyDescent="0.3">
      <c r="B696" s="6"/>
      <c r="C696" s="6"/>
      <c r="D696" s="6"/>
      <c r="E696" s="233"/>
      <c r="F696" s="6"/>
      <c r="G696" s="6"/>
      <c r="H696" s="6"/>
    </row>
    <row r="697" spans="2:8" x14ac:dyDescent="0.3">
      <c r="B697" s="6"/>
      <c r="C697" s="6"/>
      <c r="D697" s="6"/>
      <c r="E697" s="233"/>
      <c r="F697" s="6"/>
      <c r="G697" s="6"/>
      <c r="H697" s="6"/>
    </row>
    <row r="698" spans="2:8" x14ac:dyDescent="0.3">
      <c r="B698" s="6"/>
      <c r="C698" s="6"/>
      <c r="D698" s="6"/>
      <c r="E698" s="233"/>
      <c r="F698" s="6"/>
      <c r="G698" s="6"/>
      <c r="H698" s="6"/>
    </row>
    <row r="699" spans="2:8" x14ac:dyDescent="0.3">
      <c r="B699" s="6"/>
      <c r="C699" s="6"/>
      <c r="D699" s="6"/>
      <c r="E699" s="233"/>
      <c r="F699" s="6"/>
      <c r="G699" s="6"/>
      <c r="H699" s="6"/>
    </row>
    <row r="700" spans="2:8" x14ac:dyDescent="0.3">
      <c r="B700" s="6"/>
      <c r="C700" s="6"/>
      <c r="D700" s="6"/>
      <c r="E700" s="233"/>
      <c r="F700" s="6"/>
      <c r="G700" s="6"/>
      <c r="H700" s="6"/>
    </row>
    <row r="701" spans="2:8" x14ac:dyDescent="0.3">
      <c r="B701" s="6"/>
      <c r="C701" s="6"/>
      <c r="D701" s="6"/>
      <c r="E701" s="233"/>
      <c r="F701" s="6"/>
      <c r="G701" s="6"/>
      <c r="H701" s="6"/>
    </row>
    <row r="702" spans="2:8" x14ac:dyDescent="0.3">
      <c r="B702" s="6"/>
      <c r="C702" s="6"/>
      <c r="D702" s="6"/>
      <c r="E702" s="233"/>
      <c r="F702" s="6"/>
      <c r="G702" s="6"/>
      <c r="H702" s="6"/>
    </row>
    <row r="703" spans="2:8" x14ac:dyDescent="0.3">
      <c r="B703" s="6"/>
      <c r="C703" s="6"/>
      <c r="D703" s="6"/>
      <c r="E703" s="233"/>
      <c r="F703" s="6"/>
      <c r="G703" s="6"/>
      <c r="H703" s="6"/>
    </row>
    <row r="704" spans="2:8" x14ac:dyDescent="0.3">
      <c r="B704" s="6"/>
      <c r="C704" s="6"/>
      <c r="D704" s="6"/>
      <c r="E704" s="233"/>
      <c r="F704" s="6"/>
      <c r="G704" s="6"/>
      <c r="H704" s="6"/>
    </row>
    <row r="705" spans="2:8" x14ac:dyDescent="0.3">
      <c r="B705" s="6"/>
      <c r="C705" s="6"/>
      <c r="D705" s="6"/>
      <c r="E705" s="233"/>
      <c r="F705" s="6"/>
      <c r="G705" s="6"/>
      <c r="H705" s="6"/>
    </row>
    <row r="706" spans="2:8" x14ac:dyDescent="0.3">
      <c r="B706" s="6"/>
      <c r="C706" s="6"/>
      <c r="D706" s="6"/>
      <c r="E706" s="233"/>
      <c r="F706" s="6"/>
      <c r="G706" s="6"/>
      <c r="H706" s="6"/>
    </row>
    <row r="707" spans="2:8" x14ac:dyDescent="0.3">
      <c r="B707" s="6"/>
      <c r="C707" s="6"/>
      <c r="D707" s="6"/>
      <c r="E707" s="233"/>
      <c r="F707" s="6"/>
      <c r="G707" s="6"/>
      <c r="H707" s="6"/>
    </row>
    <row r="708" spans="2:8" x14ac:dyDescent="0.3">
      <c r="B708" s="6"/>
      <c r="C708" s="6"/>
      <c r="D708" s="6"/>
      <c r="E708" s="233"/>
      <c r="F708" s="6"/>
      <c r="G708" s="6"/>
      <c r="H708" s="6"/>
    </row>
    <row r="709" spans="2:8" x14ac:dyDescent="0.3">
      <c r="B709" s="6"/>
      <c r="C709" s="6"/>
      <c r="D709" s="6"/>
      <c r="E709" s="233"/>
      <c r="F709" s="6"/>
      <c r="G709" s="6"/>
      <c r="H709" s="6"/>
    </row>
    <row r="710" spans="2:8" x14ac:dyDescent="0.3">
      <c r="B710" s="6"/>
      <c r="C710" s="6"/>
      <c r="D710" s="6"/>
      <c r="E710" s="233"/>
      <c r="F710" s="6"/>
      <c r="G710" s="6"/>
      <c r="H710" s="6"/>
    </row>
    <row r="711" spans="2:8" x14ac:dyDescent="0.3">
      <c r="B711" s="6"/>
      <c r="C711" s="6"/>
      <c r="D711" s="6"/>
      <c r="E711" s="233"/>
      <c r="F711" s="6"/>
      <c r="G711" s="6"/>
      <c r="H711" s="6"/>
    </row>
    <row r="712" spans="2:8" x14ac:dyDescent="0.3">
      <c r="B712" s="6"/>
      <c r="C712" s="6"/>
      <c r="D712" s="6"/>
      <c r="E712" s="233"/>
      <c r="F712" s="6"/>
      <c r="G712" s="6"/>
      <c r="H712" s="6"/>
    </row>
    <row r="713" spans="2:8" x14ac:dyDescent="0.3">
      <c r="B713" s="6"/>
      <c r="C713" s="6"/>
      <c r="D713" s="6"/>
      <c r="E713" s="233"/>
      <c r="F713" s="6"/>
      <c r="G713" s="6"/>
      <c r="H713" s="6"/>
    </row>
    <row r="714" spans="2:8" x14ac:dyDescent="0.3">
      <c r="B714" s="6"/>
      <c r="C714" s="6"/>
      <c r="D714" s="6"/>
      <c r="E714" s="233"/>
      <c r="F714" s="6"/>
      <c r="G714" s="6"/>
      <c r="H714" s="6"/>
    </row>
    <row r="715" spans="2:8" x14ac:dyDescent="0.3">
      <c r="B715" s="6"/>
      <c r="C715" s="6"/>
      <c r="D715" s="6"/>
      <c r="E715" s="233"/>
      <c r="F715" s="6"/>
      <c r="G715" s="6"/>
      <c r="H715" s="6"/>
    </row>
    <row r="716" spans="2:8" x14ac:dyDescent="0.3">
      <c r="B716" s="6"/>
      <c r="C716" s="6"/>
      <c r="D716" s="6"/>
      <c r="E716" s="233"/>
      <c r="F716" s="6"/>
      <c r="G716" s="6"/>
      <c r="H716" s="6"/>
    </row>
    <row r="717" spans="2:8" x14ac:dyDescent="0.3">
      <c r="B717" s="6"/>
      <c r="C717" s="6"/>
      <c r="D717" s="6"/>
      <c r="E717" s="233"/>
      <c r="F717" s="6"/>
      <c r="G717" s="6"/>
      <c r="H717" s="6"/>
    </row>
    <row r="718" spans="2:8" x14ac:dyDescent="0.3">
      <c r="B718" s="6"/>
      <c r="C718" s="6"/>
      <c r="D718" s="6"/>
      <c r="E718" s="233"/>
      <c r="F718" s="6"/>
      <c r="G718" s="6"/>
      <c r="H718" s="6"/>
    </row>
    <row r="719" spans="2:8" x14ac:dyDescent="0.3">
      <c r="B719" s="6"/>
      <c r="C719" s="6"/>
      <c r="D719" s="6"/>
      <c r="E719" s="233"/>
      <c r="F719" s="6"/>
      <c r="G719" s="6"/>
      <c r="H719" s="6"/>
    </row>
    <row r="720" spans="2:8" x14ac:dyDescent="0.3">
      <c r="B720" s="6"/>
      <c r="C720" s="6"/>
      <c r="D720" s="6"/>
      <c r="E720" s="233"/>
      <c r="F720" s="6"/>
      <c r="G720" s="6"/>
      <c r="H720" s="6"/>
    </row>
    <row r="721" spans="2:8" x14ac:dyDescent="0.3">
      <c r="B721" s="6"/>
      <c r="C721" s="6"/>
      <c r="D721" s="6"/>
      <c r="E721" s="233"/>
      <c r="F721" s="6"/>
      <c r="G721" s="6"/>
      <c r="H721" s="6"/>
    </row>
    <row r="722" spans="2:8" x14ac:dyDescent="0.3">
      <c r="B722" s="6"/>
      <c r="C722" s="6"/>
      <c r="D722" s="6"/>
      <c r="E722" s="233"/>
      <c r="F722" s="6"/>
      <c r="G722" s="6"/>
      <c r="H722" s="6"/>
    </row>
    <row r="723" spans="2:8" x14ac:dyDescent="0.3">
      <c r="B723" s="6"/>
      <c r="C723" s="6"/>
      <c r="D723" s="6"/>
      <c r="E723" s="233"/>
      <c r="F723" s="6"/>
      <c r="G723" s="6"/>
      <c r="H723" s="6"/>
    </row>
    <row r="724" spans="2:8" x14ac:dyDescent="0.3">
      <c r="B724" s="6"/>
      <c r="C724" s="6"/>
      <c r="D724" s="6"/>
      <c r="E724" s="233"/>
      <c r="F724" s="6"/>
      <c r="G724" s="6"/>
      <c r="H724" s="6"/>
    </row>
    <row r="725" spans="2:8" x14ac:dyDescent="0.3">
      <c r="B725" s="6"/>
      <c r="C725" s="6"/>
      <c r="D725" s="6"/>
      <c r="E725" s="233"/>
      <c r="F725" s="6"/>
      <c r="G725" s="6"/>
      <c r="H725" s="6"/>
    </row>
    <row r="726" spans="2:8" x14ac:dyDescent="0.3">
      <c r="B726" s="6"/>
      <c r="C726" s="6"/>
      <c r="D726" s="6"/>
      <c r="E726" s="233"/>
      <c r="F726" s="6"/>
      <c r="G726" s="6"/>
      <c r="H726" s="6"/>
    </row>
    <row r="727" spans="2:8" x14ac:dyDescent="0.3">
      <c r="B727" s="6"/>
      <c r="C727" s="6"/>
      <c r="D727" s="6"/>
      <c r="E727" s="233"/>
      <c r="F727" s="6"/>
      <c r="G727" s="6"/>
      <c r="H727" s="6"/>
    </row>
    <row r="728" spans="2:8" x14ac:dyDescent="0.3">
      <c r="B728" s="6"/>
      <c r="C728" s="6"/>
      <c r="D728" s="6"/>
      <c r="E728" s="233"/>
      <c r="F728" s="6"/>
      <c r="G728" s="6"/>
      <c r="H728" s="6"/>
    </row>
    <row r="729" spans="2:8" x14ac:dyDescent="0.3">
      <c r="B729" s="6"/>
      <c r="C729" s="6"/>
      <c r="D729" s="6"/>
      <c r="E729" s="233"/>
      <c r="F729" s="6"/>
      <c r="G729" s="6"/>
      <c r="H729" s="6"/>
    </row>
    <row r="730" spans="2:8" x14ac:dyDescent="0.3">
      <c r="B730" s="6"/>
      <c r="C730" s="6"/>
      <c r="D730" s="6"/>
      <c r="E730" s="233"/>
      <c r="F730" s="6"/>
      <c r="G730" s="6"/>
      <c r="H730" s="6"/>
    </row>
    <row r="731" spans="2:8" x14ac:dyDescent="0.3">
      <c r="B731" s="6"/>
      <c r="C731" s="6"/>
      <c r="D731" s="6"/>
      <c r="E731" s="233"/>
      <c r="F731" s="6"/>
      <c r="G731" s="6"/>
      <c r="H731" s="6"/>
    </row>
    <row r="732" spans="2:8" x14ac:dyDescent="0.3">
      <c r="B732" s="6"/>
      <c r="C732" s="6"/>
      <c r="D732" s="6"/>
      <c r="E732" s="233"/>
      <c r="F732" s="6"/>
      <c r="G732" s="6"/>
      <c r="H732" s="6"/>
    </row>
    <row r="733" spans="2:8" x14ac:dyDescent="0.3">
      <c r="B733" s="6"/>
      <c r="C733" s="6"/>
      <c r="D733" s="6"/>
      <c r="E733" s="233"/>
      <c r="F733" s="6"/>
      <c r="G733" s="6"/>
      <c r="H733" s="6"/>
    </row>
    <row r="734" spans="2:8" x14ac:dyDescent="0.3">
      <c r="B734" s="6"/>
      <c r="C734" s="6"/>
      <c r="D734" s="6"/>
      <c r="E734" s="233"/>
      <c r="F734" s="6"/>
      <c r="G734" s="6"/>
      <c r="H734" s="6"/>
    </row>
    <row r="735" spans="2:8" x14ac:dyDescent="0.3">
      <c r="B735" s="6"/>
      <c r="C735" s="6"/>
      <c r="D735" s="6"/>
      <c r="E735" s="233"/>
      <c r="F735" s="6"/>
      <c r="G735" s="6"/>
      <c r="H735" s="6"/>
    </row>
    <row r="736" spans="2:8" x14ac:dyDescent="0.3">
      <c r="B736" s="6"/>
      <c r="C736" s="6"/>
      <c r="D736" s="6"/>
      <c r="E736" s="233"/>
      <c r="F736" s="6"/>
      <c r="G736" s="6"/>
      <c r="H736" s="6"/>
    </row>
    <row r="737" spans="2:8" x14ac:dyDescent="0.3">
      <c r="B737" s="6"/>
      <c r="C737" s="6"/>
      <c r="D737" s="6"/>
      <c r="E737" s="233"/>
      <c r="F737" s="6"/>
      <c r="G737" s="6"/>
      <c r="H737" s="6"/>
    </row>
    <row r="738" spans="2:8" x14ac:dyDescent="0.3">
      <c r="B738" s="6"/>
      <c r="C738" s="6"/>
      <c r="D738" s="6"/>
      <c r="E738" s="233"/>
      <c r="F738" s="6"/>
      <c r="G738" s="6"/>
      <c r="H738" s="6"/>
    </row>
    <row r="739" spans="2:8" x14ac:dyDescent="0.3">
      <c r="B739" s="6"/>
      <c r="C739" s="6"/>
      <c r="D739" s="6"/>
      <c r="E739" s="233"/>
      <c r="F739" s="6"/>
      <c r="G739" s="6"/>
      <c r="H739" s="6"/>
    </row>
    <row r="740" spans="2:8" x14ac:dyDescent="0.3">
      <c r="B740" s="6"/>
      <c r="C740" s="6"/>
      <c r="D740" s="6"/>
      <c r="E740" s="233"/>
      <c r="F740" s="6"/>
      <c r="G740" s="6"/>
      <c r="H740" s="6"/>
    </row>
    <row r="741" spans="2:8" x14ac:dyDescent="0.3">
      <c r="B741" s="6"/>
      <c r="C741" s="6"/>
      <c r="D741" s="6"/>
      <c r="E741" s="233"/>
      <c r="F741" s="6"/>
      <c r="G741" s="6"/>
      <c r="H741" s="6"/>
    </row>
    <row r="742" spans="2:8" x14ac:dyDescent="0.3">
      <c r="B742" s="6"/>
      <c r="C742" s="6"/>
      <c r="D742" s="6"/>
      <c r="E742" s="233"/>
      <c r="F742" s="6"/>
      <c r="G742" s="6"/>
      <c r="H742" s="6"/>
    </row>
    <row r="743" spans="2:8" x14ac:dyDescent="0.3">
      <c r="B743" s="6"/>
      <c r="C743" s="6"/>
      <c r="D743" s="6"/>
      <c r="E743" s="233"/>
      <c r="F743" s="6"/>
      <c r="G743" s="6"/>
      <c r="H743" s="6"/>
    </row>
    <row r="744" spans="2:8" x14ac:dyDescent="0.3">
      <c r="B744" s="6"/>
      <c r="C744" s="6"/>
      <c r="D744" s="6"/>
      <c r="E744" s="233"/>
      <c r="F744" s="6"/>
      <c r="G744" s="6"/>
      <c r="H744" s="6"/>
    </row>
    <row r="745" spans="2:8" x14ac:dyDescent="0.3">
      <c r="B745" s="6"/>
      <c r="C745" s="6"/>
      <c r="D745" s="6"/>
      <c r="E745" s="233"/>
      <c r="F745" s="6"/>
      <c r="G745" s="6"/>
      <c r="H745" s="6"/>
    </row>
    <row r="746" spans="2:8" x14ac:dyDescent="0.3">
      <c r="B746" s="6"/>
      <c r="C746" s="6"/>
      <c r="D746" s="6"/>
      <c r="E746" s="233"/>
      <c r="F746" s="6"/>
      <c r="G746" s="6"/>
      <c r="H746" s="6"/>
    </row>
    <row r="747" spans="2:8" x14ac:dyDescent="0.3">
      <c r="B747" s="6"/>
      <c r="C747" s="6"/>
      <c r="D747" s="6"/>
      <c r="E747" s="233"/>
      <c r="F747" s="6"/>
      <c r="G747" s="6"/>
      <c r="H747" s="6"/>
    </row>
    <row r="748" spans="2:8" x14ac:dyDescent="0.3">
      <c r="B748" s="6"/>
      <c r="C748" s="6"/>
      <c r="D748" s="6"/>
      <c r="E748" s="233"/>
      <c r="F748" s="6"/>
      <c r="G748" s="6"/>
      <c r="H748" s="6"/>
    </row>
    <row r="749" spans="2:8" x14ac:dyDescent="0.3">
      <c r="B749" s="6"/>
      <c r="C749" s="6"/>
      <c r="D749" s="6"/>
      <c r="E749" s="233"/>
      <c r="F749" s="6"/>
      <c r="G749" s="6"/>
      <c r="H749" s="6"/>
    </row>
    <row r="750" spans="2:8" x14ac:dyDescent="0.3">
      <c r="B750" s="6"/>
      <c r="C750" s="6"/>
      <c r="D750" s="6"/>
      <c r="E750" s="233"/>
      <c r="F750" s="6"/>
      <c r="G750" s="6"/>
      <c r="H750" s="6"/>
    </row>
    <row r="751" spans="2:8" x14ac:dyDescent="0.3">
      <c r="B751" s="6"/>
      <c r="C751" s="6"/>
      <c r="D751" s="6"/>
      <c r="E751" s="233"/>
      <c r="F751" s="6"/>
      <c r="G751" s="6"/>
      <c r="H751" s="6"/>
    </row>
    <row r="752" spans="2:8" x14ac:dyDescent="0.3">
      <c r="B752" s="6"/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15">
    <mergeCell ref="C148:C156"/>
    <mergeCell ref="C130:C147"/>
    <mergeCell ref="T2:V2"/>
    <mergeCell ref="C52:C60"/>
    <mergeCell ref="C37:C48"/>
    <mergeCell ref="C67:C75"/>
    <mergeCell ref="C4:C15"/>
    <mergeCell ref="C16:C24"/>
    <mergeCell ref="C25:C36"/>
    <mergeCell ref="C61:C66"/>
    <mergeCell ref="C121:C129"/>
    <mergeCell ref="C88:C99"/>
    <mergeCell ref="C76:C87"/>
    <mergeCell ref="B2:H2"/>
    <mergeCell ref="C100:C120"/>
  </mergeCells>
  <phoneticPr fontId="91" type="noConversion"/>
  <pageMargins left="0.7" right="0.7" top="0.75" bottom="0.75" header="0.3" footer="0.3"/>
  <pageSetup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79"/>
  <sheetViews>
    <sheetView tabSelected="1" zoomScale="98" zoomScaleNormal="70" workbookViewId="0">
      <pane ySplit="4" topLeftCell="A64" activePane="bottomLeft" state="frozen"/>
      <selection pane="bottomLeft" activeCell="E75" sqref="E75"/>
    </sheetView>
  </sheetViews>
  <sheetFormatPr defaultColWidth="8.77734375" defaultRowHeight="14.4" x14ac:dyDescent="0.3"/>
  <cols>
    <col min="1" max="3" width="8.77734375" style="1"/>
    <col min="4" max="4" width="11.5546875" style="12" bestFit="1" customWidth="1"/>
    <col min="5" max="5" width="11.33203125" style="12" bestFit="1" customWidth="1"/>
    <col min="6" max="6" width="10.3320312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348" t="s">
        <v>63</v>
      </c>
      <c r="B3" s="1349"/>
      <c r="C3" s="1349"/>
      <c r="D3" s="1349"/>
      <c r="E3" s="1349"/>
      <c r="F3" s="1349"/>
      <c r="G3" s="1349"/>
      <c r="H3" s="1349"/>
      <c r="I3" s="1349"/>
      <c r="J3" s="1349"/>
      <c r="K3" s="1349"/>
      <c r="L3" s="1349"/>
    </row>
    <row r="4" spans="1:36" ht="28.8" x14ac:dyDescent="0.3">
      <c r="A4" s="1350" t="s">
        <v>0</v>
      </c>
      <c r="B4" s="1350"/>
      <c r="C4" s="899" t="s">
        <v>26</v>
      </c>
      <c r="D4" s="899" t="s">
        <v>1</v>
      </c>
      <c r="E4" s="899" t="s">
        <v>60</v>
      </c>
      <c r="F4" s="899" t="s">
        <v>61</v>
      </c>
      <c r="G4" s="899" t="s">
        <v>62</v>
      </c>
      <c r="H4" s="899" t="s">
        <v>64</v>
      </c>
      <c r="I4" s="899" t="s">
        <v>544</v>
      </c>
      <c r="J4" s="905" t="s">
        <v>596</v>
      </c>
      <c r="K4" s="899" t="s">
        <v>597</v>
      </c>
      <c r="L4" s="899" t="s">
        <v>625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298</v>
      </c>
      <c r="T4" s="131" t="s">
        <v>64</v>
      </c>
    </row>
    <row r="5" spans="1:36" ht="43.8" thickBot="1" x14ac:dyDescent="0.35">
      <c r="A5" s="1332">
        <v>46265</v>
      </c>
      <c r="B5" s="1333"/>
      <c r="C5" s="906" t="s">
        <v>12</v>
      </c>
      <c r="D5" s="900" t="s">
        <v>169</v>
      </c>
      <c r="E5" s="901">
        <v>6.9444444444444447E-4</v>
      </c>
      <c r="F5" s="738">
        <v>6.5972222222222224E-2</v>
      </c>
      <c r="G5" s="739">
        <f>(F5-E5)*1440</f>
        <v>94</v>
      </c>
      <c r="H5" s="902" t="s">
        <v>446</v>
      </c>
      <c r="I5" s="1212">
        <v>1</v>
      </c>
      <c r="J5" s="903">
        <f>(720-G5)/60</f>
        <v>10.433333333333334</v>
      </c>
      <c r="K5" s="904">
        <f>J5/12</f>
        <v>0.86944444444444446</v>
      </c>
      <c r="L5" s="1330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324">
        <v>46265</v>
      </c>
      <c r="B6" s="1325"/>
      <c r="C6" s="769" t="s">
        <v>13</v>
      </c>
      <c r="D6" s="592"/>
      <c r="E6" s="586"/>
      <c r="F6" s="501"/>
      <c r="G6" s="502">
        <f>(F6-E6)*1440</f>
        <v>0</v>
      </c>
      <c r="H6" s="587"/>
      <c r="I6" s="1212"/>
      <c r="J6" s="809">
        <f>(720-G6)/60</f>
        <v>12</v>
      </c>
      <c r="K6" s="812">
        <f t="shared" ref="K6:K8" si="1">J6/12</f>
        <v>1</v>
      </c>
      <c r="L6" s="1330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51">
        <f>Q59</f>
        <v>438.86666666666662</v>
      </c>
      <c r="AI6" s="952">
        <f>S59</f>
        <v>245.46666666666667</v>
      </c>
      <c r="AJ6" s="953">
        <f>R59</f>
        <v>0.64130540672187042</v>
      </c>
    </row>
    <row r="7" spans="1:36" ht="44.4" customHeight="1" thickBot="1" x14ac:dyDescent="0.45">
      <c r="A7" s="1324">
        <v>46266</v>
      </c>
      <c r="B7" s="1325"/>
      <c r="C7" s="769" t="s">
        <v>12</v>
      </c>
      <c r="D7" s="592"/>
      <c r="E7" s="586"/>
      <c r="F7" s="501"/>
      <c r="G7" s="502">
        <f>(F7-E7)*1440</f>
        <v>0</v>
      </c>
      <c r="H7" s="587"/>
      <c r="I7" s="1212"/>
      <c r="J7" s="809">
        <f>(720-G7)/60</f>
        <v>12</v>
      </c>
      <c r="K7" s="812">
        <f t="shared" si="1"/>
        <v>1</v>
      </c>
      <c r="L7" s="1330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50" t="s">
        <v>636</v>
      </c>
      <c r="AI7" s="950" t="s">
        <v>637</v>
      </c>
      <c r="AJ7" s="950" t="s">
        <v>638</v>
      </c>
    </row>
    <row r="8" spans="1:36" ht="54" customHeight="1" x14ac:dyDescent="0.3">
      <c r="A8" s="1324">
        <v>46266</v>
      </c>
      <c r="B8" s="1325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477</v>
      </c>
      <c r="I8" s="1213"/>
      <c r="J8" s="809">
        <f t="shared" ref="J8:J14" si="5">(720-G8)/60</f>
        <v>10.9</v>
      </c>
      <c r="K8" s="812">
        <f t="shared" si="1"/>
        <v>0.90833333333333333</v>
      </c>
      <c r="L8" s="1330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320">
        <v>46267</v>
      </c>
      <c r="B9" s="1321"/>
      <c r="C9" s="826" t="s">
        <v>12</v>
      </c>
      <c r="D9" s="594" t="s">
        <v>222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9" t="s">
        <v>478</v>
      </c>
      <c r="I9" s="1208">
        <v>2</v>
      </c>
      <c r="J9" s="810">
        <f t="shared" si="5"/>
        <v>10</v>
      </c>
      <c r="K9" s="813">
        <f>J9/12</f>
        <v>0.83333333333333337</v>
      </c>
      <c r="L9" s="1329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320">
        <v>46267</v>
      </c>
      <c r="B10" s="1321"/>
      <c r="C10" s="826" t="s">
        <v>13</v>
      </c>
      <c r="D10" s="594"/>
      <c r="E10" s="498"/>
      <c r="F10" s="498"/>
      <c r="G10" s="499">
        <f t="shared" si="4"/>
        <v>0</v>
      </c>
      <c r="H10" s="589"/>
      <c r="I10" s="1209"/>
      <c r="J10" s="810">
        <f t="shared" si="5"/>
        <v>12</v>
      </c>
      <c r="K10" s="813">
        <f t="shared" ref="K10:K14" si="6">J10/12</f>
        <v>1</v>
      </c>
      <c r="L10" s="1329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320">
        <v>46268</v>
      </c>
      <c r="B11" s="1321"/>
      <c r="C11" s="826" t="s">
        <v>12</v>
      </c>
      <c r="D11" s="594"/>
      <c r="E11" s="498"/>
      <c r="F11" s="498"/>
      <c r="G11" s="499">
        <f t="shared" si="4"/>
        <v>0</v>
      </c>
      <c r="H11" s="589"/>
      <c r="I11" s="1209"/>
      <c r="J11" s="810">
        <f t="shared" si="5"/>
        <v>12</v>
      </c>
      <c r="K11" s="813">
        <f t="shared" si="6"/>
        <v>1</v>
      </c>
      <c r="L11" s="1329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320">
        <v>46268</v>
      </c>
      <c r="B12" s="1321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468</v>
      </c>
      <c r="I12" s="1209"/>
      <c r="J12" s="810">
        <f t="shared" si="5"/>
        <v>11</v>
      </c>
      <c r="K12" s="813">
        <f t="shared" si="6"/>
        <v>0.91666666666666663</v>
      </c>
      <c r="L12" s="1329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525</v>
      </c>
      <c r="V12" s="10">
        <f>SUM(S17:S19)</f>
        <v>62</v>
      </c>
    </row>
    <row r="13" spans="1:36" ht="72" x14ac:dyDescent="0.3">
      <c r="A13" s="1320">
        <v>46269</v>
      </c>
      <c r="B13" s="1321"/>
      <c r="C13" s="826" t="s">
        <v>12</v>
      </c>
      <c r="D13" s="596" t="s">
        <v>222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476</v>
      </c>
      <c r="I13" s="1209"/>
      <c r="J13" s="810">
        <f t="shared" si="5"/>
        <v>0</v>
      </c>
      <c r="K13" s="813">
        <f t="shared" si="6"/>
        <v>0</v>
      </c>
      <c r="L13" s="1329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320">
        <v>46269</v>
      </c>
      <c r="B14" s="1321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476</v>
      </c>
      <c r="I14" s="1210"/>
      <c r="J14" s="810">
        <f t="shared" si="5"/>
        <v>0</v>
      </c>
      <c r="K14" s="813">
        <f t="shared" si="6"/>
        <v>0</v>
      </c>
      <c r="L14" s="1329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532</v>
      </c>
    </row>
    <row r="15" spans="1:36" ht="65.400000000000006" customHeight="1" x14ac:dyDescent="0.3">
      <c r="A15" s="1324">
        <v>46270</v>
      </c>
      <c r="B15" s="1325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589</v>
      </c>
      <c r="I15" s="1211">
        <v>3</v>
      </c>
      <c r="J15" s="809">
        <f>(720-G15)/60</f>
        <v>0</v>
      </c>
      <c r="K15" s="812">
        <f>J15/12</f>
        <v>0</v>
      </c>
      <c r="L15" s="1330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34" si="7">P15/60</f>
        <v>2.9666666666666668</v>
      </c>
      <c r="T15" s="360"/>
    </row>
    <row r="16" spans="1:36" ht="43.2" x14ac:dyDescent="0.3">
      <c r="A16" s="1324">
        <v>46270</v>
      </c>
      <c r="B16" s="1325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488</v>
      </c>
      <c r="I16" s="1212"/>
      <c r="J16" s="809">
        <f t="shared" ref="J16:J19" si="8">(720-G16)/60</f>
        <v>11</v>
      </c>
      <c r="K16" s="812">
        <f t="shared" ref="K16:K19" si="9">J16/12</f>
        <v>0.91666666666666663</v>
      </c>
      <c r="L16" s="1330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324">
        <v>46271</v>
      </c>
      <c r="B17" s="1325"/>
      <c r="C17" s="769" t="s">
        <v>12</v>
      </c>
      <c r="D17" s="603" t="s">
        <v>508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510</v>
      </c>
      <c r="I17" s="1212"/>
      <c r="J17" s="809">
        <f t="shared" si="8"/>
        <v>9.8333333333333339</v>
      </c>
      <c r="K17" s="812">
        <f t="shared" si="9"/>
        <v>0.81944444444444453</v>
      </c>
      <c r="L17" s="1330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324">
        <v>46271</v>
      </c>
      <c r="B18" s="1325"/>
      <c r="C18" s="769" t="s">
        <v>13</v>
      </c>
      <c r="D18" s="603" t="s">
        <v>509</v>
      </c>
      <c r="E18" s="501"/>
      <c r="F18" s="501"/>
      <c r="G18" s="502">
        <f t="shared" si="4"/>
        <v>0</v>
      </c>
      <c r="H18" s="604" t="s">
        <v>517</v>
      </c>
      <c r="I18" s="1212"/>
      <c r="J18" s="809">
        <f t="shared" si="8"/>
        <v>12</v>
      </c>
      <c r="K18" s="812">
        <f t="shared" si="9"/>
        <v>1</v>
      </c>
      <c r="L18" s="1330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324">
        <v>46272</v>
      </c>
      <c r="B19" s="1325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526</v>
      </c>
      <c r="I19" s="1213"/>
      <c r="J19" s="809">
        <f t="shared" si="8"/>
        <v>11.683333333333334</v>
      </c>
      <c r="K19" s="812">
        <f t="shared" si="9"/>
        <v>0.97361111111111109</v>
      </c>
      <c r="L19" s="1331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320">
        <v>46272</v>
      </c>
      <c r="B20" s="1321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527</v>
      </c>
      <c r="I20" s="1337">
        <v>4</v>
      </c>
      <c r="J20" s="810">
        <f>(720-G20)/60</f>
        <v>10.766666666666667</v>
      </c>
      <c r="K20" s="813">
        <f>J20/12</f>
        <v>0.89722222222222225</v>
      </c>
      <c r="L20" s="1331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320">
        <v>46273</v>
      </c>
      <c r="B21" s="1321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520</v>
      </c>
      <c r="I21" s="1338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329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320">
        <v>46273</v>
      </c>
      <c r="B22" s="1321"/>
      <c r="C22" s="826" t="s">
        <v>13</v>
      </c>
      <c r="D22" s="609" t="s">
        <v>524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528</v>
      </c>
      <c r="I22" s="1338"/>
      <c r="J22" s="810">
        <f t="shared" si="10"/>
        <v>9.4499999999999993</v>
      </c>
      <c r="K22" s="813">
        <f t="shared" si="11"/>
        <v>0.78749999999999998</v>
      </c>
      <c r="L22" s="1329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320">
        <v>46274</v>
      </c>
      <c r="B23" s="1321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531</v>
      </c>
      <c r="I23" s="1339"/>
      <c r="J23" s="810">
        <f t="shared" si="10"/>
        <v>3</v>
      </c>
      <c r="K23" s="813">
        <f t="shared" si="11"/>
        <v>0.25</v>
      </c>
      <c r="L23" s="1329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313">
        <v>46274</v>
      </c>
      <c r="B24" s="1314"/>
      <c r="C24" s="907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530</v>
      </c>
      <c r="I24" s="782"/>
      <c r="J24" s="418">
        <f>(720-G24)/60</f>
        <v>0</v>
      </c>
      <c r="K24" s="811">
        <f>J24/12</f>
        <v>0</v>
      </c>
      <c r="L24" s="1329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324">
        <v>46275</v>
      </c>
      <c r="B25" s="1325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536</v>
      </c>
      <c r="I25" s="1351">
        <v>5</v>
      </c>
      <c r="J25" s="809">
        <f>(720-G25)/60</f>
        <v>10.566666666666666</v>
      </c>
      <c r="K25" s="812">
        <f>J25/12</f>
        <v>0.88055555555555554</v>
      </c>
      <c r="L25" s="1330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658</v>
      </c>
    </row>
    <row r="26" spans="1:20" ht="29.4" thickBot="1" x14ac:dyDescent="0.35">
      <c r="A26" s="1324">
        <v>46275</v>
      </c>
      <c r="B26" s="1325"/>
      <c r="C26" s="769" t="s">
        <v>13</v>
      </c>
      <c r="D26" s="611" t="s">
        <v>542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543</v>
      </c>
      <c r="I26" s="1352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330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692</v>
      </c>
    </row>
    <row r="27" spans="1:20" ht="58.2" thickBot="1" x14ac:dyDescent="0.35">
      <c r="A27" s="1324">
        <v>46276</v>
      </c>
      <c r="B27" s="1325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546</v>
      </c>
      <c r="I27" s="1353"/>
      <c r="J27" s="809">
        <f t="shared" si="13"/>
        <v>10.983333333333333</v>
      </c>
      <c r="K27" s="812">
        <f t="shared" si="14"/>
        <v>0.91527777777777775</v>
      </c>
      <c r="L27" s="1331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344">
        <v>46276</v>
      </c>
      <c r="B28" s="1345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555</v>
      </c>
      <c r="I28" s="1334">
        <v>6</v>
      </c>
      <c r="J28" s="810">
        <f>(720-G28)/60</f>
        <v>2</v>
      </c>
      <c r="K28" s="813">
        <f>J28/12</f>
        <v>0.16666666666666666</v>
      </c>
      <c r="L28" s="1331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340">
        <v>46277</v>
      </c>
      <c r="B29" s="1341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545</v>
      </c>
      <c r="I29" s="1335"/>
      <c r="J29" s="810">
        <f t="shared" ref="J29:J33" si="15">(720-G29)/60</f>
        <v>0</v>
      </c>
      <c r="K29" s="813">
        <f t="shared" ref="K29:K33" si="16">J29/12</f>
        <v>0</v>
      </c>
      <c r="L29" s="1329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342">
        <v>46277</v>
      </c>
      <c r="B30" s="1343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556</v>
      </c>
      <c r="I30" s="1335"/>
      <c r="J30" s="810">
        <f t="shared" si="15"/>
        <v>0</v>
      </c>
      <c r="K30" s="813">
        <f t="shared" si="16"/>
        <v>0</v>
      </c>
      <c r="L30" s="1329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344">
        <v>46278</v>
      </c>
      <c r="B31" s="1345"/>
      <c r="C31" s="826" t="s">
        <v>12</v>
      </c>
      <c r="D31" s="757" t="s">
        <v>222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557</v>
      </c>
      <c r="I31" s="1335"/>
      <c r="J31" s="810">
        <f t="shared" si="15"/>
        <v>0</v>
      </c>
      <c r="K31" s="813">
        <f t="shared" si="16"/>
        <v>0</v>
      </c>
      <c r="L31" s="1329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322">
        <v>46278</v>
      </c>
      <c r="B32" s="1323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335"/>
      <c r="J32" s="810">
        <f t="shared" si="15"/>
        <v>0</v>
      </c>
      <c r="K32" s="813">
        <f t="shared" si="16"/>
        <v>0</v>
      </c>
      <c r="L32" s="1329"/>
      <c r="O32" s="62">
        <v>46292</v>
      </c>
      <c r="P32" s="66">
        <f>SUM(G59:G60)</f>
        <v>300</v>
      </c>
      <c r="Q32" s="66">
        <f t="shared" ref="Q32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346">
        <v>46279</v>
      </c>
      <c r="B33" s="1347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336"/>
      <c r="J33" s="810">
        <f t="shared" si="15"/>
        <v>0</v>
      </c>
      <c r="K33" s="813">
        <f t="shared" si="16"/>
        <v>0</v>
      </c>
      <c r="L33" s="1331">
        <f>SUM(J33:J34)/24</f>
        <v>0.41666666666666669</v>
      </c>
      <c r="O33" s="62">
        <v>46293</v>
      </c>
      <c r="P33" s="66">
        <f>SUM(G61:G62)</f>
        <v>0</v>
      </c>
      <c r="Q33" s="66"/>
      <c r="R33" s="63">
        <f t="shared" si="3"/>
        <v>0</v>
      </c>
      <c r="S33" s="66">
        <f t="shared" si="7"/>
        <v>0</v>
      </c>
      <c r="T33" s="6"/>
    </row>
    <row r="34" spans="1:20" x14ac:dyDescent="0.3">
      <c r="A34" s="1332">
        <v>46279</v>
      </c>
      <c r="B34" s="1333"/>
      <c r="C34" s="769" t="s">
        <v>13</v>
      </c>
      <c r="D34" s="740" t="s">
        <v>584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585</v>
      </c>
      <c r="I34" s="1328">
        <v>7</v>
      </c>
      <c r="J34" s="809">
        <f>(720-G34)/60</f>
        <v>10</v>
      </c>
      <c r="K34" s="812">
        <f>J34/12</f>
        <v>0.83333333333333337</v>
      </c>
      <c r="L34" s="1331"/>
      <c r="O34" s="62">
        <v>46294</v>
      </c>
      <c r="P34" s="66">
        <f>SUM(G63:G64)</f>
        <v>740</v>
      </c>
      <c r="Q34" s="66"/>
      <c r="R34" s="63">
        <f t="shared" si="3"/>
        <v>0</v>
      </c>
      <c r="S34" s="66">
        <f t="shared" si="7"/>
        <v>12.333333333333334</v>
      </c>
      <c r="T34" s="6"/>
    </row>
    <row r="35" spans="1:20" ht="36.6" customHeight="1" x14ac:dyDescent="0.3">
      <c r="A35" s="1324">
        <v>46280</v>
      </c>
      <c r="B35" s="1325"/>
      <c r="C35" s="769" t="s">
        <v>12</v>
      </c>
      <c r="D35" s="814" t="s">
        <v>524</v>
      </c>
      <c r="E35" s="501"/>
      <c r="F35" s="501"/>
      <c r="G35" s="502">
        <f t="shared" si="4"/>
        <v>0</v>
      </c>
      <c r="H35" s="815" t="s">
        <v>591</v>
      </c>
      <c r="I35" s="1212"/>
      <c r="J35" s="809">
        <f t="shared" ref="J35:J36" si="20">(720-G35)/60</f>
        <v>12</v>
      </c>
      <c r="K35" s="812">
        <f t="shared" ref="K35:K36" si="21">J35/12</f>
        <v>1</v>
      </c>
      <c r="L35" s="1330">
        <f>SUM(J35:J36)/24</f>
        <v>1</v>
      </c>
      <c r="O35" s="62">
        <v>46295</v>
      </c>
      <c r="P35" s="66">
        <f>SUM(G65:G66)</f>
        <v>1440</v>
      </c>
      <c r="Q35" s="66"/>
      <c r="R35" s="63">
        <f t="shared" si="3"/>
        <v>0</v>
      </c>
      <c r="S35" s="6"/>
      <c r="T35" s="6"/>
    </row>
    <row r="36" spans="1:20" ht="28.8" x14ac:dyDescent="0.3">
      <c r="A36" s="1324">
        <v>46280</v>
      </c>
      <c r="B36" s="1325"/>
      <c r="C36" s="769" t="s">
        <v>13</v>
      </c>
      <c r="D36" s="828" t="s">
        <v>584</v>
      </c>
      <c r="E36" s="501"/>
      <c r="F36" s="501"/>
      <c r="G36" s="502">
        <f t="shared" si="4"/>
        <v>0</v>
      </c>
      <c r="H36" s="833" t="s">
        <v>595</v>
      </c>
      <c r="I36" s="1213"/>
      <c r="J36" s="809">
        <f t="shared" si="20"/>
        <v>12</v>
      </c>
      <c r="K36" s="812">
        <f t="shared" si="21"/>
        <v>1</v>
      </c>
      <c r="L36" s="1330"/>
      <c r="O36" s="62">
        <v>46296</v>
      </c>
      <c r="P36" s="66">
        <f>SUM(G67:G68)</f>
        <v>1440</v>
      </c>
      <c r="Q36" s="66"/>
      <c r="R36" s="63">
        <f t="shared" si="3"/>
        <v>0</v>
      </c>
      <c r="S36" s="6"/>
      <c r="T36" s="6"/>
    </row>
    <row r="37" spans="1:20" ht="14.4" customHeight="1" x14ac:dyDescent="0.3">
      <c r="A37" s="1320">
        <v>46281</v>
      </c>
      <c r="B37" s="1321"/>
      <c r="C37" s="826" t="s">
        <v>12</v>
      </c>
      <c r="D37" s="830" t="s">
        <v>524</v>
      </c>
      <c r="E37" s="829"/>
      <c r="F37" s="829"/>
      <c r="G37" s="499">
        <f t="shared" si="4"/>
        <v>0</v>
      </c>
      <c r="H37" s="831" t="s">
        <v>593</v>
      </c>
      <c r="I37" s="1361">
        <v>8</v>
      </c>
      <c r="J37" s="810">
        <f>(720-G37)/60</f>
        <v>12</v>
      </c>
      <c r="K37" s="813">
        <f>J37/12</f>
        <v>1</v>
      </c>
      <c r="L37" s="1329">
        <f>SUM(J37:J38)/24</f>
        <v>0.9555555555555556</v>
      </c>
      <c r="O37" s="62">
        <v>46297</v>
      </c>
      <c r="P37" s="66">
        <f>SUM(G69:G70)</f>
        <v>1440</v>
      </c>
      <c r="Q37" s="66"/>
      <c r="R37" s="63">
        <f t="shared" si="3"/>
        <v>0</v>
      </c>
      <c r="S37" s="6"/>
      <c r="T37" s="6"/>
    </row>
    <row r="38" spans="1:20" ht="26.4" customHeight="1" x14ac:dyDescent="0.3">
      <c r="A38" s="1320">
        <v>46281</v>
      </c>
      <c r="B38" s="1321"/>
      <c r="C38" s="826" t="s">
        <v>13</v>
      </c>
      <c r="D38" s="839" t="s">
        <v>598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600</v>
      </c>
      <c r="I38" s="1362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329"/>
      <c r="O38" s="62">
        <v>46298</v>
      </c>
      <c r="P38" s="66">
        <f>SUM(G73:G74)</f>
        <v>10</v>
      </c>
      <c r="Q38" s="66"/>
      <c r="R38" s="63">
        <f t="shared" si="3"/>
        <v>0</v>
      </c>
      <c r="S38" s="6"/>
      <c r="T38" s="6"/>
    </row>
    <row r="39" spans="1:20" ht="43.2" customHeight="1" x14ac:dyDescent="0.3">
      <c r="A39" s="1320">
        <v>46282</v>
      </c>
      <c r="B39" s="1321"/>
      <c r="C39" s="497" t="s">
        <v>12</v>
      </c>
      <c r="D39" s="922" t="s">
        <v>628</v>
      </c>
      <c r="E39" s="829"/>
      <c r="F39" s="829"/>
      <c r="G39" s="499">
        <f t="shared" si="4"/>
        <v>0</v>
      </c>
      <c r="H39" s="923" t="s">
        <v>629</v>
      </c>
      <c r="I39" s="1362"/>
      <c r="J39" s="810">
        <f t="shared" si="22"/>
        <v>12</v>
      </c>
      <c r="K39" s="813">
        <f t="shared" si="23"/>
        <v>1</v>
      </c>
      <c r="L39" s="1329">
        <f>SUM(J39:J40)/24</f>
        <v>1</v>
      </c>
      <c r="O39" s="62">
        <v>46299</v>
      </c>
      <c r="P39" s="66"/>
      <c r="Q39" s="66"/>
      <c r="R39" s="63">
        <f t="shared" si="3"/>
        <v>0</v>
      </c>
      <c r="S39" s="6"/>
      <c r="T39" s="6"/>
    </row>
    <row r="40" spans="1:20" ht="32.4" customHeight="1" x14ac:dyDescent="0.3">
      <c r="A40" s="1318">
        <v>46282</v>
      </c>
      <c r="B40" s="1319"/>
      <c r="C40" s="910" t="s">
        <v>13</v>
      </c>
      <c r="D40" s="944" t="s">
        <v>598</v>
      </c>
      <c r="E40" s="940"/>
      <c r="F40" s="940"/>
      <c r="G40" s="941">
        <f t="shared" si="4"/>
        <v>0</v>
      </c>
      <c r="H40" s="945" t="s">
        <v>635</v>
      </c>
      <c r="I40" s="1363"/>
      <c r="J40" s="942">
        <f t="shared" si="22"/>
        <v>12</v>
      </c>
      <c r="K40" s="943">
        <f t="shared" si="23"/>
        <v>1</v>
      </c>
      <c r="L40" s="1329"/>
      <c r="O40" s="62">
        <v>46300</v>
      </c>
      <c r="P40" s="66"/>
      <c r="Q40" s="66"/>
      <c r="R40" s="63">
        <f t="shared" si="3"/>
        <v>0</v>
      </c>
      <c r="S40" s="6"/>
      <c r="T40" s="6"/>
    </row>
    <row r="41" spans="1:20" ht="28.8" x14ac:dyDescent="0.3">
      <c r="A41" s="1315">
        <v>46283</v>
      </c>
      <c r="B41" s="1316"/>
      <c r="C41" s="969" t="s">
        <v>12</v>
      </c>
      <c r="D41" s="993" t="s">
        <v>542</v>
      </c>
      <c r="E41" s="994">
        <v>6.9444444444444447E-4</v>
      </c>
      <c r="F41" s="994">
        <v>0.12222222222222222</v>
      </c>
      <c r="G41" s="995">
        <f t="shared" si="4"/>
        <v>175</v>
      </c>
      <c r="H41" s="996" t="s">
        <v>648</v>
      </c>
      <c r="I41" s="1358">
        <v>9</v>
      </c>
      <c r="J41" s="997">
        <f t="shared" si="22"/>
        <v>9.0833333333333339</v>
      </c>
      <c r="K41" s="998">
        <f t="shared" si="23"/>
        <v>0.75694444444444453</v>
      </c>
      <c r="L41" s="1354">
        <f>SUM(J41:J42)/24</f>
        <v>0.87847222222222232</v>
      </c>
      <c r="O41" s="62">
        <v>46301</v>
      </c>
      <c r="P41" s="66"/>
      <c r="Q41" s="66"/>
      <c r="R41" s="63">
        <f t="shared" si="3"/>
        <v>0</v>
      </c>
      <c r="S41" s="6"/>
      <c r="T41" s="6"/>
    </row>
    <row r="42" spans="1:20" x14ac:dyDescent="0.3">
      <c r="A42" s="1315">
        <v>46283</v>
      </c>
      <c r="B42" s="1316"/>
      <c r="C42" s="969" t="s">
        <v>13</v>
      </c>
      <c r="D42" s="999" t="s">
        <v>649</v>
      </c>
      <c r="E42" s="994">
        <v>6.9444444444444447E-4</v>
      </c>
      <c r="F42" s="994">
        <v>6.9444444444444447E-4</v>
      </c>
      <c r="G42" s="995">
        <f t="shared" si="4"/>
        <v>0</v>
      </c>
      <c r="H42" s="1024" t="s">
        <v>650</v>
      </c>
      <c r="I42" s="1359"/>
      <c r="J42" s="997">
        <f t="shared" si="22"/>
        <v>12</v>
      </c>
      <c r="K42" s="998">
        <f t="shared" si="23"/>
        <v>1</v>
      </c>
      <c r="L42" s="1354"/>
      <c r="O42" s="62">
        <v>46302</v>
      </c>
      <c r="P42" s="66"/>
      <c r="Q42" s="66"/>
      <c r="R42" s="63">
        <f t="shared" si="3"/>
        <v>0</v>
      </c>
      <c r="S42" s="6"/>
      <c r="T42" s="6"/>
    </row>
    <row r="43" spans="1:20" x14ac:dyDescent="0.3">
      <c r="A43" s="1315">
        <v>46284</v>
      </c>
      <c r="B43" s="1316"/>
      <c r="C43" s="969" t="s">
        <v>12</v>
      </c>
      <c r="D43" s="1025" t="s">
        <v>509</v>
      </c>
      <c r="E43" s="994">
        <v>6.9444444444444447E-4</v>
      </c>
      <c r="F43" s="994">
        <v>6.9444444444444447E-4</v>
      </c>
      <c r="G43" s="995">
        <f t="shared" si="4"/>
        <v>0</v>
      </c>
      <c r="H43" s="1000" t="s">
        <v>650</v>
      </c>
      <c r="I43" s="1359"/>
      <c r="J43" s="997">
        <f t="shared" si="22"/>
        <v>12</v>
      </c>
      <c r="K43" s="998">
        <f t="shared" si="23"/>
        <v>1</v>
      </c>
      <c r="L43" s="1354">
        <f>SUM(J43:J44)/24</f>
        <v>0.75</v>
      </c>
      <c r="O43" s="62">
        <v>46303</v>
      </c>
      <c r="P43" s="66"/>
      <c r="Q43" s="66"/>
      <c r="R43" s="63">
        <f t="shared" si="3"/>
        <v>0</v>
      </c>
      <c r="S43" s="6"/>
      <c r="T43" s="6"/>
    </row>
    <row r="44" spans="1:20" ht="28.8" x14ac:dyDescent="0.3">
      <c r="A44" s="1315">
        <v>46284</v>
      </c>
      <c r="B44" s="1316"/>
      <c r="C44" s="969" t="s">
        <v>13</v>
      </c>
      <c r="D44" s="1025" t="s">
        <v>652</v>
      </c>
      <c r="E44" s="994">
        <v>6.9444444444444447E-4</v>
      </c>
      <c r="F44" s="994">
        <v>0.25069444444444444</v>
      </c>
      <c r="G44" s="995">
        <f t="shared" si="4"/>
        <v>360</v>
      </c>
      <c r="H44" s="1024" t="s">
        <v>651</v>
      </c>
      <c r="I44" s="1360"/>
      <c r="J44" s="997">
        <f t="shared" si="22"/>
        <v>6</v>
      </c>
      <c r="K44" s="998">
        <f t="shared" si="23"/>
        <v>0.5</v>
      </c>
      <c r="L44" s="1354"/>
      <c r="O44" s="62">
        <v>46304</v>
      </c>
      <c r="P44" s="66"/>
      <c r="Q44" s="66"/>
      <c r="R44" s="63">
        <f t="shared" si="3"/>
        <v>0</v>
      </c>
      <c r="S44" s="6"/>
      <c r="T44" s="6"/>
    </row>
    <row r="45" spans="1:20" ht="28.8" x14ac:dyDescent="0.3">
      <c r="A45" s="1318">
        <v>46285</v>
      </c>
      <c r="B45" s="1319"/>
      <c r="C45" s="910" t="s">
        <v>12</v>
      </c>
      <c r="D45" s="1031" t="s">
        <v>169</v>
      </c>
      <c r="E45" s="940">
        <v>6.9444444444444447E-4</v>
      </c>
      <c r="F45" s="940">
        <v>0.50069444444444444</v>
      </c>
      <c r="G45" s="941">
        <f t="shared" si="4"/>
        <v>720</v>
      </c>
      <c r="H45" s="1032" t="s">
        <v>654</v>
      </c>
      <c r="I45" s="1201">
        <v>10</v>
      </c>
      <c r="J45" s="942">
        <f t="shared" si="22"/>
        <v>0</v>
      </c>
      <c r="K45" s="943">
        <f t="shared" si="23"/>
        <v>0</v>
      </c>
      <c r="L45" s="1327">
        <f t="shared" ref="L45" si="24">SUM(J45:J46)/24</f>
        <v>0</v>
      </c>
      <c r="O45" s="62">
        <v>46305</v>
      </c>
      <c r="P45" s="66"/>
      <c r="Q45" s="66"/>
      <c r="R45" s="63">
        <f t="shared" si="3"/>
        <v>0</v>
      </c>
      <c r="S45" s="6"/>
      <c r="T45" s="6"/>
    </row>
    <row r="46" spans="1:20" ht="14.4" customHeight="1" x14ac:dyDescent="0.3">
      <c r="A46" s="1318">
        <v>46285</v>
      </c>
      <c r="B46" s="1319"/>
      <c r="C46" s="910" t="s">
        <v>13</v>
      </c>
      <c r="D46" s="1058" t="s">
        <v>509</v>
      </c>
      <c r="E46" s="940">
        <v>6.9444444444444447E-4</v>
      </c>
      <c r="F46" s="940">
        <v>0.50069444444444444</v>
      </c>
      <c r="G46" s="941">
        <f t="shared" ref="G46:G47" si="25">(F46-E46)*1440</f>
        <v>720</v>
      </c>
      <c r="H46" s="1059" t="s">
        <v>657</v>
      </c>
      <c r="I46" s="1202"/>
      <c r="J46" s="942">
        <f t="shared" si="22"/>
        <v>0</v>
      </c>
      <c r="K46" s="943">
        <f t="shared" si="23"/>
        <v>0</v>
      </c>
      <c r="L46" s="1327"/>
      <c r="O46" s="62">
        <v>46306</v>
      </c>
      <c r="P46" s="66"/>
      <c r="Q46" s="66"/>
      <c r="R46" s="63">
        <f t="shared" si="3"/>
        <v>0</v>
      </c>
      <c r="S46" s="6"/>
      <c r="T46" s="6"/>
    </row>
    <row r="47" spans="1:20" ht="28.8" x14ac:dyDescent="0.3">
      <c r="A47" s="1318">
        <v>46286</v>
      </c>
      <c r="B47" s="1319"/>
      <c r="C47" s="910" t="s">
        <v>12</v>
      </c>
      <c r="D47" s="1071" t="s">
        <v>508</v>
      </c>
      <c r="E47" s="940">
        <v>6.9444444444444447E-4</v>
      </c>
      <c r="F47" s="940">
        <v>0.4</v>
      </c>
      <c r="G47" s="941">
        <f t="shared" si="25"/>
        <v>575</v>
      </c>
      <c r="H47" s="1073" t="s">
        <v>666</v>
      </c>
      <c r="I47" s="1202"/>
      <c r="J47" s="942">
        <f>(720-G47)/60</f>
        <v>2.4166666666666665</v>
      </c>
      <c r="K47" s="943">
        <f t="shared" si="23"/>
        <v>0.20138888888888887</v>
      </c>
      <c r="L47" s="1327">
        <f t="shared" ref="L47" si="26">SUM(J47:J48)/24</f>
        <v>0.57986111111111105</v>
      </c>
      <c r="O47" s="62">
        <v>46307</v>
      </c>
      <c r="P47" s="66"/>
      <c r="Q47" s="66"/>
      <c r="R47" s="63">
        <f t="shared" si="3"/>
        <v>0</v>
      </c>
      <c r="S47" s="6"/>
      <c r="T47" s="6"/>
    </row>
    <row r="48" spans="1:20" ht="14.4" customHeight="1" x14ac:dyDescent="0.3">
      <c r="A48" s="1318">
        <v>46286</v>
      </c>
      <c r="B48" s="1319"/>
      <c r="C48" s="910" t="s">
        <v>13</v>
      </c>
      <c r="D48" s="1077" t="s">
        <v>542</v>
      </c>
      <c r="E48" s="940">
        <v>6.9444444444444447E-4</v>
      </c>
      <c r="F48" s="1078">
        <v>2.1527777777777778E-2</v>
      </c>
      <c r="G48" s="941">
        <f t="shared" ref="G48" si="27">(F48-E48)*1440</f>
        <v>30</v>
      </c>
      <c r="H48" s="1079" t="s">
        <v>668</v>
      </c>
      <c r="I48" s="1202"/>
      <c r="J48" s="942">
        <f t="shared" si="22"/>
        <v>11.5</v>
      </c>
      <c r="K48" s="943">
        <f t="shared" si="23"/>
        <v>0.95833333333333337</v>
      </c>
      <c r="L48" s="1327"/>
      <c r="O48" s="62">
        <v>46308</v>
      </c>
      <c r="P48" s="66"/>
      <c r="Q48" s="66"/>
      <c r="R48" s="63">
        <f t="shared" si="3"/>
        <v>0</v>
      </c>
      <c r="S48" s="6"/>
      <c r="T48" s="6"/>
    </row>
    <row r="49" spans="1:20" ht="14.4" customHeight="1" x14ac:dyDescent="0.3">
      <c r="A49" s="1318">
        <v>46287</v>
      </c>
      <c r="B49" s="1319"/>
      <c r="C49" s="910" t="s">
        <v>12</v>
      </c>
      <c r="D49" s="1083" t="s">
        <v>508</v>
      </c>
      <c r="E49" s="940">
        <v>6.9444444444444447E-4</v>
      </c>
      <c r="F49" s="940">
        <v>6.9444444444444447E-4</v>
      </c>
      <c r="G49" s="941">
        <f t="shared" ref="G49:G51" si="28">(F49-E49)*1440</f>
        <v>0</v>
      </c>
      <c r="H49" s="1084" t="s">
        <v>691</v>
      </c>
      <c r="I49" s="1202"/>
      <c r="J49" s="942">
        <f t="shared" si="22"/>
        <v>12</v>
      </c>
      <c r="K49" s="943">
        <f t="shared" si="23"/>
        <v>1</v>
      </c>
      <c r="L49" s="1327">
        <f>SUM(J49:J50)/24</f>
        <v>0.88541666666666663</v>
      </c>
      <c r="O49" s="62">
        <v>46309</v>
      </c>
      <c r="P49" s="66"/>
      <c r="Q49" s="66"/>
      <c r="R49" s="63">
        <f t="shared" si="3"/>
        <v>0</v>
      </c>
      <c r="S49" s="6"/>
      <c r="T49" s="6"/>
    </row>
    <row r="50" spans="1:20" ht="28.8" x14ac:dyDescent="0.3">
      <c r="A50" s="1318">
        <v>46287</v>
      </c>
      <c r="B50" s="1319"/>
      <c r="C50" s="910" t="s">
        <v>13</v>
      </c>
      <c r="D50" s="1086" t="s">
        <v>694</v>
      </c>
      <c r="E50" s="940">
        <v>6.9444444444444447E-4</v>
      </c>
      <c r="F50" s="940">
        <v>0.11527777777777778</v>
      </c>
      <c r="G50" s="941">
        <f t="shared" si="28"/>
        <v>165</v>
      </c>
      <c r="H50" s="1087" t="s">
        <v>695</v>
      </c>
      <c r="I50" s="1202"/>
      <c r="J50" s="942">
        <f t="shared" si="22"/>
        <v>9.25</v>
      </c>
      <c r="K50" s="943">
        <f t="shared" si="23"/>
        <v>0.77083333333333337</v>
      </c>
      <c r="L50" s="1327"/>
      <c r="O50" s="62">
        <v>46310</v>
      </c>
      <c r="P50" s="66"/>
      <c r="Q50" s="66"/>
      <c r="R50" s="63">
        <f t="shared" si="3"/>
        <v>0</v>
      </c>
      <c r="S50" s="6"/>
      <c r="T50" s="6"/>
    </row>
    <row r="51" spans="1:20" ht="14.4" customHeight="1" x14ac:dyDescent="0.3">
      <c r="A51" s="1318">
        <v>46288</v>
      </c>
      <c r="B51" s="1319"/>
      <c r="C51" s="910" t="s">
        <v>12</v>
      </c>
      <c r="D51" s="1101" t="s">
        <v>508</v>
      </c>
      <c r="E51" s="1102">
        <v>6.9444444444444447E-4</v>
      </c>
      <c r="F51" s="940">
        <v>0.18819444444444444</v>
      </c>
      <c r="G51" s="941">
        <f t="shared" si="28"/>
        <v>270</v>
      </c>
      <c r="H51" s="1103" t="s">
        <v>700</v>
      </c>
      <c r="I51" s="1202"/>
      <c r="J51" s="942">
        <f t="shared" si="22"/>
        <v>7.5</v>
      </c>
      <c r="K51" s="943">
        <f t="shared" si="23"/>
        <v>0.625</v>
      </c>
      <c r="L51" s="1327">
        <f>SUM(J51:J52)/24</f>
        <v>0.8125</v>
      </c>
      <c r="O51" s="62">
        <v>46311</v>
      </c>
      <c r="P51" s="66"/>
      <c r="Q51" s="66"/>
      <c r="R51" s="63">
        <f t="shared" si="3"/>
        <v>0</v>
      </c>
      <c r="S51" s="6"/>
      <c r="T51" s="6"/>
    </row>
    <row r="52" spans="1:20" ht="14.4" customHeight="1" x14ac:dyDescent="0.3">
      <c r="A52" s="1318">
        <v>46288</v>
      </c>
      <c r="B52" s="1319"/>
      <c r="C52" s="910" t="s">
        <v>13</v>
      </c>
      <c r="D52" s="1101" t="s">
        <v>542</v>
      </c>
      <c r="E52" s="940">
        <v>6.9444444444444447E-4</v>
      </c>
      <c r="F52" s="940">
        <v>6.9444444444444447E-4</v>
      </c>
      <c r="G52" s="941">
        <f>(F52-E52)*1440</f>
        <v>0</v>
      </c>
      <c r="H52" s="1103" t="s">
        <v>701</v>
      </c>
      <c r="I52" s="1202"/>
      <c r="J52" s="942">
        <f t="shared" si="22"/>
        <v>12</v>
      </c>
      <c r="K52" s="943">
        <f t="shared" si="23"/>
        <v>1</v>
      </c>
      <c r="L52" s="1327"/>
      <c r="O52" s="62">
        <v>46312</v>
      </c>
      <c r="P52" s="66"/>
      <c r="Q52" s="66"/>
      <c r="R52" s="63">
        <f t="shared" si="3"/>
        <v>0</v>
      </c>
      <c r="S52" s="6"/>
      <c r="T52" s="6"/>
    </row>
    <row r="53" spans="1:20" x14ac:dyDescent="0.3">
      <c r="A53" s="1318">
        <v>46289</v>
      </c>
      <c r="B53" s="1319"/>
      <c r="C53" s="910" t="s">
        <v>12</v>
      </c>
      <c r="D53" s="1101" t="s">
        <v>508</v>
      </c>
      <c r="E53" s="940">
        <v>6.9444444444444447E-4</v>
      </c>
      <c r="F53" s="940">
        <v>6.9444444444444447E-4</v>
      </c>
      <c r="G53" s="941">
        <f t="shared" ref="G53:G57" si="29">(F53-E53)*1440</f>
        <v>0</v>
      </c>
      <c r="H53" s="1103" t="s">
        <v>704</v>
      </c>
      <c r="I53" s="1203"/>
      <c r="J53" s="942">
        <f t="shared" si="22"/>
        <v>12</v>
      </c>
      <c r="K53" s="943">
        <f t="shared" si="23"/>
        <v>1</v>
      </c>
      <c r="L53" s="1327">
        <f>SUM(J53:J54)/24</f>
        <v>1</v>
      </c>
      <c r="O53" s="62">
        <v>46313</v>
      </c>
      <c r="P53" s="66"/>
      <c r="Q53" s="66"/>
      <c r="R53" s="63">
        <f t="shared" si="3"/>
        <v>0</v>
      </c>
      <c r="S53" s="6"/>
      <c r="T53" s="6"/>
    </row>
    <row r="54" spans="1:20" x14ac:dyDescent="0.3">
      <c r="A54" s="1315">
        <v>46289</v>
      </c>
      <c r="B54" s="1316"/>
      <c r="C54" s="969" t="s">
        <v>13</v>
      </c>
      <c r="D54" s="1112" t="s">
        <v>169</v>
      </c>
      <c r="E54" s="994">
        <v>6.9444444444444447E-4</v>
      </c>
      <c r="F54" s="1113">
        <v>6.9444444444444447E-4</v>
      </c>
      <c r="G54" s="995">
        <f t="shared" si="29"/>
        <v>0</v>
      </c>
      <c r="H54" s="1114" t="s">
        <v>705</v>
      </c>
      <c r="I54" s="1355">
        <v>11</v>
      </c>
      <c r="J54" s="997">
        <f t="shared" si="22"/>
        <v>12</v>
      </c>
      <c r="K54" s="998">
        <f t="shared" si="23"/>
        <v>1</v>
      </c>
      <c r="L54" s="1327"/>
      <c r="O54" s="62">
        <v>46314</v>
      </c>
      <c r="P54" s="66"/>
      <c r="Q54" s="66"/>
      <c r="R54" s="63">
        <f t="shared" si="3"/>
        <v>0</v>
      </c>
      <c r="S54" s="6"/>
      <c r="T54" s="6"/>
    </row>
    <row r="55" spans="1:20" ht="28.8" x14ac:dyDescent="0.3">
      <c r="A55" s="1315">
        <v>46290</v>
      </c>
      <c r="B55" s="1316"/>
      <c r="C55" s="969" t="s">
        <v>12</v>
      </c>
      <c r="D55" s="1124" t="s">
        <v>508</v>
      </c>
      <c r="E55" s="994">
        <v>6.9444444444444447E-4</v>
      </c>
      <c r="F55" s="994">
        <v>0.1125</v>
      </c>
      <c r="G55" s="995">
        <f t="shared" si="29"/>
        <v>161</v>
      </c>
      <c r="H55" s="1125" t="s">
        <v>709</v>
      </c>
      <c r="I55" s="1356"/>
      <c r="J55" s="997">
        <f t="shared" si="22"/>
        <v>9.3166666666666664</v>
      </c>
      <c r="K55" s="998">
        <f t="shared" si="23"/>
        <v>0.77638888888888891</v>
      </c>
      <c r="L55" s="1326">
        <f>SUM(J55:J56)/24</f>
        <v>0.38819444444444445</v>
      </c>
      <c r="O55" s="62">
        <v>46315</v>
      </c>
      <c r="P55" s="66"/>
      <c r="Q55" s="66"/>
      <c r="R55" s="63">
        <f t="shared" si="3"/>
        <v>0</v>
      </c>
      <c r="S55" s="6"/>
      <c r="T55" s="6"/>
    </row>
    <row r="56" spans="1:20" ht="28.8" x14ac:dyDescent="0.3">
      <c r="A56" s="1315">
        <v>46290</v>
      </c>
      <c r="B56" s="1316"/>
      <c r="C56" s="969" t="s">
        <v>13</v>
      </c>
      <c r="D56" s="1132" t="s">
        <v>741</v>
      </c>
      <c r="E56" s="994">
        <v>6.9444444444444447E-4</v>
      </c>
      <c r="F56" s="994">
        <v>0.50069444444444444</v>
      </c>
      <c r="G56" s="995">
        <f t="shared" si="29"/>
        <v>720</v>
      </c>
      <c r="H56" s="1133" t="s">
        <v>742</v>
      </c>
      <c r="I56" s="1357"/>
      <c r="J56" s="997">
        <f t="shared" si="22"/>
        <v>0</v>
      </c>
      <c r="K56" s="998">
        <f t="shared" si="23"/>
        <v>0</v>
      </c>
      <c r="L56" s="1326"/>
      <c r="O56" s="62">
        <v>46316</v>
      </c>
      <c r="P56" s="66"/>
      <c r="Q56" s="66"/>
      <c r="R56" s="63">
        <f t="shared" si="3"/>
        <v>0</v>
      </c>
      <c r="S56" s="6"/>
      <c r="T56" s="6"/>
    </row>
    <row r="57" spans="1:20" ht="30" customHeight="1" x14ac:dyDescent="0.3">
      <c r="A57" s="1315">
        <v>46291</v>
      </c>
      <c r="B57" s="1316"/>
      <c r="C57" s="969" t="s">
        <v>12</v>
      </c>
      <c r="D57" s="1160" t="s">
        <v>542</v>
      </c>
      <c r="E57" s="994">
        <v>6.9444444444444447E-4</v>
      </c>
      <c r="F57" s="994">
        <v>0.50069444444444444</v>
      </c>
      <c r="G57" s="995">
        <f t="shared" si="29"/>
        <v>720</v>
      </c>
      <c r="H57" s="1162" t="s">
        <v>750</v>
      </c>
      <c r="I57" s="122"/>
      <c r="J57" s="997">
        <f t="shared" si="22"/>
        <v>0</v>
      </c>
      <c r="K57" s="998">
        <f t="shared" si="23"/>
        <v>0</v>
      </c>
      <c r="L57" s="1326">
        <f>SUM(J57:J58)/24</f>
        <v>0</v>
      </c>
      <c r="O57" s="62">
        <v>46317</v>
      </c>
      <c r="P57" s="66"/>
      <c r="Q57" s="66"/>
      <c r="R57" s="63">
        <f t="shared" si="3"/>
        <v>0</v>
      </c>
      <c r="S57" s="6"/>
      <c r="T57" s="6"/>
    </row>
    <row r="58" spans="1:20" x14ac:dyDescent="0.3">
      <c r="A58" s="1315">
        <v>46291</v>
      </c>
      <c r="B58" s="1316"/>
      <c r="C58" s="969" t="s">
        <v>13</v>
      </c>
      <c r="D58" s="1160" t="s">
        <v>508</v>
      </c>
      <c r="E58" s="994">
        <v>6.9444444444444447E-4</v>
      </c>
      <c r="F58" s="994">
        <v>0.50069444444444444</v>
      </c>
      <c r="G58" s="995">
        <f t="shared" ref="G58:G69" si="30">(F58-E58)*1440</f>
        <v>720</v>
      </c>
      <c r="H58" s="1161" t="s">
        <v>751</v>
      </c>
      <c r="I58" s="122"/>
      <c r="J58" s="997">
        <f t="shared" si="22"/>
        <v>0</v>
      </c>
      <c r="K58" s="998">
        <f t="shared" si="23"/>
        <v>0</v>
      </c>
      <c r="L58" s="1326"/>
      <c r="O58" s="62">
        <v>46318</v>
      </c>
      <c r="P58" s="66"/>
      <c r="Q58" s="66"/>
      <c r="R58" s="63">
        <f t="shared" si="3"/>
        <v>0</v>
      </c>
      <c r="S58" s="6"/>
      <c r="T58" s="6"/>
    </row>
    <row r="59" spans="1:20" ht="28.8" x14ac:dyDescent="0.3">
      <c r="A59" s="1318">
        <v>46292</v>
      </c>
      <c r="B59" s="1319"/>
      <c r="C59" s="910" t="s">
        <v>12</v>
      </c>
      <c r="D59" s="1163" t="s">
        <v>542</v>
      </c>
      <c r="E59" s="940">
        <v>6.9444444444444447E-4</v>
      </c>
      <c r="F59" s="940">
        <v>0.1673611111111111</v>
      </c>
      <c r="G59" s="941">
        <f t="shared" si="30"/>
        <v>240</v>
      </c>
      <c r="H59" s="1164" t="s">
        <v>750</v>
      </c>
      <c r="I59" s="106">
        <v>12</v>
      </c>
      <c r="J59" s="942">
        <f t="shared" si="22"/>
        <v>8</v>
      </c>
      <c r="K59" s="943">
        <f t="shared" si="23"/>
        <v>0.66666666666666663</v>
      </c>
      <c r="L59" s="1317">
        <f>SUM(J59:J60)/24</f>
        <v>0.79166666666666663</v>
      </c>
      <c r="O59" s="62"/>
      <c r="P59" s="69">
        <f>SUM(P5:P58)</f>
        <v>19058</v>
      </c>
      <c r="Q59" s="69">
        <f>SUM(Q5:Q58)</f>
        <v>438.86666666666662</v>
      </c>
      <c r="R59" s="70">
        <f>Q59/(Q59+S59)</f>
        <v>0.64130540672187042</v>
      </c>
      <c r="S59" s="66">
        <f>SUM(S5:S58)</f>
        <v>245.46666666666667</v>
      </c>
      <c r="T59" s="6"/>
    </row>
    <row r="60" spans="1:20" x14ac:dyDescent="0.3">
      <c r="A60" s="1318">
        <v>46292</v>
      </c>
      <c r="B60" s="1319"/>
      <c r="C60" s="910" t="s">
        <v>13</v>
      </c>
      <c r="D60" s="1163" t="s">
        <v>508</v>
      </c>
      <c r="E60" s="940">
        <v>6.9444444444444447E-4</v>
      </c>
      <c r="F60" s="940">
        <v>4.2361111111111113E-2</v>
      </c>
      <c r="G60" s="941">
        <f t="shared" ref="G60" si="31">(F60-E60)*1440</f>
        <v>60.000000000000007</v>
      </c>
      <c r="H60" s="1165" t="s">
        <v>752</v>
      </c>
      <c r="I60" s="106">
        <v>12</v>
      </c>
      <c r="J60" s="942">
        <f t="shared" si="22"/>
        <v>11</v>
      </c>
      <c r="K60" s="943">
        <f t="shared" si="23"/>
        <v>0.91666666666666663</v>
      </c>
      <c r="L60" s="1317"/>
      <c r="O60" s="62"/>
      <c r="P60" s="71">
        <f>P59/60</f>
        <v>317.63333333333333</v>
      </c>
      <c r="Q60" s="43">
        <f>Q59/24</f>
        <v>18.286111111111108</v>
      </c>
      <c r="R60" s="949">
        <f>Q60+S60</f>
        <v>28.513888888888886</v>
      </c>
      <c r="S60" s="43">
        <f>S59/24</f>
        <v>10.227777777777778</v>
      </c>
    </row>
    <row r="61" spans="1:20" x14ac:dyDescent="0.3">
      <c r="A61" s="1318">
        <v>46293</v>
      </c>
      <c r="B61" s="1319"/>
      <c r="C61" s="910" t="s">
        <v>12</v>
      </c>
      <c r="D61" s="1168" t="s">
        <v>741</v>
      </c>
      <c r="E61" s="940">
        <v>6.9444444444444447E-4</v>
      </c>
      <c r="F61" s="940">
        <v>6.9444444444444447E-4</v>
      </c>
      <c r="G61" s="941">
        <f t="shared" si="30"/>
        <v>0</v>
      </c>
      <c r="H61" s="1169" t="s">
        <v>758</v>
      </c>
      <c r="I61" s="106">
        <v>12</v>
      </c>
      <c r="J61" s="942">
        <f t="shared" si="22"/>
        <v>12</v>
      </c>
      <c r="K61" s="943">
        <f t="shared" si="23"/>
        <v>1</v>
      </c>
      <c r="L61" s="1317">
        <f>SUM(J61:J62)/24</f>
        <v>1</v>
      </c>
      <c r="M61" s="43"/>
      <c r="Q61" s="10"/>
    </row>
    <row r="62" spans="1:20" ht="28.8" x14ac:dyDescent="0.3">
      <c r="A62" s="1318">
        <v>46293</v>
      </c>
      <c r="B62" s="1319"/>
      <c r="C62" s="910" t="s">
        <v>13</v>
      </c>
      <c r="D62" s="1168" t="s">
        <v>508</v>
      </c>
      <c r="E62" s="940">
        <v>6.9444444444444447E-4</v>
      </c>
      <c r="F62" s="940">
        <v>6.9444444444444447E-4</v>
      </c>
      <c r="G62" s="941">
        <f t="shared" si="30"/>
        <v>0</v>
      </c>
      <c r="H62" s="1170" t="s">
        <v>757</v>
      </c>
      <c r="I62" s="980">
        <v>12</v>
      </c>
      <c r="J62" s="942">
        <f t="shared" si="22"/>
        <v>12</v>
      </c>
      <c r="K62" s="943">
        <f t="shared" si="23"/>
        <v>1</v>
      </c>
      <c r="L62" s="1317"/>
      <c r="N62" s="10"/>
      <c r="P62" s="10"/>
    </row>
    <row r="63" spans="1:20" x14ac:dyDescent="0.3">
      <c r="A63" s="1318">
        <v>46294</v>
      </c>
      <c r="B63" s="1319"/>
      <c r="C63" s="910" t="s">
        <v>12</v>
      </c>
      <c r="D63" s="1171" t="s">
        <v>542</v>
      </c>
      <c r="E63" s="940">
        <v>6.9444444444444447E-4</v>
      </c>
      <c r="F63" s="940">
        <v>1.4583333333333334E-2</v>
      </c>
      <c r="G63" s="941">
        <f t="shared" si="30"/>
        <v>20</v>
      </c>
      <c r="H63" s="1172" t="s">
        <v>759</v>
      </c>
      <c r="I63" s="106">
        <v>12</v>
      </c>
      <c r="J63" s="942">
        <f t="shared" si="22"/>
        <v>11.666666666666666</v>
      </c>
      <c r="K63" s="943">
        <f t="shared" si="23"/>
        <v>0.97222222222222221</v>
      </c>
      <c r="L63" s="452"/>
    </row>
    <row r="64" spans="1:20" x14ac:dyDescent="0.3">
      <c r="A64" s="1313">
        <v>46294</v>
      </c>
      <c r="B64" s="1314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0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313">
        <v>46295</v>
      </c>
      <c r="B65" s="1314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0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313">
        <v>46295</v>
      </c>
      <c r="B66" s="1314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0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8"/>
      <c r="S66" s="136"/>
    </row>
    <row r="67" spans="1:19" x14ac:dyDescent="0.3">
      <c r="A67" s="1313">
        <v>46296</v>
      </c>
      <c r="B67" s="1314"/>
      <c r="C67" s="36" t="s">
        <v>12</v>
      </c>
      <c r="D67" s="65"/>
      <c r="E67" s="67">
        <v>6.9444444444444447E-4</v>
      </c>
      <c r="F67" s="67">
        <v>0.50069444444444444</v>
      </c>
      <c r="G67" s="496">
        <f t="shared" si="30"/>
        <v>720</v>
      </c>
      <c r="H67" s="436"/>
      <c r="I67" s="417"/>
      <c r="J67" s="418">
        <f t="shared" si="22"/>
        <v>0</v>
      </c>
      <c r="K67" s="811">
        <f t="shared" si="23"/>
        <v>0</v>
      </c>
      <c r="L67" s="6"/>
      <c r="M67" s="29"/>
    </row>
    <row r="68" spans="1:19" x14ac:dyDescent="0.3">
      <c r="A68" s="1313">
        <v>46296</v>
      </c>
      <c r="B68" s="1314"/>
      <c r="C68" s="36" t="s">
        <v>13</v>
      </c>
      <c r="D68" s="65"/>
      <c r="E68" s="67">
        <v>6.9444444444444447E-4</v>
      </c>
      <c r="F68" s="67">
        <v>0.50069444444444444</v>
      </c>
      <c r="G68" s="496">
        <f t="shared" si="30"/>
        <v>720</v>
      </c>
      <c r="H68" s="436"/>
      <c r="I68" s="417"/>
      <c r="J68" s="418">
        <f t="shared" si="22"/>
        <v>0</v>
      </c>
      <c r="K68" s="811">
        <f t="shared" si="23"/>
        <v>0</v>
      </c>
      <c r="L68" s="6"/>
      <c r="S68" s="1060" t="s">
        <v>659</v>
      </c>
    </row>
    <row r="69" spans="1:19" x14ac:dyDescent="0.3">
      <c r="A69" s="1313">
        <v>46297</v>
      </c>
      <c r="B69" s="1314"/>
      <c r="C69" s="36" t="s">
        <v>12</v>
      </c>
      <c r="D69" s="65"/>
      <c r="E69" s="67">
        <v>6.9444444444444447E-4</v>
      </c>
      <c r="F69" s="67">
        <v>0.50069444444444444</v>
      </c>
      <c r="G69" s="496">
        <f t="shared" si="30"/>
        <v>720</v>
      </c>
      <c r="H69" s="436"/>
      <c r="I69" s="417"/>
      <c r="J69" s="418">
        <f t="shared" si="22"/>
        <v>0</v>
      </c>
      <c r="K69" s="811">
        <f t="shared" si="23"/>
        <v>0</v>
      </c>
      <c r="L69" s="6"/>
    </row>
    <row r="70" spans="1:19" x14ac:dyDescent="0.3">
      <c r="A70" s="1313">
        <v>46297</v>
      </c>
      <c r="B70" s="1314"/>
      <c r="C70" s="36" t="s">
        <v>13</v>
      </c>
      <c r="D70" s="65"/>
      <c r="E70" s="67">
        <v>6.9444444444444447E-4</v>
      </c>
      <c r="F70" s="67">
        <v>0.50069444444444444</v>
      </c>
      <c r="G70" s="496">
        <f t="shared" ref="G70:G76" si="32">(F70-E70)*1440</f>
        <v>720</v>
      </c>
      <c r="H70" s="436"/>
      <c r="I70" s="417"/>
      <c r="J70" s="418">
        <f t="shared" ref="J70:J76" si="33">(720-G70)/60</f>
        <v>0</v>
      </c>
      <c r="K70" s="811">
        <f t="shared" ref="K70:K76" si="34">J70/12</f>
        <v>0</v>
      </c>
      <c r="L70" s="6"/>
    </row>
    <row r="71" spans="1:19" x14ac:dyDescent="0.3">
      <c r="A71" s="1313">
        <v>46298</v>
      </c>
      <c r="B71" s="1314"/>
      <c r="C71" s="36" t="s">
        <v>12</v>
      </c>
      <c r="D71" s="65"/>
      <c r="E71" s="67">
        <v>6.9444444444444447E-4</v>
      </c>
      <c r="F71" s="67">
        <v>0.50069444444444444</v>
      </c>
      <c r="G71" s="496">
        <f t="shared" si="32"/>
        <v>720</v>
      </c>
      <c r="H71" s="436"/>
      <c r="I71" s="417"/>
      <c r="J71" s="418">
        <f t="shared" si="33"/>
        <v>0</v>
      </c>
      <c r="K71" s="811">
        <f t="shared" si="34"/>
        <v>0</v>
      </c>
      <c r="L71" s="6"/>
    </row>
    <row r="72" spans="1:19" x14ac:dyDescent="0.3">
      <c r="A72" s="1313">
        <v>46298</v>
      </c>
      <c r="B72" s="1314"/>
      <c r="C72" s="36" t="s">
        <v>13</v>
      </c>
      <c r="D72" s="65"/>
      <c r="E72" s="67">
        <v>6.9444444444444447E-4</v>
      </c>
      <c r="F72" s="67">
        <v>0.50069444444444444</v>
      </c>
      <c r="G72" s="496">
        <f t="shared" si="32"/>
        <v>720</v>
      </c>
      <c r="H72" s="436"/>
      <c r="I72" s="417"/>
      <c r="J72" s="418">
        <f t="shared" si="33"/>
        <v>0</v>
      </c>
      <c r="K72" s="811">
        <f t="shared" si="34"/>
        <v>0</v>
      </c>
      <c r="L72" s="6"/>
    </row>
    <row r="73" spans="1:19" x14ac:dyDescent="0.3">
      <c r="A73" s="1313">
        <v>46299</v>
      </c>
      <c r="B73" s="1314"/>
      <c r="C73" s="36" t="s">
        <v>12</v>
      </c>
      <c r="D73" s="65"/>
      <c r="E73" s="67">
        <v>6.9444444444444447E-4</v>
      </c>
      <c r="F73" s="67">
        <v>6.9444444444444447E-4</v>
      </c>
      <c r="G73" s="496">
        <f t="shared" si="32"/>
        <v>0</v>
      </c>
      <c r="H73" s="436"/>
      <c r="I73" s="417"/>
      <c r="J73" s="418">
        <f t="shared" si="33"/>
        <v>12</v>
      </c>
      <c r="K73" s="811">
        <f t="shared" si="34"/>
        <v>1</v>
      </c>
      <c r="L73" s="6"/>
    </row>
    <row r="74" spans="1:19" x14ac:dyDescent="0.3">
      <c r="A74" s="1315">
        <v>46299</v>
      </c>
      <c r="B74" s="1316"/>
      <c r="C74" s="969" t="s">
        <v>13</v>
      </c>
      <c r="D74" s="1188"/>
      <c r="E74" s="994">
        <v>6.9444444444444447E-4</v>
      </c>
      <c r="F74" s="994">
        <v>7.6388888888888886E-3</v>
      </c>
      <c r="G74" s="995">
        <f t="shared" si="32"/>
        <v>10</v>
      </c>
      <c r="H74" s="1189" t="s">
        <v>771</v>
      </c>
      <c r="I74" s="122">
        <v>13</v>
      </c>
      <c r="J74" s="997">
        <f t="shared" si="33"/>
        <v>11.833333333333334</v>
      </c>
      <c r="K74" s="998">
        <f t="shared" si="34"/>
        <v>0.98611111111111116</v>
      </c>
      <c r="L74" s="1109"/>
    </row>
    <row r="75" spans="1:19" x14ac:dyDescent="0.3">
      <c r="A75" s="1315">
        <v>46300</v>
      </c>
      <c r="B75" s="1316"/>
      <c r="C75" s="969" t="s">
        <v>12</v>
      </c>
      <c r="D75" s="1188"/>
      <c r="E75" s="994">
        <v>6.9444444444444447E-4</v>
      </c>
      <c r="F75" s="994">
        <v>6.9444444444444447E-4</v>
      </c>
      <c r="G75" s="995">
        <f t="shared" si="32"/>
        <v>0</v>
      </c>
      <c r="H75" s="1190"/>
      <c r="I75" s="122">
        <v>13</v>
      </c>
      <c r="J75" s="997">
        <f t="shared" si="33"/>
        <v>12</v>
      </c>
      <c r="K75" s="998">
        <f t="shared" si="34"/>
        <v>1</v>
      </c>
      <c r="L75" s="1109"/>
    </row>
    <row r="76" spans="1:19" x14ac:dyDescent="0.3">
      <c r="A76" s="1315">
        <v>46300</v>
      </c>
      <c r="B76" s="1316"/>
      <c r="C76" s="969" t="s">
        <v>13</v>
      </c>
      <c r="D76" s="1188"/>
      <c r="E76" s="994">
        <v>6.9444444444444447E-4</v>
      </c>
      <c r="F76" s="994">
        <v>0.50069444444444444</v>
      </c>
      <c r="G76" s="995">
        <f t="shared" si="32"/>
        <v>720</v>
      </c>
      <c r="H76" s="1599" t="s">
        <v>779</v>
      </c>
      <c r="I76" s="122"/>
      <c r="J76" s="997">
        <f t="shared" si="33"/>
        <v>0</v>
      </c>
      <c r="K76" s="998">
        <f t="shared" si="34"/>
        <v>0</v>
      </c>
      <c r="L76" s="1109"/>
    </row>
    <row r="77" spans="1:19" x14ac:dyDescent="0.3">
      <c r="A77" s="1313">
        <v>46301</v>
      </c>
      <c r="B77" s="1314"/>
      <c r="C77" s="36" t="s">
        <v>12</v>
      </c>
      <c r="D77" s="65"/>
      <c r="E77" s="67"/>
      <c r="F77" s="67"/>
      <c r="G77" s="496">
        <f t="shared" ref="G77:G140" si="35">(F77-E77)*1440</f>
        <v>0</v>
      </c>
      <c r="H77" s="436"/>
      <c r="I77" s="417"/>
      <c r="J77" s="418">
        <f t="shared" ref="J77:J140" si="36">(720-G77)/60</f>
        <v>12</v>
      </c>
      <c r="K77" s="811">
        <f t="shared" ref="K77:K140" si="37">J77/12</f>
        <v>1</v>
      </c>
      <c r="L77" s="6"/>
    </row>
    <row r="78" spans="1:19" x14ac:dyDescent="0.3">
      <c r="A78" s="1313">
        <v>46301</v>
      </c>
      <c r="B78" s="1314"/>
      <c r="C78" s="36" t="s">
        <v>13</v>
      </c>
      <c r="D78" s="65"/>
      <c r="E78" s="67"/>
      <c r="F78" s="67"/>
      <c r="G78" s="496">
        <f t="shared" si="35"/>
        <v>0</v>
      </c>
      <c r="H78" s="436"/>
      <c r="I78" s="417"/>
      <c r="J78" s="418">
        <f t="shared" si="36"/>
        <v>12</v>
      </c>
      <c r="K78" s="811">
        <f t="shared" si="37"/>
        <v>1</v>
      </c>
      <c r="L78" s="6"/>
    </row>
    <row r="79" spans="1:19" x14ac:dyDescent="0.3">
      <c r="A79" s="1313">
        <v>46302</v>
      </c>
      <c r="B79" s="1314"/>
      <c r="C79" s="36" t="s">
        <v>12</v>
      </c>
      <c r="D79" s="65"/>
      <c r="E79" s="67"/>
      <c r="F79" s="67"/>
      <c r="G79" s="496">
        <f t="shared" si="35"/>
        <v>0</v>
      </c>
      <c r="H79" s="436"/>
      <c r="I79" s="417"/>
      <c r="J79" s="418">
        <f t="shared" si="36"/>
        <v>12</v>
      </c>
      <c r="K79" s="811">
        <f t="shared" si="37"/>
        <v>1</v>
      </c>
      <c r="L79" s="6"/>
    </row>
    <row r="80" spans="1:19" x14ac:dyDescent="0.3">
      <c r="A80" s="1313">
        <v>46302</v>
      </c>
      <c r="B80" s="1314"/>
      <c r="C80" s="36" t="s">
        <v>13</v>
      </c>
      <c r="D80" s="65"/>
      <c r="E80" s="67"/>
      <c r="F80" s="67"/>
      <c r="G80" s="496">
        <f t="shared" si="35"/>
        <v>0</v>
      </c>
      <c r="H80" s="436"/>
      <c r="I80" s="417"/>
      <c r="J80" s="418">
        <f t="shared" si="36"/>
        <v>12</v>
      </c>
      <c r="K80" s="811">
        <f t="shared" si="37"/>
        <v>1</v>
      </c>
      <c r="L80" s="6"/>
    </row>
    <row r="81" spans="1:12" x14ac:dyDescent="0.3">
      <c r="A81" s="1313">
        <v>46303</v>
      </c>
      <c r="B81" s="1314"/>
      <c r="C81" s="36" t="s">
        <v>12</v>
      </c>
      <c r="D81" s="65"/>
      <c r="E81" s="67"/>
      <c r="F81" s="67"/>
      <c r="G81" s="496">
        <f t="shared" si="35"/>
        <v>0</v>
      </c>
      <c r="H81" s="436"/>
      <c r="I81" s="417"/>
      <c r="J81" s="418">
        <f t="shared" si="36"/>
        <v>12</v>
      </c>
      <c r="K81" s="811">
        <f t="shared" si="37"/>
        <v>1</v>
      </c>
      <c r="L81" s="6"/>
    </row>
    <row r="82" spans="1:12" x14ac:dyDescent="0.3">
      <c r="A82" s="1313">
        <v>46303</v>
      </c>
      <c r="B82" s="1314"/>
      <c r="C82" s="36" t="s">
        <v>13</v>
      </c>
      <c r="D82" s="65"/>
      <c r="E82" s="67"/>
      <c r="F82" s="67"/>
      <c r="G82" s="496">
        <f t="shared" si="35"/>
        <v>0</v>
      </c>
      <c r="H82" s="436"/>
      <c r="I82" s="417"/>
      <c r="J82" s="418">
        <f t="shared" si="36"/>
        <v>12</v>
      </c>
      <c r="K82" s="811">
        <f t="shared" si="37"/>
        <v>1</v>
      </c>
      <c r="L82" s="6"/>
    </row>
    <row r="83" spans="1:12" x14ac:dyDescent="0.3">
      <c r="A83" s="1313">
        <v>46304</v>
      </c>
      <c r="B83" s="1314"/>
      <c r="C83" s="36" t="s">
        <v>12</v>
      </c>
      <c r="D83" s="65"/>
      <c r="E83" s="67"/>
      <c r="F83" s="67"/>
      <c r="G83" s="496">
        <f t="shared" si="35"/>
        <v>0</v>
      </c>
      <c r="H83" s="436"/>
      <c r="I83" s="417"/>
      <c r="J83" s="418">
        <f t="shared" si="36"/>
        <v>12</v>
      </c>
      <c r="K83" s="811">
        <f t="shared" si="37"/>
        <v>1</v>
      </c>
      <c r="L83" s="6"/>
    </row>
    <row r="84" spans="1:12" x14ac:dyDescent="0.3">
      <c r="A84" s="1313">
        <v>46304</v>
      </c>
      <c r="B84" s="1314"/>
      <c r="C84" s="36" t="s">
        <v>13</v>
      </c>
      <c r="D84" s="65"/>
      <c r="E84" s="67"/>
      <c r="F84" s="67"/>
      <c r="G84" s="496">
        <f t="shared" si="35"/>
        <v>0</v>
      </c>
      <c r="H84" s="436"/>
      <c r="I84" s="417"/>
      <c r="J84" s="418">
        <f t="shared" si="36"/>
        <v>12</v>
      </c>
      <c r="K84" s="811">
        <f t="shared" si="37"/>
        <v>1</v>
      </c>
      <c r="L84" s="6"/>
    </row>
    <row r="85" spans="1:12" x14ac:dyDescent="0.3">
      <c r="A85" s="1313">
        <v>46305</v>
      </c>
      <c r="B85" s="1314"/>
      <c r="C85" s="36" t="s">
        <v>12</v>
      </c>
      <c r="D85" s="65"/>
      <c r="E85" s="67"/>
      <c r="F85" s="67"/>
      <c r="G85" s="496">
        <f t="shared" si="35"/>
        <v>0</v>
      </c>
      <c r="H85" s="436"/>
      <c r="I85" s="417"/>
      <c r="J85" s="418">
        <f t="shared" si="36"/>
        <v>12</v>
      </c>
      <c r="K85" s="811">
        <f t="shared" si="37"/>
        <v>1</v>
      </c>
      <c r="L85" s="6"/>
    </row>
    <row r="86" spans="1:12" x14ac:dyDescent="0.3">
      <c r="A86" s="1313">
        <v>46305</v>
      </c>
      <c r="B86" s="1314"/>
      <c r="C86" s="36" t="s">
        <v>13</v>
      </c>
      <c r="D86" s="65"/>
      <c r="E86" s="67"/>
      <c r="F86" s="67"/>
      <c r="G86" s="496">
        <f t="shared" si="35"/>
        <v>0</v>
      </c>
      <c r="H86" s="436"/>
      <c r="I86" s="417"/>
      <c r="J86" s="418">
        <f t="shared" si="36"/>
        <v>12</v>
      </c>
      <c r="K86" s="811">
        <f t="shared" si="37"/>
        <v>1</v>
      </c>
      <c r="L86" s="6"/>
    </row>
    <row r="87" spans="1:12" x14ac:dyDescent="0.3">
      <c r="A87" s="1313">
        <v>46306</v>
      </c>
      <c r="B87" s="1314"/>
      <c r="C87" s="36" t="s">
        <v>12</v>
      </c>
      <c r="D87" s="65"/>
      <c r="E87" s="67"/>
      <c r="F87" s="67"/>
      <c r="G87" s="496">
        <f t="shared" si="35"/>
        <v>0</v>
      </c>
      <c r="H87" s="436"/>
      <c r="I87" s="417"/>
      <c r="J87" s="418">
        <f t="shared" si="36"/>
        <v>12</v>
      </c>
      <c r="K87" s="811">
        <f t="shared" si="37"/>
        <v>1</v>
      </c>
      <c r="L87" s="6"/>
    </row>
    <row r="88" spans="1:12" x14ac:dyDescent="0.3">
      <c r="A88" s="1313">
        <v>46306</v>
      </c>
      <c r="B88" s="1314"/>
      <c r="C88" s="36" t="s">
        <v>13</v>
      </c>
      <c r="D88" s="65"/>
      <c r="E88" s="67"/>
      <c r="F88" s="67"/>
      <c r="G88" s="496">
        <f t="shared" si="35"/>
        <v>0</v>
      </c>
      <c r="H88" s="436"/>
      <c r="I88" s="417"/>
      <c r="J88" s="418">
        <f t="shared" si="36"/>
        <v>12</v>
      </c>
      <c r="K88" s="811">
        <f t="shared" si="37"/>
        <v>1</v>
      </c>
      <c r="L88" s="6"/>
    </row>
    <row r="89" spans="1:12" x14ac:dyDescent="0.3">
      <c r="A89" s="1313">
        <v>46307</v>
      </c>
      <c r="B89" s="1314"/>
      <c r="C89" s="36" t="s">
        <v>12</v>
      </c>
      <c r="D89" s="65"/>
      <c r="E89" s="67"/>
      <c r="F89" s="67"/>
      <c r="G89" s="496">
        <f t="shared" si="35"/>
        <v>0</v>
      </c>
      <c r="H89" s="436"/>
      <c r="I89" s="417"/>
      <c r="J89" s="418">
        <f t="shared" si="36"/>
        <v>12</v>
      </c>
      <c r="K89" s="811">
        <f t="shared" si="37"/>
        <v>1</v>
      </c>
      <c r="L89" s="6"/>
    </row>
    <row r="90" spans="1:12" x14ac:dyDescent="0.3">
      <c r="A90" s="1313">
        <v>46307</v>
      </c>
      <c r="B90" s="1314"/>
      <c r="C90" s="36" t="s">
        <v>13</v>
      </c>
      <c r="D90" s="65"/>
      <c r="E90" s="67"/>
      <c r="F90" s="67"/>
      <c r="G90" s="496">
        <f t="shared" si="35"/>
        <v>0</v>
      </c>
      <c r="H90" s="436"/>
      <c r="I90" s="417"/>
      <c r="J90" s="418">
        <f t="shared" si="36"/>
        <v>12</v>
      </c>
      <c r="K90" s="811">
        <f t="shared" si="37"/>
        <v>1</v>
      </c>
      <c r="L90" s="6"/>
    </row>
    <row r="91" spans="1:12" x14ac:dyDescent="0.3">
      <c r="A91" s="1313">
        <v>46308</v>
      </c>
      <c r="B91" s="1314"/>
      <c r="C91" s="36" t="s">
        <v>12</v>
      </c>
      <c r="D91" s="65"/>
      <c r="E91" s="67"/>
      <c r="F91" s="67"/>
      <c r="G91" s="496">
        <f t="shared" si="35"/>
        <v>0</v>
      </c>
      <c r="H91" s="436"/>
      <c r="I91" s="417"/>
      <c r="J91" s="418">
        <f t="shared" si="36"/>
        <v>12</v>
      </c>
      <c r="K91" s="811">
        <f t="shared" si="37"/>
        <v>1</v>
      </c>
      <c r="L91" s="6"/>
    </row>
    <row r="92" spans="1:12" x14ac:dyDescent="0.3">
      <c r="A92" s="1313">
        <v>46308</v>
      </c>
      <c r="B92" s="1314"/>
      <c r="C92" s="36" t="s">
        <v>13</v>
      </c>
      <c r="D92" s="65"/>
      <c r="E92" s="67"/>
      <c r="F92" s="67"/>
      <c r="G92" s="496">
        <f t="shared" si="35"/>
        <v>0</v>
      </c>
      <c r="H92" s="436"/>
      <c r="I92" s="417"/>
      <c r="J92" s="418">
        <f t="shared" si="36"/>
        <v>12</v>
      </c>
      <c r="K92" s="811">
        <f t="shared" si="37"/>
        <v>1</v>
      </c>
      <c r="L92" s="6"/>
    </row>
    <row r="93" spans="1:12" x14ac:dyDescent="0.3">
      <c r="A93" s="1313">
        <v>46309</v>
      </c>
      <c r="B93" s="1314"/>
      <c r="C93" s="36" t="s">
        <v>12</v>
      </c>
      <c r="D93" s="65"/>
      <c r="E93" s="67"/>
      <c r="F93" s="67"/>
      <c r="G93" s="496">
        <f t="shared" si="35"/>
        <v>0</v>
      </c>
      <c r="H93" s="436"/>
      <c r="I93" s="417"/>
      <c r="J93" s="418">
        <f t="shared" si="36"/>
        <v>12</v>
      </c>
      <c r="K93" s="811">
        <f t="shared" si="37"/>
        <v>1</v>
      </c>
      <c r="L93" s="6"/>
    </row>
    <row r="94" spans="1:12" x14ac:dyDescent="0.3">
      <c r="A94" s="1313">
        <v>46309</v>
      </c>
      <c r="B94" s="1314"/>
      <c r="C94" s="36" t="s">
        <v>13</v>
      </c>
      <c r="D94" s="65"/>
      <c r="E94" s="67"/>
      <c r="F94" s="67"/>
      <c r="G94" s="496">
        <f t="shared" si="35"/>
        <v>0</v>
      </c>
      <c r="H94" s="436"/>
      <c r="I94" s="417"/>
      <c r="J94" s="418">
        <f t="shared" si="36"/>
        <v>12</v>
      </c>
      <c r="K94" s="811">
        <f t="shared" si="37"/>
        <v>1</v>
      </c>
      <c r="L94" s="6"/>
    </row>
    <row r="95" spans="1:12" x14ac:dyDescent="0.3">
      <c r="A95" s="1313">
        <v>46310</v>
      </c>
      <c r="B95" s="1314"/>
      <c r="C95" s="36" t="s">
        <v>12</v>
      </c>
      <c r="D95" s="65"/>
      <c r="E95" s="67"/>
      <c r="F95" s="67"/>
      <c r="G95" s="496">
        <f t="shared" si="35"/>
        <v>0</v>
      </c>
      <c r="H95" s="436"/>
      <c r="I95" s="417"/>
      <c r="J95" s="418">
        <f t="shared" si="36"/>
        <v>12</v>
      </c>
      <c r="K95" s="811">
        <f t="shared" si="37"/>
        <v>1</v>
      </c>
      <c r="L95" s="6"/>
    </row>
    <row r="96" spans="1:12" x14ac:dyDescent="0.3">
      <c r="A96" s="1313">
        <v>46310</v>
      </c>
      <c r="B96" s="1314"/>
      <c r="C96" s="36" t="s">
        <v>13</v>
      </c>
      <c r="D96" s="65"/>
      <c r="E96" s="67"/>
      <c r="F96" s="67"/>
      <c r="G96" s="496">
        <f t="shared" si="35"/>
        <v>0</v>
      </c>
      <c r="H96" s="436"/>
      <c r="I96" s="417"/>
      <c r="J96" s="418">
        <f t="shared" si="36"/>
        <v>12</v>
      </c>
      <c r="K96" s="811">
        <f t="shared" si="37"/>
        <v>1</v>
      </c>
      <c r="L96" s="6"/>
    </row>
    <row r="97" spans="1:12" x14ac:dyDescent="0.3">
      <c r="A97" s="1313">
        <v>46311</v>
      </c>
      <c r="B97" s="1314"/>
      <c r="C97" s="36" t="s">
        <v>12</v>
      </c>
      <c r="D97" s="65"/>
      <c r="E97" s="67"/>
      <c r="F97" s="67"/>
      <c r="G97" s="496">
        <f t="shared" si="35"/>
        <v>0</v>
      </c>
      <c r="H97" s="436"/>
      <c r="I97" s="417"/>
      <c r="J97" s="418">
        <f t="shared" si="36"/>
        <v>12</v>
      </c>
      <c r="K97" s="811">
        <f t="shared" si="37"/>
        <v>1</v>
      </c>
      <c r="L97" s="6"/>
    </row>
    <row r="98" spans="1:12" x14ac:dyDescent="0.3">
      <c r="A98" s="1313">
        <v>46311</v>
      </c>
      <c r="B98" s="1314"/>
      <c r="C98" s="36" t="s">
        <v>13</v>
      </c>
      <c r="D98" s="65"/>
      <c r="E98" s="67"/>
      <c r="F98" s="67"/>
      <c r="G98" s="496">
        <f t="shared" si="35"/>
        <v>0</v>
      </c>
      <c r="H98" s="436"/>
      <c r="I98" s="417"/>
      <c r="J98" s="418">
        <f t="shared" si="36"/>
        <v>12</v>
      </c>
      <c r="K98" s="811">
        <f t="shared" si="37"/>
        <v>1</v>
      </c>
      <c r="L98" s="6"/>
    </row>
    <row r="99" spans="1:12" x14ac:dyDescent="0.3">
      <c r="A99" s="1313">
        <v>46312</v>
      </c>
      <c r="B99" s="1314"/>
      <c r="C99" s="36" t="s">
        <v>12</v>
      </c>
      <c r="D99" s="65"/>
      <c r="E99" s="67"/>
      <c r="F99" s="67"/>
      <c r="G99" s="496">
        <f t="shared" si="35"/>
        <v>0</v>
      </c>
      <c r="H99" s="436"/>
      <c r="I99" s="417"/>
      <c r="J99" s="418">
        <f t="shared" si="36"/>
        <v>12</v>
      </c>
      <c r="K99" s="811">
        <f t="shared" si="37"/>
        <v>1</v>
      </c>
      <c r="L99" s="6"/>
    </row>
    <row r="100" spans="1:12" x14ac:dyDescent="0.3">
      <c r="A100" s="1313">
        <v>46312</v>
      </c>
      <c r="B100" s="1314"/>
      <c r="C100" s="36" t="s">
        <v>13</v>
      </c>
      <c r="D100" s="65"/>
      <c r="E100" s="67"/>
      <c r="F100" s="67"/>
      <c r="G100" s="496">
        <f t="shared" si="35"/>
        <v>0</v>
      </c>
      <c r="H100" s="436"/>
      <c r="I100" s="417"/>
      <c r="J100" s="418">
        <f t="shared" si="36"/>
        <v>12</v>
      </c>
      <c r="K100" s="811">
        <f t="shared" si="37"/>
        <v>1</v>
      </c>
      <c r="L100" s="6"/>
    </row>
    <row r="101" spans="1:12" x14ac:dyDescent="0.3">
      <c r="A101" s="1313">
        <v>46313</v>
      </c>
      <c r="B101" s="1314"/>
      <c r="C101" s="36" t="s">
        <v>12</v>
      </c>
      <c r="D101" s="65"/>
      <c r="E101" s="67"/>
      <c r="F101" s="67"/>
      <c r="G101" s="496">
        <f t="shared" si="35"/>
        <v>0</v>
      </c>
      <c r="H101" s="436"/>
      <c r="I101" s="417"/>
      <c r="J101" s="418">
        <f t="shared" si="36"/>
        <v>12</v>
      </c>
      <c r="K101" s="811">
        <f t="shared" si="37"/>
        <v>1</v>
      </c>
      <c r="L101" s="6"/>
    </row>
    <row r="102" spans="1:12" x14ac:dyDescent="0.3">
      <c r="A102" s="1313">
        <v>46313</v>
      </c>
      <c r="B102" s="1314"/>
      <c r="C102" s="36" t="s">
        <v>13</v>
      </c>
      <c r="D102" s="65"/>
      <c r="E102" s="67"/>
      <c r="F102" s="67"/>
      <c r="G102" s="496">
        <f t="shared" si="35"/>
        <v>0</v>
      </c>
      <c r="H102" s="436"/>
      <c r="I102" s="417"/>
      <c r="J102" s="418">
        <f t="shared" si="36"/>
        <v>12</v>
      </c>
      <c r="K102" s="811">
        <f t="shared" si="37"/>
        <v>1</v>
      </c>
      <c r="L102" s="6"/>
    </row>
    <row r="103" spans="1:12" x14ac:dyDescent="0.3">
      <c r="A103" s="1313">
        <v>46314</v>
      </c>
      <c r="B103" s="1314"/>
      <c r="C103" s="36" t="s">
        <v>12</v>
      </c>
      <c r="D103" s="65"/>
      <c r="E103" s="67"/>
      <c r="F103" s="67"/>
      <c r="G103" s="496">
        <f t="shared" si="35"/>
        <v>0</v>
      </c>
      <c r="H103" s="436"/>
      <c r="I103" s="417"/>
      <c r="J103" s="418">
        <f t="shared" si="36"/>
        <v>12</v>
      </c>
      <c r="K103" s="811">
        <f t="shared" si="37"/>
        <v>1</v>
      </c>
      <c r="L103" s="6"/>
    </row>
    <row r="104" spans="1:12" x14ac:dyDescent="0.3">
      <c r="A104" s="1313">
        <v>46314</v>
      </c>
      <c r="B104" s="1314"/>
      <c r="C104" s="36" t="s">
        <v>13</v>
      </c>
      <c r="D104" s="65"/>
      <c r="E104" s="67"/>
      <c r="F104" s="67"/>
      <c r="G104" s="496">
        <f t="shared" si="35"/>
        <v>0</v>
      </c>
      <c r="H104" s="436"/>
      <c r="I104" s="417"/>
      <c r="J104" s="418">
        <f t="shared" si="36"/>
        <v>12</v>
      </c>
      <c r="K104" s="811">
        <f t="shared" si="37"/>
        <v>1</v>
      </c>
      <c r="L104" s="6"/>
    </row>
    <row r="105" spans="1:12" x14ac:dyDescent="0.3">
      <c r="A105" s="1313">
        <v>46315</v>
      </c>
      <c r="B105" s="1314"/>
      <c r="C105" s="36" t="s">
        <v>12</v>
      </c>
      <c r="D105" s="65"/>
      <c r="E105" s="67"/>
      <c r="F105" s="67"/>
      <c r="G105" s="496">
        <f t="shared" si="35"/>
        <v>0</v>
      </c>
      <c r="H105" s="436"/>
      <c r="I105" s="417"/>
      <c r="J105" s="418">
        <f t="shared" si="36"/>
        <v>12</v>
      </c>
      <c r="K105" s="811">
        <f t="shared" si="37"/>
        <v>1</v>
      </c>
      <c r="L105" s="6"/>
    </row>
    <row r="106" spans="1:12" x14ac:dyDescent="0.3">
      <c r="A106" s="1313">
        <v>46315</v>
      </c>
      <c r="B106" s="1314"/>
      <c r="C106" s="36" t="s">
        <v>13</v>
      </c>
      <c r="D106" s="65"/>
      <c r="E106" s="67"/>
      <c r="F106" s="67"/>
      <c r="G106" s="496">
        <f t="shared" si="35"/>
        <v>0</v>
      </c>
      <c r="H106" s="436"/>
      <c r="I106" s="417"/>
      <c r="J106" s="418">
        <f t="shared" si="36"/>
        <v>12</v>
      </c>
      <c r="K106" s="811">
        <f t="shared" si="37"/>
        <v>1</v>
      </c>
      <c r="L106" s="6"/>
    </row>
    <row r="107" spans="1:12" x14ac:dyDescent="0.3">
      <c r="A107" s="1313">
        <v>46316</v>
      </c>
      <c r="B107" s="1314"/>
      <c r="C107" s="36" t="s">
        <v>12</v>
      </c>
      <c r="D107" s="65"/>
      <c r="E107" s="67"/>
      <c r="F107" s="67"/>
      <c r="G107" s="496">
        <f t="shared" si="35"/>
        <v>0</v>
      </c>
      <c r="H107" s="436"/>
      <c r="I107" s="417"/>
      <c r="J107" s="418">
        <f t="shared" si="36"/>
        <v>12</v>
      </c>
      <c r="K107" s="811">
        <f t="shared" si="37"/>
        <v>1</v>
      </c>
      <c r="L107" s="6"/>
    </row>
    <row r="108" spans="1:12" x14ac:dyDescent="0.3">
      <c r="A108" s="1313">
        <v>46316</v>
      </c>
      <c r="B108" s="1314"/>
      <c r="C108" s="36" t="s">
        <v>13</v>
      </c>
      <c r="D108" s="65"/>
      <c r="E108" s="67"/>
      <c r="F108" s="67"/>
      <c r="G108" s="496">
        <f t="shared" si="35"/>
        <v>0</v>
      </c>
      <c r="H108" s="436"/>
      <c r="I108" s="417"/>
      <c r="J108" s="418">
        <f t="shared" si="36"/>
        <v>12</v>
      </c>
      <c r="K108" s="811">
        <f t="shared" si="37"/>
        <v>1</v>
      </c>
      <c r="L108" s="6"/>
    </row>
    <row r="109" spans="1:12" x14ac:dyDescent="0.3">
      <c r="A109" s="1313">
        <v>46317</v>
      </c>
      <c r="B109" s="1314"/>
      <c r="C109" s="36" t="s">
        <v>12</v>
      </c>
      <c r="D109" s="65"/>
      <c r="E109" s="67"/>
      <c r="F109" s="67"/>
      <c r="G109" s="496">
        <f t="shared" si="35"/>
        <v>0</v>
      </c>
      <c r="H109" s="436"/>
      <c r="I109" s="417"/>
      <c r="J109" s="418">
        <f t="shared" si="36"/>
        <v>12</v>
      </c>
      <c r="K109" s="811">
        <f t="shared" si="37"/>
        <v>1</v>
      </c>
      <c r="L109" s="6"/>
    </row>
    <row r="110" spans="1:12" x14ac:dyDescent="0.3">
      <c r="A110" s="1313">
        <v>46317</v>
      </c>
      <c r="B110" s="1314"/>
      <c r="C110" s="36" t="s">
        <v>13</v>
      </c>
      <c r="D110" s="65"/>
      <c r="E110" s="67"/>
      <c r="F110" s="67"/>
      <c r="G110" s="496">
        <f t="shared" si="35"/>
        <v>0</v>
      </c>
      <c r="H110" s="436"/>
      <c r="I110" s="417"/>
      <c r="J110" s="418">
        <f t="shared" si="36"/>
        <v>12</v>
      </c>
      <c r="K110" s="811">
        <f t="shared" si="37"/>
        <v>1</v>
      </c>
      <c r="L110" s="6"/>
    </row>
    <row r="111" spans="1:12" x14ac:dyDescent="0.3">
      <c r="A111" s="1313">
        <v>46318</v>
      </c>
      <c r="B111" s="1314"/>
      <c r="C111" s="36" t="s">
        <v>12</v>
      </c>
      <c r="D111" s="65"/>
      <c r="E111" s="67"/>
      <c r="F111" s="67"/>
      <c r="G111" s="496">
        <f t="shared" si="35"/>
        <v>0</v>
      </c>
      <c r="H111" s="436"/>
      <c r="I111" s="417"/>
      <c r="J111" s="418">
        <f t="shared" si="36"/>
        <v>12</v>
      </c>
      <c r="K111" s="811">
        <f t="shared" si="37"/>
        <v>1</v>
      </c>
      <c r="L111" s="6"/>
    </row>
    <row r="112" spans="1:12" x14ac:dyDescent="0.3">
      <c r="A112" s="1313">
        <v>46318</v>
      </c>
      <c r="B112" s="1314"/>
      <c r="C112" s="36" t="s">
        <v>13</v>
      </c>
      <c r="D112" s="65"/>
      <c r="E112" s="67"/>
      <c r="F112" s="67"/>
      <c r="G112" s="496">
        <f t="shared" si="35"/>
        <v>0</v>
      </c>
      <c r="H112" s="436"/>
      <c r="I112" s="417"/>
      <c r="J112" s="418">
        <f t="shared" si="36"/>
        <v>12</v>
      </c>
      <c r="K112" s="811">
        <f t="shared" si="37"/>
        <v>1</v>
      </c>
      <c r="L112" s="6"/>
    </row>
    <row r="113" spans="1:12" x14ac:dyDescent="0.3">
      <c r="A113" s="1313">
        <v>46319</v>
      </c>
      <c r="B113" s="1314"/>
      <c r="C113" s="36" t="s">
        <v>12</v>
      </c>
      <c r="D113" s="65"/>
      <c r="E113" s="67"/>
      <c r="F113" s="67"/>
      <c r="G113" s="496">
        <f t="shared" si="35"/>
        <v>0</v>
      </c>
      <c r="H113" s="436"/>
      <c r="I113" s="417"/>
      <c r="J113" s="418">
        <f t="shared" si="36"/>
        <v>12</v>
      </c>
      <c r="K113" s="811">
        <f t="shared" si="37"/>
        <v>1</v>
      </c>
      <c r="L113" s="6"/>
    </row>
    <row r="114" spans="1:12" x14ac:dyDescent="0.3">
      <c r="A114" s="1313">
        <v>46319</v>
      </c>
      <c r="B114" s="1314"/>
      <c r="C114" s="36" t="s">
        <v>13</v>
      </c>
      <c r="D114" s="65"/>
      <c r="E114" s="67"/>
      <c r="F114" s="67"/>
      <c r="G114" s="496">
        <f t="shared" si="35"/>
        <v>0</v>
      </c>
      <c r="H114" s="436"/>
      <c r="I114" s="417"/>
      <c r="J114" s="418">
        <f t="shared" si="36"/>
        <v>12</v>
      </c>
      <c r="K114" s="811">
        <f t="shared" si="37"/>
        <v>1</v>
      </c>
      <c r="L114" s="6"/>
    </row>
    <row r="115" spans="1:12" x14ac:dyDescent="0.3">
      <c r="A115" s="1313">
        <v>46320</v>
      </c>
      <c r="B115" s="1314"/>
      <c r="C115" s="36" t="s">
        <v>12</v>
      </c>
      <c r="D115" s="65"/>
      <c r="E115" s="67"/>
      <c r="F115" s="67"/>
      <c r="G115" s="496">
        <f t="shared" si="35"/>
        <v>0</v>
      </c>
      <c r="H115" s="436"/>
      <c r="I115" s="417"/>
      <c r="J115" s="418">
        <f t="shared" si="36"/>
        <v>12</v>
      </c>
      <c r="K115" s="811">
        <f t="shared" si="37"/>
        <v>1</v>
      </c>
      <c r="L115" s="6"/>
    </row>
    <row r="116" spans="1:12" x14ac:dyDescent="0.3">
      <c r="A116" s="1313">
        <v>46320</v>
      </c>
      <c r="B116" s="1314"/>
      <c r="C116" s="36" t="s">
        <v>13</v>
      </c>
      <c r="D116" s="65"/>
      <c r="E116" s="67"/>
      <c r="F116" s="67"/>
      <c r="G116" s="496">
        <f t="shared" si="35"/>
        <v>0</v>
      </c>
      <c r="H116" s="436"/>
      <c r="I116" s="417"/>
      <c r="J116" s="418">
        <f t="shared" si="36"/>
        <v>12</v>
      </c>
      <c r="K116" s="811">
        <f t="shared" si="37"/>
        <v>1</v>
      </c>
      <c r="L116" s="6"/>
    </row>
    <row r="117" spans="1:12" x14ac:dyDescent="0.3">
      <c r="A117" s="1313">
        <v>46321</v>
      </c>
      <c r="B117" s="1314"/>
      <c r="C117" s="36" t="s">
        <v>12</v>
      </c>
      <c r="D117" s="65"/>
      <c r="E117" s="67"/>
      <c r="F117" s="67"/>
      <c r="G117" s="496">
        <f t="shared" si="35"/>
        <v>0</v>
      </c>
      <c r="H117" s="436"/>
      <c r="I117" s="417"/>
      <c r="J117" s="418">
        <f t="shared" si="36"/>
        <v>12</v>
      </c>
      <c r="K117" s="811">
        <f t="shared" si="37"/>
        <v>1</v>
      </c>
      <c r="L117" s="6"/>
    </row>
    <row r="118" spans="1:12" x14ac:dyDescent="0.3">
      <c r="A118" s="1313">
        <v>46321</v>
      </c>
      <c r="B118" s="1314"/>
      <c r="C118" s="36" t="s">
        <v>13</v>
      </c>
      <c r="D118" s="65"/>
      <c r="E118" s="67"/>
      <c r="F118" s="67"/>
      <c r="G118" s="496">
        <f t="shared" si="35"/>
        <v>0</v>
      </c>
      <c r="H118" s="436"/>
      <c r="I118" s="417"/>
      <c r="J118" s="418">
        <f t="shared" si="36"/>
        <v>12</v>
      </c>
      <c r="K118" s="811">
        <f t="shared" si="37"/>
        <v>1</v>
      </c>
      <c r="L118" s="6"/>
    </row>
    <row r="119" spans="1:12" x14ac:dyDescent="0.3">
      <c r="A119" s="1313">
        <v>46322</v>
      </c>
      <c r="B119" s="1314"/>
      <c r="C119" s="36" t="s">
        <v>12</v>
      </c>
      <c r="D119" s="65"/>
      <c r="E119" s="67"/>
      <c r="F119" s="67"/>
      <c r="G119" s="496">
        <f t="shared" si="35"/>
        <v>0</v>
      </c>
      <c r="H119" s="436"/>
      <c r="I119" s="417"/>
      <c r="J119" s="418">
        <f t="shared" si="36"/>
        <v>12</v>
      </c>
      <c r="K119" s="811">
        <f t="shared" si="37"/>
        <v>1</v>
      </c>
      <c r="L119" s="6"/>
    </row>
    <row r="120" spans="1:12" x14ac:dyDescent="0.3">
      <c r="A120" s="1313">
        <v>46322</v>
      </c>
      <c r="B120" s="1314"/>
      <c r="C120" s="36" t="s">
        <v>13</v>
      </c>
      <c r="D120" s="65"/>
      <c r="E120" s="67"/>
      <c r="F120" s="67"/>
      <c r="G120" s="496">
        <f t="shared" si="35"/>
        <v>0</v>
      </c>
      <c r="H120" s="436"/>
      <c r="I120" s="417"/>
      <c r="J120" s="418">
        <f t="shared" si="36"/>
        <v>12</v>
      </c>
      <c r="K120" s="811">
        <f t="shared" si="37"/>
        <v>1</v>
      </c>
      <c r="L120" s="6"/>
    </row>
    <row r="121" spans="1:12" x14ac:dyDescent="0.3">
      <c r="A121" s="1313">
        <v>46323</v>
      </c>
      <c r="B121" s="1314"/>
      <c r="C121" s="36" t="s">
        <v>12</v>
      </c>
      <c r="D121" s="65"/>
      <c r="E121" s="67"/>
      <c r="F121" s="67"/>
      <c r="G121" s="496">
        <f t="shared" si="35"/>
        <v>0</v>
      </c>
      <c r="H121" s="436"/>
      <c r="I121" s="417"/>
      <c r="J121" s="418">
        <f t="shared" si="36"/>
        <v>12</v>
      </c>
      <c r="K121" s="811">
        <f t="shared" si="37"/>
        <v>1</v>
      </c>
      <c r="L121" s="6"/>
    </row>
    <row r="122" spans="1:12" x14ac:dyDescent="0.3">
      <c r="A122" s="1313">
        <v>46323</v>
      </c>
      <c r="B122" s="1314"/>
      <c r="C122" s="36" t="s">
        <v>13</v>
      </c>
      <c r="D122" s="65"/>
      <c r="E122" s="67"/>
      <c r="F122" s="67"/>
      <c r="G122" s="496">
        <f t="shared" si="35"/>
        <v>0</v>
      </c>
      <c r="H122" s="436"/>
      <c r="I122" s="417"/>
      <c r="J122" s="418">
        <f t="shared" si="36"/>
        <v>12</v>
      </c>
      <c r="K122" s="811">
        <f t="shared" si="37"/>
        <v>1</v>
      </c>
      <c r="L122" s="6"/>
    </row>
    <row r="123" spans="1:12" x14ac:dyDescent="0.3">
      <c r="A123" s="1313">
        <v>46324</v>
      </c>
      <c r="B123" s="1314"/>
      <c r="C123" s="36" t="s">
        <v>12</v>
      </c>
      <c r="D123" s="65"/>
      <c r="E123" s="67"/>
      <c r="F123" s="67"/>
      <c r="G123" s="496">
        <f t="shared" si="35"/>
        <v>0</v>
      </c>
      <c r="H123" s="436"/>
      <c r="I123" s="417"/>
      <c r="J123" s="418">
        <f t="shared" si="36"/>
        <v>12</v>
      </c>
      <c r="K123" s="811">
        <f t="shared" si="37"/>
        <v>1</v>
      </c>
      <c r="L123" s="6"/>
    </row>
    <row r="124" spans="1:12" x14ac:dyDescent="0.3">
      <c r="A124" s="1313">
        <v>46324</v>
      </c>
      <c r="B124" s="1314"/>
      <c r="C124" s="36" t="s">
        <v>13</v>
      </c>
      <c r="D124" s="65"/>
      <c r="E124" s="67"/>
      <c r="F124" s="67"/>
      <c r="G124" s="496">
        <f t="shared" si="35"/>
        <v>0</v>
      </c>
      <c r="H124" s="436"/>
      <c r="I124" s="417"/>
      <c r="J124" s="418">
        <f t="shared" si="36"/>
        <v>12</v>
      </c>
      <c r="K124" s="811">
        <f t="shared" si="37"/>
        <v>1</v>
      </c>
      <c r="L124" s="6"/>
    </row>
    <row r="125" spans="1:12" x14ac:dyDescent="0.3">
      <c r="A125" s="1313">
        <v>46325</v>
      </c>
      <c r="B125" s="1314"/>
      <c r="C125" s="36" t="s">
        <v>12</v>
      </c>
      <c r="D125" s="65"/>
      <c r="E125" s="67"/>
      <c r="F125" s="67"/>
      <c r="G125" s="496">
        <f t="shared" si="35"/>
        <v>0</v>
      </c>
      <c r="H125" s="436"/>
      <c r="I125" s="417"/>
      <c r="J125" s="418">
        <f t="shared" si="36"/>
        <v>12</v>
      </c>
      <c r="K125" s="811">
        <f t="shared" si="37"/>
        <v>1</v>
      </c>
      <c r="L125" s="6"/>
    </row>
    <row r="126" spans="1:12" x14ac:dyDescent="0.3">
      <c r="A126" s="1313">
        <v>46325</v>
      </c>
      <c r="B126" s="1314"/>
      <c r="C126" s="36" t="s">
        <v>13</v>
      </c>
      <c r="D126" s="65"/>
      <c r="E126" s="67"/>
      <c r="F126" s="67"/>
      <c r="G126" s="496">
        <f t="shared" si="35"/>
        <v>0</v>
      </c>
      <c r="H126" s="436"/>
      <c r="I126" s="417"/>
      <c r="J126" s="418">
        <f t="shared" si="36"/>
        <v>12</v>
      </c>
      <c r="K126" s="811">
        <f t="shared" si="37"/>
        <v>1</v>
      </c>
      <c r="L126" s="6"/>
    </row>
    <row r="127" spans="1:12" x14ac:dyDescent="0.3">
      <c r="A127" s="1313">
        <v>46351</v>
      </c>
      <c r="B127" s="1314"/>
      <c r="C127" s="36" t="s">
        <v>12</v>
      </c>
      <c r="D127" s="65"/>
      <c r="E127" s="67"/>
      <c r="F127" s="67"/>
      <c r="G127" s="496">
        <f t="shared" si="35"/>
        <v>0</v>
      </c>
      <c r="H127" s="436"/>
      <c r="I127" s="417"/>
      <c r="J127" s="418">
        <f t="shared" si="36"/>
        <v>12</v>
      </c>
      <c r="K127" s="811">
        <f t="shared" si="37"/>
        <v>1</v>
      </c>
      <c r="L127" s="6"/>
    </row>
    <row r="128" spans="1:12" x14ac:dyDescent="0.3">
      <c r="A128" s="1313">
        <v>46352</v>
      </c>
      <c r="B128" s="1314"/>
      <c r="C128" s="36" t="s">
        <v>13</v>
      </c>
      <c r="D128" s="65"/>
      <c r="E128" s="67"/>
      <c r="F128" s="67"/>
      <c r="G128" s="496">
        <f t="shared" si="35"/>
        <v>0</v>
      </c>
      <c r="H128" s="436"/>
      <c r="I128" s="417"/>
      <c r="J128" s="418">
        <f t="shared" si="36"/>
        <v>12</v>
      </c>
      <c r="K128" s="811">
        <f t="shared" si="37"/>
        <v>1</v>
      </c>
      <c r="L128" s="6"/>
    </row>
    <row r="129" spans="1:12" x14ac:dyDescent="0.3">
      <c r="A129" s="1313">
        <v>46353</v>
      </c>
      <c r="B129" s="1314"/>
      <c r="C129" s="36" t="s">
        <v>12</v>
      </c>
      <c r="D129" s="65"/>
      <c r="E129" s="67"/>
      <c r="F129" s="67"/>
      <c r="G129" s="496">
        <f t="shared" si="35"/>
        <v>0</v>
      </c>
      <c r="H129" s="436"/>
      <c r="I129" s="417"/>
      <c r="J129" s="418">
        <f t="shared" si="36"/>
        <v>12</v>
      </c>
      <c r="K129" s="811">
        <f t="shared" si="37"/>
        <v>1</v>
      </c>
      <c r="L129" s="6"/>
    </row>
    <row r="130" spans="1:12" x14ac:dyDescent="0.3">
      <c r="A130" s="1313">
        <v>46354</v>
      </c>
      <c r="B130" s="1314"/>
      <c r="C130" s="36" t="s">
        <v>13</v>
      </c>
      <c r="D130" s="65"/>
      <c r="E130" s="67"/>
      <c r="F130" s="67"/>
      <c r="G130" s="496">
        <f t="shared" si="35"/>
        <v>0</v>
      </c>
      <c r="H130" s="436"/>
      <c r="I130" s="417"/>
      <c r="J130" s="418">
        <f t="shared" si="36"/>
        <v>12</v>
      </c>
      <c r="K130" s="811">
        <f t="shared" si="37"/>
        <v>1</v>
      </c>
      <c r="L130" s="6"/>
    </row>
    <row r="131" spans="1:12" x14ac:dyDescent="0.3">
      <c r="A131" s="1313">
        <v>46355</v>
      </c>
      <c r="B131" s="1314"/>
      <c r="C131" s="36" t="s">
        <v>12</v>
      </c>
      <c r="D131" s="65"/>
      <c r="E131" s="67"/>
      <c r="F131" s="67"/>
      <c r="G131" s="496">
        <f t="shared" si="35"/>
        <v>0</v>
      </c>
      <c r="H131" s="436"/>
      <c r="I131" s="417"/>
      <c r="J131" s="418">
        <f t="shared" si="36"/>
        <v>12</v>
      </c>
      <c r="K131" s="811">
        <f t="shared" si="37"/>
        <v>1</v>
      </c>
      <c r="L131" s="6"/>
    </row>
    <row r="132" spans="1:12" x14ac:dyDescent="0.3">
      <c r="A132" s="1313">
        <v>46356</v>
      </c>
      <c r="B132" s="1314"/>
      <c r="C132" s="36" t="s">
        <v>13</v>
      </c>
      <c r="D132" s="65"/>
      <c r="E132" s="67"/>
      <c r="F132" s="67"/>
      <c r="G132" s="496">
        <f t="shared" si="35"/>
        <v>0</v>
      </c>
      <c r="H132" s="436"/>
      <c r="I132" s="417"/>
      <c r="J132" s="418">
        <f t="shared" si="36"/>
        <v>12</v>
      </c>
      <c r="K132" s="811">
        <f t="shared" si="37"/>
        <v>1</v>
      </c>
      <c r="L132" s="6"/>
    </row>
    <row r="133" spans="1:12" x14ac:dyDescent="0.3">
      <c r="A133" s="1313">
        <v>46357</v>
      </c>
      <c r="B133" s="1314"/>
      <c r="C133" s="36" t="s">
        <v>12</v>
      </c>
      <c r="D133" s="65"/>
      <c r="E133" s="67"/>
      <c r="F133" s="67"/>
      <c r="G133" s="496">
        <f t="shared" si="35"/>
        <v>0</v>
      </c>
      <c r="H133" s="436"/>
      <c r="I133" s="417"/>
      <c r="J133" s="418">
        <f t="shared" si="36"/>
        <v>12</v>
      </c>
      <c r="K133" s="811">
        <f t="shared" si="37"/>
        <v>1</v>
      </c>
      <c r="L133" s="6"/>
    </row>
    <row r="134" spans="1:12" x14ac:dyDescent="0.3">
      <c r="A134" s="1313">
        <v>46358</v>
      </c>
      <c r="B134" s="1314"/>
      <c r="C134" s="36" t="s">
        <v>13</v>
      </c>
      <c r="D134" s="65"/>
      <c r="E134" s="67"/>
      <c r="F134" s="67"/>
      <c r="G134" s="496">
        <f t="shared" si="35"/>
        <v>0</v>
      </c>
      <c r="H134" s="436"/>
      <c r="I134" s="417"/>
      <c r="J134" s="418">
        <f t="shared" si="36"/>
        <v>12</v>
      </c>
      <c r="K134" s="811">
        <f t="shared" si="37"/>
        <v>1</v>
      </c>
      <c r="L134" s="6"/>
    </row>
    <row r="135" spans="1:12" x14ac:dyDescent="0.3">
      <c r="A135" s="1313">
        <v>46359</v>
      </c>
      <c r="B135" s="1314"/>
      <c r="C135" s="36" t="s">
        <v>12</v>
      </c>
      <c r="D135" s="65"/>
      <c r="E135" s="67"/>
      <c r="F135" s="67"/>
      <c r="G135" s="496">
        <f t="shared" si="35"/>
        <v>0</v>
      </c>
      <c r="H135" s="436"/>
      <c r="I135" s="417"/>
      <c r="J135" s="418">
        <f t="shared" si="36"/>
        <v>12</v>
      </c>
      <c r="K135" s="811">
        <f t="shared" si="37"/>
        <v>1</v>
      </c>
      <c r="L135" s="6"/>
    </row>
    <row r="136" spans="1:12" x14ac:dyDescent="0.3">
      <c r="A136" s="1313">
        <v>46360</v>
      </c>
      <c r="B136" s="1314"/>
      <c r="C136" s="36" t="s">
        <v>13</v>
      </c>
      <c r="D136" s="65"/>
      <c r="E136" s="67"/>
      <c r="F136" s="67"/>
      <c r="G136" s="496">
        <f t="shared" si="35"/>
        <v>0</v>
      </c>
      <c r="H136" s="436"/>
      <c r="I136" s="417"/>
      <c r="J136" s="418">
        <f t="shared" si="36"/>
        <v>12</v>
      </c>
      <c r="K136" s="811">
        <f t="shared" si="37"/>
        <v>1</v>
      </c>
      <c r="L136" s="6"/>
    </row>
    <row r="137" spans="1:12" x14ac:dyDescent="0.3">
      <c r="A137" s="1313">
        <v>46361</v>
      </c>
      <c r="B137" s="1314"/>
      <c r="C137" s="36" t="s">
        <v>12</v>
      </c>
      <c r="D137" s="65"/>
      <c r="E137" s="67"/>
      <c r="F137" s="67"/>
      <c r="G137" s="496">
        <f t="shared" si="35"/>
        <v>0</v>
      </c>
      <c r="H137" s="436"/>
      <c r="I137" s="417"/>
      <c r="J137" s="418">
        <f t="shared" si="36"/>
        <v>12</v>
      </c>
      <c r="K137" s="811">
        <f t="shared" si="37"/>
        <v>1</v>
      </c>
      <c r="L137" s="6"/>
    </row>
    <row r="138" spans="1:12" x14ac:dyDescent="0.3">
      <c r="A138" s="1313">
        <v>46362</v>
      </c>
      <c r="B138" s="1314"/>
      <c r="C138" s="36" t="s">
        <v>13</v>
      </c>
      <c r="D138" s="65"/>
      <c r="E138" s="67"/>
      <c r="F138" s="67"/>
      <c r="G138" s="496">
        <f t="shared" si="35"/>
        <v>0</v>
      </c>
      <c r="H138" s="436"/>
      <c r="I138" s="417"/>
      <c r="J138" s="418">
        <f t="shared" si="36"/>
        <v>12</v>
      </c>
      <c r="K138" s="811">
        <f t="shared" si="37"/>
        <v>1</v>
      </c>
      <c r="L138" s="6"/>
    </row>
    <row r="139" spans="1:12" x14ac:dyDescent="0.3">
      <c r="A139" s="1313">
        <v>46363</v>
      </c>
      <c r="B139" s="1314"/>
      <c r="C139" s="36" t="s">
        <v>12</v>
      </c>
      <c r="D139" s="65"/>
      <c r="E139" s="67"/>
      <c r="F139" s="67"/>
      <c r="G139" s="496">
        <f t="shared" si="35"/>
        <v>0</v>
      </c>
      <c r="H139" s="436"/>
      <c r="I139" s="417"/>
      <c r="J139" s="418">
        <f t="shared" si="36"/>
        <v>12</v>
      </c>
      <c r="K139" s="811">
        <f t="shared" si="37"/>
        <v>1</v>
      </c>
      <c r="L139" s="6"/>
    </row>
    <row r="140" spans="1:12" x14ac:dyDescent="0.3">
      <c r="A140" s="1313">
        <v>46364</v>
      </c>
      <c r="B140" s="1314"/>
      <c r="C140" s="36" t="s">
        <v>13</v>
      </c>
      <c r="D140" s="65"/>
      <c r="E140" s="67"/>
      <c r="F140" s="67"/>
      <c r="G140" s="496">
        <f t="shared" si="35"/>
        <v>0</v>
      </c>
      <c r="H140" s="436"/>
      <c r="I140" s="417"/>
      <c r="J140" s="418">
        <f t="shared" si="36"/>
        <v>12</v>
      </c>
      <c r="K140" s="811">
        <f t="shared" si="37"/>
        <v>1</v>
      </c>
      <c r="L140" s="6"/>
    </row>
    <row r="141" spans="1:12" x14ac:dyDescent="0.3">
      <c r="A141" s="1313">
        <v>46365</v>
      </c>
      <c r="B141" s="1314"/>
      <c r="C141" s="36" t="s">
        <v>12</v>
      </c>
      <c r="D141" s="65"/>
      <c r="E141" s="67"/>
      <c r="F141" s="67"/>
      <c r="G141" s="496">
        <f t="shared" ref="G141:G179" si="38">(F141-E141)*1440</f>
        <v>0</v>
      </c>
      <c r="H141" s="436"/>
      <c r="I141" s="417"/>
      <c r="J141" s="418">
        <f t="shared" ref="J141:J179" si="39">(720-G141)/60</f>
        <v>12</v>
      </c>
      <c r="K141" s="811">
        <f t="shared" ref="K141:K179" si="40">J141/12</f>
        <v>1</v>
      </c>
      <c r="L141" s="6"/>
    </row>
    <row r="142" spans="1:12" x14ac:dyDescent="0.3">
      <c r="A142" s="1313">
        <v>46366</v>
      </c>
      <c r="B142" s="1314"/>
      <c r="C142" s="36" t="s">
        <v>13</v>
      </c>
      <c r="D142" s="65"/>
      <c r="E142" s="67"/>
      <c r="F142" s="67"/>
      <c r="G142" s="496">
        <f t="shared" si="38"/>
        <v>0</v>
      </c>
      <c r="H142" s="436"/>
      <c r="I142" s="417"/>
      <c r="J142" s="418">
        <f t="shared" si="39"/>
        <v>12</v>
      </c>
      <c r="K142" s="811">
        <f t="shared" si="40"/>
        <v>1</v>
      </c>
      <c r="L142" s="6"/>
    </row>
    <row r="143" spans="1:12" x14ac:dyDescent="0.3">
      <c r="A143" s="1313">
        <v>46367</v>
      </c>
      <c r="B143" s="1314"/>
      <c r="C143" s="36" t="s">
        <v>12</v>
      </c>
      <c r="D143" s="65"/>
      <c r="E143" s="67"/>
      <c r="F143" s="67"/>
      <c r="G143" s="496">
        <f t="shared" si="38"/>
        <v>0</v>
      </c>
      <c r="H143" s="436"/>
      <c r="I143" s="417"/>
      <c r="J143" s="418">
        <f t="shared" si="39"/>
        <v>12</v>
      </c>
      <c r="K143" s="811">
        <f t="shared" si="40"/>
        <v>1</v>
      </c>
      <c r="L143" s="6"/>
    </row>
    <row r="144" spans="1:12" x14ac:dyDescent="0.3">
      <c r="A144" s="1313">
        <v>46368</v>
      </c>
      <c r="B144" s="1314"/>
      <c r="C144" s="36" t="s">
        <v>13</v>
      </c>
      <c r="D144" s="65"/>
      <c r="E144" s="67"/>
      <c r="F144" s="67"/>
      <c r="G144" s="496">
        <f t="shared" si="38"/>
        <v>0</v>
      </c>
      <c r="H144" s="436"/>
      <c r="I144" s="417"/>
      <c r="J144" s="418">
        <f t="shared" si="39"/>
        <v>12</v>
      </c>
      <c r="K144" s="811">
        <f t="shared" si="40"/>
        <v>1</v>
      </c>
      <c r="L144" s="6"/>
    </row>
    <row r="145" spans="1:12" x14ac:dyDescent="0.3">
      <c r="A145" s="1313">
        <v>46369</v>
      </c>
      <c r="B145" s="1314"/>
      <c r="C145" s="36" t="s">
        <v>12</v>
      </c>
      <c r="D145" s="65"/>
      <c r="E145" s="67"/>
      <c r="F145" s="67"/>
      <c r="G145" s="496">
        <f t="shared" si="38"/>
        <v>0</v>
      </c>
      <c r="H145" s="436"/>
      <c r="I145" s="417"/>
      <c r="J145" s="418">
        <f t="shared" si="39"/>
        <v>12</v>
      </c>
      <c r="K145" s="811">
        <f t="shared" si="40"/>
        <v>1</v>
      </c>
      <c r="L145" s="6"/>
    </row>
    <row r="146" spans="1:12" x14ac:dyDescent="0.3">
      <c r="A146" s="1313">
        <v>46370</v>
      </c>
      <c r="B146" s="1314"/>
      <c r="C146" s="36" t="s">
        <v>13</v>
      </c>
      <c r="D146" s="65"/>
      <c r="E146" s="67"/>
      <c r="F146" s="67"/>
      <c r="G146" s="496">
        <f t="shared" si="38"/>
        <v>0</v>
      </c>
      <c r="H146" s="436"/>
      <c r="I146" s="417"/>
      <c r="J146" s="418">
        <f t="shared" si="39"/>
        <v>12</v>
      </c>
      <c r="K146" s="811">
        <f t="shared" si="40"/>
        <v>1</v>
      </c>
      <c r="L146" s="6"/>
    </row>
    <row r="147" spans="1:12" x14ac:dyDescent="0.3">
      <c r="A147" s="1313">
        <v>46371</v>
      </c>
      <c r="B147" s="1314"/>
      <c r="C147" s="36" t="s">
        <v>12</v>
      </c>
      <c r="D147" s="65"/>
      <c r="E147" s="67"/>
      <c r="F147" s="67"/>
      <c r="G147" s="496">
        <f t="shared" si="38"/>
        <v>0</v>
      </c>
      <c r="H147" s="436"/>
      <c r="I147" s="417"/>
      <c r="J147" s="418">
        <f t="shared" si="39"/>
        <v>12</v>
      </c>
      <c r="K147" s="811">
        <f t="shared" si="40"/>
        <v>1</v>
      </c>
      <c r="L147" s="6"/>
    </row>
    <row r="148" spans="1:12" x14ac:dyDescent="0.3">
      <c r="A148" s="1313">
        <v>46372</v>
      </c>
      <c r="B148" s="1314"/>
      <c r="C148" s="36" t="s">
        <v>13</v>
      </c>
      <c r="D148" s="65"/>
      <c r="E148" s="67"/>
      <c r="F148" s="67"/>
      <c r="G148" s="496">
        <f t="shared" si="38"/>
        <v>0</v>
      </c>
      <c r="H148" s="436"/>
      <c r="I148" s="417"/>
      <c r="J148" s="418">
        <f t="shared" si="39"/>
        <v>12</v>
      </c>
      <c r="K148" s="811">
        <f t="shared" si="40"/>
        <v>1</v>
      </c>
      <c r="L148" s="6"/>
    </row>
    <row r="149" spans="1:12" x14ac:dyDescent="0.3">
      <c r="A149" s="1313">
        <v>46373</v>
      </c>
      <c r="B149" s="1314"/>
      <c r="C149" s="36" t="s">
        <v>12</v>
      </c>
      <c r="D149" s="65"/>
      <c r="E149" s="67"/>
      <c r="F149" s="67"/>
      <c r="G149" s="496">
        <f t="shared" si="38"/>
        <v>0</v>
      </c>
      <c r="H149" s="436"/>
      <c r="I149" s="417"/>
      <c r="J149" s="418">
        <f t="shared" si="39"/>
        <v>12</v>
      </c>
      <c r="K149" s="811">
        <f t="shared" si="40"/>
        <v>1</v>
      </c>
      <c r="L149" s="6"/>
    </row>
    <row r="150" spans="1:12" x14ac:dyDescent="0.3">
      <c r="A150" s="1313">
        <v>46374</v>
      </c>
      <c r="B150" s="1314"/>
      <c r="C150" s="36" t="s">
        <v>13</v>
      </c>
      <c r="D150" s="65"/>
      <c r="E150" s="67"/>
      <c r="F150" s="67"/>
      <c r="G150" s="496">
        <f t="shared" si="38"/>
        <v>0</v>
      </c>
      <c r="H150" s="436"/>
      <c r="I150" s="417"/>
      <c r="J150" s="418">
        <f t="shared" si="39"/>
        <v>12</v>
      </c>
      <c r="K150" s="811">
        <f t="shared" si="40"/>
        <v>1</v>
      </c>
      <c r="L150" s="6"/>
    </row>
    <row r="151" spans="1:12" x14ac:dyDescent="0.3">
      <c r="A151" s="1313">
        <v>46375</v>
      </c>
      <c r="B151" s="1314"/>
      <c r="C151" s="36" t="s">
        <v>12</v>
      </c>
      <c r="D151" s="65"/>
      <c r="E151" s="67"/>
      <c r="F151" s="67"/>
      <c r="G151" s="496">
        <f t="shared" si="38"/>
        <v>0</v>
      </c>
      <c r="H151" s="436"/>
      <c r="I151" s="417"/>
      <c r="J151" s="418">
        <f t="shared" si="39"/>
        <v>12</v>
      </c>
      <c r="K151" s="811">
        <f t="shared" si="40"/>
        <v>1</v>
      </c>
      <c r="L151" s="6"/>
    </row>
    <row r="152" spans="1:12" x14ac:dyDescent="0.3">
      <c r="A152" s="1313">
        <v>46376</v>
      </c>
      <c r="B152" s="1314"/>
      <c r="C152" s="36" t="s">
        <v>13</v>
      </c>
      <c r="D152" s="65"/>
      <c r="E152" s="67"/>
      <c r="F152" s="67"/>
      <c r="G152" s="496">
        <f t="shared" si="38"/>
        <v>0</v>
      </c>
      <c r="H152" s="436"/>
      <c r="I152" s="417"/>
      <c r="J152" s="418">
        <f t="shared" si="39"/>
        <v>12</v>
      </c>
      <c r="K152" s="811">
        <f t="shared" si="40"/>
        <v>1</v>
      </c>
      <c r="L152" s="6"/>
    </row>
    <row r="153" spans="1:12" x14ac:dyDescent="0.3">
      <c r="A153" s="1313">
        <v>46377</v>
      </c>
      <c r="B153" s="1314"/>
      <c r="C153" s="36" t="s">
        <v>12</v>
      </c>
      <c r="D153" s="65"/>
      <c r="E153" s="67"/>
      <c r="F153" s="67"/>
      <c r="G153" s="496">
        <f t="shared" si="38"/>
        <v>0</v>
      </c>
      <c r="H153" s="436"/>
      <c r="I153" s="417"/>
      <c r="J153" s="418">
        <f t="shared" si="39"/>
        <v>12</v>
      </c>
      <c r="K153" s="811">
        <f t="shared" si="40"/>
        <v>1</v>
      </c>
      <c r="L153" s="6"/>
    </row>
    <row r="154" spans="1:12" x14ac:dyDescent="0.3">
      <c r="A154" s="1313">
        <v>46378</v>
      </c>
      <c r="B154" s="1314"/>
      <c r="C154" s="36" t="s">
        <v>13</v>
      </c>
      <c r="D154" s="65"/>
      <c r="E154" s="67"/>
      <c r="F154" s="67"/>
      <c r="G154" s="496">
        <f t="shared" si="38"/>
        <v>0</v>
      </c>
      <c r="H154" s="436"/>
      <c r="I154" s="417"/>
      <c r="J154" s="418">
        <f t="shared" si="39"/>
        <v>12</v>
      </c>
      <c r="K154" s="811">
        <f t="shared" si="40"/>
        <v>1</v>
      </c>
      <c r="L154" s="6"/>
    </row>
    <row r="155" spans="1:12" x14ac:dyDescent="0.3">
      <c r="A155" s="1313">
        <v>46379</v>
      </c>
      <c r="B155" s="1314"/>
      <c r="C155" s="36" t="s">
        <v>12</v>
      </c>
      <c r="D155" s="65"/>
      <c r="E155" s="67"/>
      <c r="F155" s="67"/>
      <c r="G155" s="496">
        <f t="shared" si="38"/>
        <v>0</v>
      </c>
      <c r="H155" s="436"/>
      <c r="I155" s="417"/>
      <c r="J155" s="418">
        <f t="shared" si="39"/>
        <v>12</v>
      </c>
      <c r="K155" s="811">
        <f t="shared" si="40"/>
        <v>1</v>
      </c>
      <c r="L155" s="6"/>
    </row>
    <row r="156" spans="1:12" x14ac:dyDescent="0.3">
      <c r="A156" s="1313">
        <v>46380</v>
      </c>
      <c r="B156" s="1314"/>
      <c r="C156" s="36" t="s">
        <v>13</v>
      </c>
      <c r="D156" s="65"/>
      <c r="E156" s="67"/>
      <c r="F156" s="67"/>
      <c r="G156" s="496">
        <f t="shared" si="38"/>
        <v>0</v>
      </c>
      <c r="H156" s="436"/>
      <c r="I156" s="417"/>
      <c r="J156" s="418">
        <f t="shared" si="39"/>
        <v>12</v>
      </c>
      <c r="K156" s="811">
        <f t="shared" si="40"/>
        <v>1</v>
      </c>
      <c r="L156" s="6"/>
    </row>
    <row r="157" spans="1:12" x14ac:dyDescent="0.3">
      <c r="A157" s="1313">
        <v>46381</v>
      </c>
      <c r="B157" s="1314"/>
      <c r="C157" s="36" t="s">
        <v>12</v>
      </c>
      <c r="D157" s="65"/>
      <c r="E157" s="67"/>
      <c r="F157" s="67"/>
      <c r="G157" s="496">
        <f t="shared" si="38"/>
        <v>0</v>
      </c>
      <c r="H157" s="436"/>
      <c r="I157" s="417"/>
      <c r="J157" s="418">
        <f t="shared" si="39"/>
        <v>12</v>
      </c>
      <c r="K157" s="811">
        <f t="shared" si="40"/>
        <v>1</v>
      </c>
      <c r="L157" s="6"/>
    </row>
    <row r="158" spans="1:12" x14ac:dyDescent="0.3">
      <c r="A158" s="1313">
        <v>46382</v>
      </c>
      <c r="B158" s="1314"/>
      <c r="C158" s="36" t="s">
        <v>13</v>
      </c>
      <c r="D158" s="65"/>
      <c r="E158" s="67"/>
      <c r="F158" s="67"/>
      <c r="G158" s="496">
        <f t="shared" si="38"/>
        <v>0</v>
      </c>
      <c r="H158" s="436"/>
      <c r="I158" s="417"/>
      <c r="J158" s="418">
        <f t="shared" si="39"/>
        <v>12</v>
      </c>
      <c r="K158" s="811">
        <f t="shared" si="40"/>
        <v>1</v>
      </c>
      <c r="L158" s="6"/>
    </row>
    <row r="159" spans="1:12" x14ac:dyDescent="0.3">
      <c r="A159" s="1313">
        <v>46383</v>
      </c>
      <c r="B159" s="1314"/>
      <c r="C159" s="36" t="s">
        <v>12</v>
      </c>
      <c r="D159" s="65"/>
      <c r="E159" s="67"/>
      <c r="F159" s="67"/>
      <c r="G159" s="496">
        <f t="shared" si="38"/>
        <v>0</v>
      </c>
      <c r="H159" s="436"/>
      <c r="I159" s="417"/>
      <c r="J159" s="418">
        <f t="shared" si="39"/>
        <v>12</v>
      </c>
      <c r="K159" s="811">
        <f t="shared" si="40"/>
        <v>1</v>
      </c>
      <c r="L159" s="6"/>
    </row>
    <row r="160" spans="1:12" x14ac:dyDescent="0.3">
      <c r="A160" s="1313">
        <v>46384</v>
      </c>
      <c r="B160" s="1314"/>
      <c r="C160" s="36" t="s">
        <v>13</v>
      </c>
      <c r="D160" s="65"/>
      <c r="E160" s="67"/>
      <c r="F160" s="67"/>
      <c r="G160" s="496">
        <f t="shared" si="38"/>
        <v>0</v>
      </c>
      <c r="H160" s="436"/>
      <c r="I160" s="417"/>
      <c r="J160" s="418">
        <f t="shared" si="39"/>
        <v>12</v>
      </c>
      <c r="K160" s="811">
        <f t="shared" si="40"/>
        <v>1</v>
      </c>
      <c r="L160" s="6"/>
    </row>
    <row r="161" spans="1:12" x14ac:dyDescent="0.3">
      <c r="A161" s="1313">
        <v>46385</v>
      </c>
      <c r="B161" s="1314"/>
      <c r="C161" s="36" t="s">
        <v>12</v>
      </c>
      <c r="D161" s="65"/>
      <c r="E161" s="67"/>
      <c r="F161" s="67"/>
      <c r="G161" s="496">
        <f t="shared" si="38"/>
        <v>0</v>
      </c>
      <c r="H161" s="436"/>
      <c r="I161" s="417"/>
      <c r="J161" s="418">
        <f t="shared" si="39"/>
        <v>12</v>
      </c>
      <c r="K161" s="811">
        <f t="shared" si="40"/>
        <v>1</v>
      </c>
      <c r="L161" s="6"/>
    </row>
    <row r="162" spans="1:12" x14ac:dyDescent="0.3">
      <c r="A162" s="1313">
        <v>46386</v>
      </c>
      <c r="B162" s="1314"/>
      <c r="C162" s="36" t="s">
        <v>13</v>
      </c>
      <c r="D162" s="65"/>
      <c r="E162" s="67"/>
      <c r="F162" s="67"/>
      <c r="G162" s="496">
        <f t="shared" si="38"/>
        <v>0</v>
      </c>
      <c r="H162" s="436"/>
      <c r="I162" s="417"/>
      <c r="J162" s="418">
        <f t="shared" si="39"/>
        <v>12</v>
      </c>
      <c r="K162" s="811">
        <f t="shared" si="40"/>
        <v>1</v>
      </c>
      <c r="L162" s="6"/>
    </row>
    <row r="163" spans="1:12" x14ac:dyDescent="0.3">
      <c r="A163" s="1313">
        <v>46387</v>
      </c>
      <c r="B163" s="1314"/>
      <c r="C163" s="36" t="s">
        <v>12</v>
      </c>
      <c r="D163" s="65"/>
      <c r="E163" s="67"/>
      <c r="F163" s="67"/>
      <c r="G163" s="496">
        <f t="shared" si="38"/>
        <v>0</v>
      </c>
      <c r="H163" s="436"/>
      <c r="I163" s="417"/>
      <c r="J163" s="418">
        <f t="shared" si="39"/>
        <v>12</v>
      </c>
      <c r="K163" s="811">
        <f t="shared" si="40"/>
        <v>1</v>
      </c>
      <c r="L163" s="6"/>
    </row>
    <row r="164" spans="1:12" x14ac:dyDescent="0.3">
      <c r="A164" s="1313">
        <v>46388</v>
      </c>
      <c r="B164" s="1314"/>
      <c r="C164" s="36" t="s">
        <v>13</v>
      </c>
      <c r="D164" s="65"/>
      <c r="E164" s="67"/>
      <c r="F164" s="67"/>
      <c r="G164" s="496">
        <f t="shared" si="38"/>
        <v>0</v>
      </c>
      <c r="H164" s="436"/>
      <c r="I164" s="417"/>
      <c r="J164" s="418">
        <f t="shared" si="39"/>
        <v>12</v>
      </c>
      <c r="K164" s="811">
        <f t="shared" si="40"/>
        <v>1</v>
      </c>
      <c r="L164" s="6"/>
    </row>
    <row r="165" spans="1:12" x14ac:dyDescent="0.3">
      <c r="A165" s="1313">
        <v>46389</v>
      </c>
      <c r="B165" s="1314"/>
      <c r="C165" s="36" t="s">
        <v>12</v>
      </c>
      <c r="D165" s="65"/>
      <c r="E165" s="67"/>
      <c r="F165" s="67"/>
      <c r="G165" s="496">
        <f t="shared" si="38"/>
        <v>0</v>
      </c>
      <c r="H165" s="436"/>
      <c r="I165" s="417"/>
      <c r="J165" s="418">
        <f t="shared" si="39"/>
        <v>12</v>
      </c>
      <c r="K165" s="811">
        <f t="shared" si="40"/>
        <v>1</v>
      </c>
      <c r="L165" s="6"/>
    </row>
    <row r="166" spans="1:12" x14ac:dyDescent="0.3">
      <c r="A166" s="1313">
        <v>46390</v>
      </c>
      <c r="B166" s="1314"/>
      <c r="C166" s="36" t="s">
        <v>13</v>
      </c>
      <c r="D166" s="65"/>
      <c r="E166" s="67"/>
      <c r="F166" s="67"/>
      <c r="G166" s="496">
        <f t="shared" si="38"/>
        <v>0</v>
      </c>
      <c r="H166" s="436"/>
      <c r="I166" s="417"/>
      <c r="J166" s="418">
        <f t="shared" si="39"/>
        <v>12</v>
      </c>
      <c r="K166" s="811">
        <f t="shared" si="40"/>
        <v>1</v>
      </c>
      <c r="L166" s="6"/>
    </row>
    <row r="167" spans="1:12" x14ac:dyDescent="0.3">
      <c r="A167" s="1313">
        <v>46391</v>
      </c>
      <c r="B167" s="1314"/>
      <c r="C167" s="36" t="s">
        <v>12</v>
      </c>
      <c r="D167" s="65"/>
      <c r="E167" s="67"/>
      <c r="F167" s="67"/>
      <c r="G167" s="496">
        <f t="shared" si="38"/>
        <v>0</v>
      </c>
      <c r="H167" s="436"/>
      <c r="I167" s="417"/>
      <c r="J167" s="418">
        <f t="shared" si="39"/>
        <v>12</v>
      </c>
      <c r="K167" s="811">
        <f t="shared" si="40"/>
        <v>1</v>
      </c>
      <c r="L167" s="6"/>
    </row>
    <row r="168" spans="1:12" x14ac:dyDescent="0.3">
      <c r="A168" s="1313">
        <v>46392</v>
      </c>
      <c r="B168" s="1314"/>
      <c r="C168" s="36" t="s">
        <v>13</v>
      </c>
      <c r="D168" s="65"/>
      <c r="E168" s="67"/>
      <c r="F168" s="67"/>
      <c r="G168" s="496">
        <f t="shared" si="38"/>
        <v>0</v>
      </c>
      <c r="H168" s="436"/>
      <c r="I168" s="417"/>
      <c r="J168" s="418">
        <f t="shared" si="39"/>
        <v>12</v>
      </c>
      <c r="K168" s="811">
        <f t="shared" si="40"/>
        <v>1</v>
      </c>
      <c r="L168" s="6"/>
    </row>
    <row r="169" spans="1:12" x14ac:dyDescent="0.3">
      <c r="A169" s="1313">
        <v>46393</v>
      </c>
      <c r="B169" s="1314"/>
      <c r="C169" s="36" t="s">
        <v>12</v>
      </c>
      <c r="D169" s="65"/>
      <c r="E169" s="67"/>
      <c r="F169" s="67"/>
      <c r="G169" s="496">
        <f t="shared" si="38"/>
        <v>0</v>
      </c>
      <c r="H169" s="436"/>
      <c r="I169" s="417"/>
      <c r="J169" s="418">
        <f t="shared" si="39"/>
        <v>12</v>
      </c>
      <c r="K169" s="811">
        <f t="shared" si="40"/>
        <v>1</v>
      </c>
      <c r="L169" s="6"/>
    </row>
    <row r="170" spans="1:12" x14ac:dyDescent="0.3">
      <c r="A170" s="1313">
        <v>46394</v>
      </c>
      <c r="B170" s="1314"/>
      <c r="C170" s="36" t="s">
        <v>13</v>
      </c>
      <c r="D170" s="65"/>
      <c r="E170" s="67"/>
      <c r="F170" s="67"/>
      <c r="G170" s="496">
        <f t="shared" si="38"/>
        <v>0</v>
      </c>
      <c r="H170" s="436"/>
      <c r="I170" s="417"/>
      <c r="J170" s="418">
        <f t="shared" si="39"/>
        <v>12</v>
      </c>
      <c r="K170" s="811">
        <f t="shared" si="40"/>
        <v>1</v>
      </c>
      <c r="L170" s="6"/>
    </row>
    <row r="171" spans="1:12" x14ac:dyDescent="0.3">
      <c r="A171" s="1313">
        <v>46395</v>
      </c>
      <c r="B171" s="1314"/>
      <c r="C171" s="36" t="s">
        <v>12</v>
      </c>
      <c r="D171" s="65"/>
      <c r="E171" s="67"/>
      <c r="F171" s="67"/>
      <c r="G171" s="496">
        <f t="shared" si="38"/>
        <v>0</v>
      </c>
      <c r="H171" s="436"/>
      <c r="I171" s="417"/>
      <c r="J171" s="418">
        <f t="shared" si="39"/>
        <v>12</v>
      </c>
      <c r="K171" s="811">
        <f t="shared" si="40"/>
        <v>1</v>
      </c>
      <c r="L171" s="6"/>
    </row>
    <row r="172" spans="1:12" x14ac:dyDescent="0.3">
      <c r="A172" s="1313">
        <v>46396</v>
      </c>
      <c r="B172" s="1314"/>
      <c r="C172" s="36" t="s">
        <v>13</v>
      </c>
      <c r="D172" s="65"/>
      <c r="E172" s="67"/>
      <c r="F172" s="67"/>
      <c r="G172" s="496">
        <f t="shared" si="38"/>
        <v>0</v>
      </c>
      <c r="H172" s="436"/>
      <c r="I172" s="417"/>
      <c r="J172" s="418">
        <f t="shared" si="39"/>
        <v>12</v>
      </c>
      <c r="K172" s="811">
        <f t="shared" si="40"/>
        <v>1</v>
      </c>
      <c r="L172" s="6"/>
    </row>
    <row r="173" spans="1:12" x14ac:dyDescent="0.3">
      <c r="A173" s="1313">
        <v>46397</v>
      </c>
      <c r="B173" s="1314"/>
      <c r="C173" s="36" t="s">
        <v>12</v>
      </c>
      <c r="D173" s="65"/>
      <c r="E173" s="67"/>
      <c r="F173" s="67"/>
      <c r="G173" s="496">
        <f t="shared" si="38"/>
        <v>0</v>
      </c>
      <c r="H173" s="436"/>
      <c r="I173" s="417"/>
      <c r="J173" s="418">
        <f t="shared" si="39"/>
        <v>12</v>
      </c>
      <c r="K173" s="811">
        <f t="shared" si="40"/>
        <v>1</v>
      </c>
      <c r="L173" s="6"/>
    </row>
    <row r="174" spans="1:12" x14ac:dyDescent="0.3">
      <c r="A174" s="1313">
        <v>46398</v>
      </c>
      <c r="B174" s="1314"/>
      <c r="C174" s="36" t="s">
        <v>13</v>
      </c>
      <c r="D174" s="65"/>
      <c r="E174" s="67"/>
      <c r="F174" s="67"/>
      <c r="G174" s="496">
        <f t="shared" si="38"/>
        <v>0</v>
      </c>
      <c r="H174" s="436"/>
      <c r="I174" s="417"/>
      <c r="J174" s="418">
        <f t="shared" si="39"/>
        <v>12</v>
      </c>
      <c r="K174" s="811">
        <f t="shared" si="40"/>
        <v>1</v>
      </c>
      <c r="L174" s="6"/>
    </row>
    <row r="175" spans="1:12" x14ac:dyDescent="0.3">
      <c r="A175" s="1313">
        <v>46399</v>
      </c>
      <c r="B175" s="1314"/>
      <c r="C175" s="36" t="s">
        <v>12</v>
      </c>
      <c r="D175" s="65"/>
      <c r="E175" s="67"/>
      <c r="F175" s="67"/>
      <c r="G175" s="496">
        <f t="shared" si="38"/>
        <v>0</v>
      </c>
      <c r="H175" s="436"/>
      <c r="I175" s="417"/>
      <c r="J175" s="418">
        <f t="shared" si="39"/>
        <v>12</v>
      </c>
      <c r="K175" s="811">
        <f t="shared" si="40"/>
        <v>1</v>
      </c>
      <c r="L175" s="6"/>
    </row>
    <row r="176" spans="1:12" x14ac:dyDescent="0.3">
      <c r="A176" s="1313">
        <v>46400</v>
      </c>
      <c r="B176" s="1314"/>
      <c r="C176" s="36" t="s">
        <v>13</v>
      </c>
      <c r="D176" s="65"/>
      <c r="E176" s="67"/>
      <c r="F176" s="67"/>
      <c r="G176" s="496">
        <f t="shared" si="38"/>
        <v>0</v>
      </c>
      <c r="H176" s="436"/>
      <c r="I176" s="417"/>
      <c r="J176" s="418">
        <f t="shared" si="39"/>
        <v>12</v>
      </c>
      <c r="K176" s="811">
        <f t="shared" si="40"/>
        <v>1</v>
      </c>
      <c r="L176" s="6"/>
    </row>
    <row r="177" spans="1:12" x14ac:dyDescent="0.3">
      <c r="A177" s="1313">
        <v>46401</v>
      </c>
      <c r="B177" s="1314"/>
      <c r="C177" s="36" t="s">
        <v>12</v>
      </c>
      <c r="D177" s="65"/>
      <c r="E177" s="67"/>
      <c r="F177" s="67"/>
      <c r="G177" s="496">
        <f t="shared" si="38"/>
        <v>0</v>
      </c>
      <c r="H177" s="436"/>
      <c r="I177" s="417"/>
      <c r="J177" s="418">
        <f t="shared" si="39"/>
        <v>12</v>
      </c>
      <c r="K177" s="811">
        <f t="shared" si="40"/>
        <v>1</v>
      </c>
      <c r="L177" s="6"/>
    </row>
    <row r="178" spans="1:12" x14ac:dyDescent="0.3">
      <c r="A178" s="1313">
        <v>46402</v>
      </c>
      <c r="B178" s="1314"/>
      <c r="C178" s="36" t="s">
        <v>13</v>
      </c>
      <c r="D178" s="65"/>
      <c r="E178" s="67"/>
      <c r="F178" s="67"/>
      <c r="G178" s="496">
        <f t="shared" si="38"/>
        <v>0</v>
      </c>
      <c r="H178" s="436"/>
      <c r="I178" s="417"/>
      <c r="J178" s="418">
        <f t="shared" si="39"/>
        <v>12</v>
      </c>
      <c r="K178" s="811">
        <f t="shared" si="40"/>
        <v>1</v>
      </c>
      <c r="L178" s="6"/>
    </row>
    <row r="179" spans="1:12" x14ac:dyDescent="0.3">
      <c r="A179" s="1313">
        <v>46403</v>
      </c>
      <c r="B179" s="1314"/>
      <c r="C179" s="36" t="s">
        <v>12</v>
      </c>
      <c r="D179" s="65"/>
      <c r="E179" s="67"/>
      <c r="F179" s="67"/>
      <c r="G179" s="496">
        <f t="shared" si="38"/>
        <v>0</v>
      </c>
      <c r="H179" s="436"/>
      <c r="I179" s="417"/>
      <c r="J179" s="418">
        <f t="shared" si="39"/>
        <v>12</v>
      </c>
      <c r="K179" s="811">
        <f t="shared" si="40"/>
        <v>1</v>
      </c>
      <c r="L179" s="6"/>
    </row>
  </sheetData>
  <mergeCells count="217">
    <mergeCell ref="I25:I27"/>
    <mergeCell ref="L41:L42"/>
    <mergeCell ref="I54:I56"/>
    <mergeCell ref="I41:I44"/>
    <mergeCell ref="I37:I40"/>
    <mergeCell ref="L37:L38"/>
    <mergeCell ref="L55:L56"/>
    <mergeCell ref="L23:L24"/>
    <mergeCell ref="L25:L26"/>
    <mergeCell ref="L27:L28"/>
    <mergeCell ref="L29:L30"/>
    <mergeCell ref="L31:L32"/>
    <mergeCell ref="L43:L44"/>
    <mergeCell ref="L39:L40"/>
    <mergeCell ref="L45:L46"/>
    <mergeCell ref="L47:L48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13:L14"/>
    <mergeCell ref="A25:B25"/>
    <mergeCell ref="A50:B50"/>
    <mergeCell ref="A41:B41"/>
    <mergeCell ref="A42:B42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6:B26"/>
    <mergeCell ref="A27:B27"/>
    <mergeCell ref="A28:B28"/>
    <mergeCell ref="A33:B33"/>
    <mergeCell ref="A46:B46"/>
    <mergeCell ref="A47:B47"/>
    <mergeCell ref="A56:B56"/>
    <mergeCell ref="A57:B57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  <mergeCell ref="A18:B18"/>
    <mergeCell ref="I20:I23"/>
    <mergeCell ref="A23:B23"/>
    <mergeCell ref="A24:B24"/>
    <mergeCell ref="A22:B22"/>
    <mergeCell ref="L33:L34"/>
    <mergeCell ref="L35:L36"/>
    <mergeCell ref="A19:B19"/>
    <mergeCell ref="A20:B20"/>
    <mergeCell ref="A29:B29"/>
    <mergeCell ref="A30:B30"/>
    <mergeCell ref="A31:B31"/>
    <mergeCell ref="L61:L62"/>
    <mergeCell ref="A55:B55"/>
    <mergeCell ref="A52:B52"/>
    <mergeCell ref="A53:B53"/>
    <mergeCell ref="A54:B54"/>
    <mergeCell ref="A39:B39"/>
    <mergeCell ref="A40:B40"/>
    <mergeCell ref="A32:B32"/>
    <mergeCell ref="A35:B35"/>
    <mergeCell ref="A36:B36"/>
    <mergeCell ref="A45:B45"/>
    <mergeCell ref="A43:B43"/>
    <mergeCell ref="A44:B44"/>
    <mergeCell ref="A48:B48"/>
    <mergeCell ref="A49:B49"/>
    <mergeCell ref="A51:B51"/>
    <mergeCell ref="A38:B38"/>
    <mergeCell ref="L57:L58"/>
    <mergeCell ref="L59:L60"/>
    <mergeCell ref="L49:L50"/>
    <mergeCell ref="L51:L52"/>
    <mergeCell ref="I45:I53"/>
    <mergeCell ref="L53:L54"/>
    <mergeCell ref="I34:I36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78:B178"/>
    <mergeCell ref="A179:B179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</mergeCells>
  <phoneticPr fontId="91" type="noConversion"/>
  <dataValidations count="2">
    <dataValidation type="list" allowBlank="1" showInputMessage="1" showErrorMessage="1" sqref="C14:C17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417"/>
  <sheetViews>
    <sheetView topLeftCell="E14" zoomScale="115" zoomScaleNormal="115" workbookViewId="0">
      <selection activeCell="K24" sqref="K24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364" t="s">
        <v>70</v>
      </c>
      <c r="C3" s="1364" t="s">
        <v>288</v>
      </c>
      <c r="D3" s="1364" t="s">
        <v>289</v>
      </c>
      <c r="E3" s="220" t="s">
        <v>292</v>
      </c>
      <c r="F3" s="220" t="s">
        <v>293</v>
      </c>
      <c r="G3" s="1248" t="s">
        <v>252</v>
      </c>
      <c r="H3" s="1249"/>
      <c r="I3" s="1249"/>
      <c r="J3" s="1250"/>
      <c r="K3" s="1376" t="s">
        <v>259</v>
      </c>
    </row>
    <row r="4" spans="2:20" x14ac:dyDescent="0.3">
      <c r="B4" s="1365"/>
      <c r="C4" s="1365"/>
      <c r="D4" s="1365"/>
      <c r="E4" s="221" t="s">
        <v>54</v>
      </c>
      <c r="F4" s="221" t="s">
        <v>294</v>
      </c>
      <c r="G4" s="1248" t="s">
        <v>265</v>
      </c>
      <c r="H4" s="1249"/>
      <c r="I4" s="1250"/>
      <c r="J4" s="131" t="s">
        <v>258</v>
      </c>
      <c r="K4" s="1376"/>
      <c r="O4" s="14" t="s">
        <v>479</v>
      </c>
      <c r="P4" s="14" t="s">
        <v>259</v>
      </c>
      <c r="Q4" s="435" t="s">
        <v>0</v>
      </c>
      <c r="R4" s="14" t="s">
        <v>253</v>
      </c>
      <c r="S4" s="14" t="s">
        <v>254</v>
      </c>
      <c r="T4" s="14" t="s">
        <v>255</v>
      </c>
    </row>
    <row r="5" spans="2:20" x14ac:dyDescent="0.3">
      <c r="B5" s="1366"/>
      <c r="C5" s="1366"/>
      <c r="D5" s="1366"/>
      <c r="E5" s="204" t="s">
        <v>70</v>
      </c>
      <c r="F5" s="204" t="s">
        <v>70</v>
      </c>
      <c r="G5" s="131" t="s">
        <v>253</v>
      </c>
      <c r="H5" s="131" t="s">
        <v>254</v>
      </c>
      <c r="I5" s="131" t="s">
        <v>255</v>
      </c>
      <c r="J5" s="131" t="s">
        <v>253</v>
      </c>
      <c r="K5" s="1376"/>
      <c r="O5" s="482" t="s">
        <v>480</v>
      </c>
      <c r="P5" s="1377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481</v>
      </c>
      <c r="P6" s="1378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482</v>
      </c>
      <c r="P7" s="1378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483</v>
      </c>
      <c r="P8" s="1379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480</v>
      </c>
      <c r="P9" s="1373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481</v>
      </c>
      <c r="P10" s="1374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482</v>
      </c>
      <c r="P11" s="1374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483</v>
      </c>
      <c r="P12" s="1375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533</v>
      </c>
      <c r="P13" s="1204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534</v>
      </c>
      <c r="P14" s="1205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535</v>
      </c>
      <c r="P15" s="1205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480</v>
      </c>
      <c r="P16" s="1205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6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481</v>
      </c>
      <c r="P17" s="1205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6"/>
      <c r="F18" s="6"/>
      <c r="G18" s="13"/>
      <c r="H18" s="13"/>
      <c r="I18" s="133"/>
      <c r="J18" s="13"/>
      <c r="K18" s="13"/>
      <c r="O18" s="482" t="s">
        <v>482</v>
      </c>
      <c r="P18" s="1206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6"/>
      <c r="F19" s="6"/>
      <c r="G19" s="13"/>
      <c r="H19" s="13"/>
      <c r="I19" s="133"/>
      <c r="J19" s="13"/>
      <c r="K19" s="13"/>
      <c r="O19" s="487" t="s">
        <v>533</v>
      </c>
      <c r="P19" s="1373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6"/>
      <c r="F20" s="6"/>
      <c r="G20" s="13"/>
      <c r="H20" s="13"/>
      <c r="I20" s="133"/>
      <c r="J20" s="13"/>
      <c r="K20" s="13"/>
      <c r="O20" s="487" t="s">
        <v>534</v>
      </c>
      <c r="P20" s="1374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6"/>
      <c r="F21" s="6"/>
      <c r="G21" s="13"/>
      <c r="H21" s="13"/>
      <c r="I21" s="133"/>
      <c r="J21" s="13"/>
      <c r="K21" s="13"/>
      <c r="O21" s="487" t="s">
        <v>535</v>
      </c>
      <c r="P21" s="1374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6"/>
      <c r="F22" s="6"/>
      <c r="G22" s="13"/>
      <c r="H22" s="13"/>
      <c r="I22" s="133"/>
      <c r="J22" s="13"/>
      <c r="K22" s="13"/>
      <c r="O22" s="487" t="s">
        <v>480</v>
      </c>
      <c r="P22" s="1374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13">
        <v>18</v>
      </c>
      <c r="C23" s="6"/>
      <c r="D23" s="6"/>
      <c r="E23" s="6"/>
      <c r="F23" s="6"/>
      <c r="G23" s="13"/>
      <c r="H23" s="13"/>
      <c r="I23" s="133"/>
      <c r="J23" s="13"/>
      <c r="K23" s="13"/>
      <c r="O23" s="487" t="s">
        <v>481</v>
      </c>
      <c r="P23" s="1374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6"/>
      <c r="F24" s="6"/>
      <c r="G24" s="13"/>
      <c r="H24" s="13"/>
      <c r="I24" s="133"/>
      <c r="J24" s="13"/>
      <c r="K24" s="13"/>
      <c r="O24" s="487" t="s">
        <v>482</v>
      </c>
      <c r="P24" s="1374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O25" s="487" t="s">
        <v>533</v>
      </c>
      <c r="P25" s="1374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O26" s="487" t="s">
        <v>534</v>
      </c>
      <c r="P26" s="1374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O27" s="487" t="s">
        <v>535</v>
      </c>
      <c r="P27" s="1375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O28" s="579" t="s">
        <v>533</v>
      </c>
      <c r="P28" s="1370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O29" s="579" t="s">
        <v>534</v>
      </c>
      <c r="P29" s="1371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O30" s="579" t="s">
        <v>535</v>
      </c>
      <c r="P30" s="1371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O31" s="579" t="s">
        <v>480</v>
      </c>
      <c r="P31" s="1371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O32" s="579" t="s">
        <v>481</v>
      </c>
      <c r="P32" s="1371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15:20" x14ac:dyDescent="0.3">
      <c r="O33" s="579" t="s">
        <v>482</v>
      </c>
      <c r="P33" s="1372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15:20" x14ac:dyDescent="0.3">
      <c r="O34" s="617" t="s">
        <v>480</v>
      </c>
      <c r="P34" s="1373">
        <v>6</v>
      </c>
      <c r="Q34" s="897">
        <v>46278</v>
      </c>
      <c r="R34" s="618">
        <v>8.5999999999999993E-2</v>
      </c>
      <c r="S34" s="618">
        <v>0.11</v>
      </c>
      <c r="T34" s="618">
        <v>11.708</v>
      </c>
    </row>
    <row r="35" spans="15:20" x14ac:dyDescent="0.3">
      <c r="O35" s="617" t="s">
        <v>481</v>
      </c>
      <c r="P35" s="1374"/>
      <c r="Q35" s="897">
        <v>46278</v>
      </c>
      <c r="R35" s="618">
        <v>0.05</v>
      </c>
      <c r="S35" s="618">
        <v>0.20300000000000001</v>
      </c>
      <c r="T35" s="618">
        <v>13.382999999999999</v>
      </c>
    </row>
    <row r="36" spans="15:20" x14ac:dyDescent="0.3">
      <c r="O36" s="617" t="s">
        <v>482</v>
      </c>
      <c r="P36" s="1374"/>
      <c r="Q36" s="897">
        <v>46278</v>
      </c>
      <c r="R36" s="618">
        <v>1.9E-2</v>
      </c>
      <c r="S36" s="618">
        <v>6.5000000000000002E-2</v>
      </c>
      <c r="T36" s="618">
        <v>12.15</v>
      </c>
    </row>
    <row r="37" spans="15:20" x14ac:dyDescent="0.3">
      <c r="O37" s="482" t="s">
        <v>533</v>
      </c>
      <c r="P37" s="1374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15:20" x14ac:dyDescent="0.3">
      <c r="O38" s="482" t="s">
        <v>534</v>
      </c>
      <c r="P38" s="1374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15:20" x14ac:dyDescent="0.3">
      <c r="O39" s="482" t="s">
        <v>535</v>
      </c>
      <c r="P39" s="1374"/>
      <c r="Q39" s="637">
        <v>46279</v>
      </c>
      <c r="R39" s="482">
        <v>2.3E-2</v>
      </c>
      <c r="S39" s="482">
        <v>0.35</v>
      </c>
      <c r="T39" s="482">
        <v>7.37</v>
      </c>
    </row>
    <row r="40" spans="15:20" x14ac:dyDescent="0.3">
      <c r="O40" s="482" t="s">
        <v>533</v>
      </c>
      <c r="P40" s="1374"/>
      <c r="Q40" s="898">
        <v>46279</v>
      </c>
      <c r="R40" s="615">
        <v>0.13200000000000001</v>
      </c>
      <c r="S40" s="615">
        <v>0.83</v>
      </c>
      <c r="T40" s="615">
        <v>8.7100000000000009</v>
      </c>
    </row>
    <row r="41" spans="15:20" x14ac:dyDescent="0.3">
      <c r="O41" s="482" t="s">
        <v>534</v>
      </c>
      <c r="P41" s="1374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15:20" x14ac:dyDescent="0.3">
      <c r="O42" s="482" t="s">
        <v>535</v>
      </c>
      <c r="P42" s="1375"/>
      <c r="Q42" s="637">
        <v>46279</v>
      </c>
      <c r="R42" s="482">
        <v>9.4E-2</v>
      </c>
      <c r="S42" s="482">
        <v>0.83</v>
      </c>
      <c r="T42" s="482">
        <v>8.76</v>
      </c>
    </row>
    <row r="43" spans="15:20" x14ac:dyDescent="0.3">
      <c r="O43" s="451" t="s">
        <v>480</v>
      </c>
      <c r="P43" s="451">
        <v>7</v>
      </c>
      <c r="Q43" s="955">
        <v>46281</v>
      </c>
      <c r="R43" s="452">
        <v>9.2999999999999999E-2</v>
      </c>
      <c r="S43" s="452">
        <v>0.15</v>
      </c>
      <c r="T43" s="452">
        <v>6.42</v>
      </c>
    </row>
    <row r="44" spans="15:20" x14ac:dyDescent="0.3">
      <c r="O44" s="451" t="s">
        <v>481</v>
      </c>
      <c r="P44" s="451">
        <v>7</v>
      </c>
      <c r="Q44" s="955">
        <v>46281</v>
      </c>
      <c r="R44" s="452">
        <v>8.4000000000000005E-2</v>
      </c>
      <c r="S44" s="452">
        <v>0.14000000000000001</v>
      </c>
      <c r="T44" s="452">
        <v>6.38</v>
      </c>
    </row>
    <row r="45" spans="15:20" x14ac:dyDescent="0.3">
      <c r="O45" s="451" t="s">
        <v>482</v>
      </c>
      <c r="P45" s="451">
        <v>7</v>
      </c>
      <c r="Q45" s="955">
        <v>46281</v>
      </c>
      <c r="R45" s="452">
        <v>0.1</v>
      </c>
      <c r="S45" s="452">
        <v>0.15</v>
      </c>
      <c r="T45" s="452">
        <v>6.34</v>
      </c>
    </row>
    <row r="46" spans="15:20" x14ac:dyDescent="0.3">
      <c r="O46" s="451" t="s">
        <v>533</v>
      </c>
      <c r="P46" s="451">
        <v>7</v>
      </c>
      <c r="Q46" s="955">
        <v>46282</v>
      </c>
      <c r="R46" s="452">
        <v>0.11600000000000001</v>
      </c>
      <c r="S46" s="452">
        <v>1.06</v>
      </c>
      <c r="T46" s="452">
        <v>9.98</v>
      </c>
    </row>
    <row r="47" spans="15:20" x14ac:dyDescent="0.3">
      <c r="O47" s="451" t="s">
        <v>534</v>
      </c>
      <c r="P47" s="451">
        <v>7</v>
      </c>
      <c r="Q47" s="955">
        <v>46282</v>
      </c>
      <c r="R47" s="452">
        <v>0.114</v>
      </c>
      <c r="S47" s="452">
        <v>1.04</v>
      </c>
      <c r="T47" s="452">
        <v>9.9499999999999993</v>
      </c>
    </row>
    <row r="48" spans="15:20" x14ac:dyDescent="0.3">
      <c r="O48" s="451" t="s">
        <v>535</v>
      </c>
      <c r="P48" s="451">
        <v>7</v>
      </c>
      <c r="Q48" s="955">
        <v>46282</v>
      </c>
      <c r="R48" s="452">
        <v>9.4E-2</v>
      </c>
      <c r="S48" s="452">
        <v>0.98</v>
      </c>
      <c r="T48" s="452">
        <v>9.93</v>
      </c>
    </row>
    <row r="49" spans="15:20" x14ac:dyDescent="0.3">
      <c r="O49" s="579" t="s">
        <v>480</v>
      </c>
      <c r="P49" s="482">
        <v>8</v>
      </c>
      <c r="Q49" s="898">
        <v>46283</v>
      </c>
      <c r="R49" s="615">
        <v>5.5E-2</v>
      </c>
      <c r="S49" s="615">
        <v>0.32</v>
      </c>
      <c r="T49" s="615">
        <v>10.4</v>
      </c>
    </row>
    <row r="50" spans="15:20" x14ac:dyDescent="0.3">
      <c r="O50" s="579" t="s">
        <v>481</v>
      </c>
      <c r="P50" s="482">
        <v>8</v>
      </c>
      <c r="Q50" s="898">
        <v>46283</v>
      </c>
      <c r="R50" s="615">
        <v>3.6999999999999998E-2</v>
      </c>
      <c r="S50" s="615">
        <v>0.34</v>
      </c>
      <c r="T50" s="615">
        <v>9.42</v>
      </c>
    </row>
    <row r="51" spans="15:20" x14ac:dyDescent="0.3">
      <c r="O51" s="579" t="s">
        <v>482</v>
      </c>
      <c r="P51" s="482">
        <v>8</v>
      </c>
      <c r="Q51" s="898">
        <v>46283</v>
      </c>
      <c r="R51" s="615">
        <v>3.5999999999999997E-2</v>
      </c>
      <c r="S51" s="615">
        <v>0.38</v>
      </c>
      <c r="T51" s="615">
        <v>10.78</v>
      </c>
    </row>
    <row r="52" spans="15:20" x14ac:dyDescent="0.3">
      <c r="O52" s="482" t="s">
        <v>533</v>
      </c>
      <c r="P52" s="482">
        <v>8</v>
      </c>
      <c r="Q52" s="898">
        <v>46284</v>
      </c>
      <c r="R52" s="615">
        <v>2.1000000000000001E-2</v>
      </c>
      <c r="S52" s="615">
        <v>0.18</v>
      </c>
      <c r="T52" s="615">
        <v>10.59</v>
      </c>
    </row>
    <row r="53" spans="15:20" x14ac:dyDescent="0.3">
      <c r="O53" s="482" t="s">
        <v>534</v>
      </c>
      <c r="P53" s="482">
        <v>8</v>
      </c>
      <c r="Q53" s="898">
        <v>46284</v>
      </c>
      <c r="R53" s="1076">
        <v>0.08</v>
      </c>
      <c r="S53" s="615">
        <v>0.39</v>
      </c>
      <c r="T53" s="615">
        <v>10.44</v>
      </c>
    </row>
    <row r="54" spans="15:20" x14ac:dyDescent="0.3">
      <c r="O54" s="482" t="s">
        <v>535</v>
      </c>
      <c r="P54" s="482">
        <v>8</v>
      </c>
      <c r="Q54" s="898">
        <v>46284</v>
      </c>
      <c r="R54" s="615">
        <v>3.3000000000000002E-2</v>
      </c>
      <c r="S54" s="615">
        <v>0.3</v>
      </c>
      <c r="T54" s="615">
        <v>10.65</v>
      </c>
    </row>
    <row r="55" spans="15:20" x14ac:dyDescent="0.3">
      <c r="O55" s="579" t="s">
        <v>480</v>
      </c>
      <c r="P55" s="482">
        <v>8</v>
      </c>
      <c r="Q55" s="898">
        <v>46284</v>
      </c>
      <c r="R55" s="615">
        <v>9.4E-2</v>
      </c>
      <c r="S55" s="615">
        <v>0.44</v>
      </c>
      <c r="T55" s="615">
        <v>10.73</v>
      </c>
    </row>
    <row r="56" spans="15:20" x14ac:dyDescent="0.3">
      <c r="O56" s="579" t="s">
        <v>481</v>
      </c>
      <c r="P56" s="482">
        <v>8</v>
      </c>
      <c r="Q56" s="898">
        <v>46284</v>
      </c>
      <c r="R56" s="615">
        <v>8.3000000000000004E-2</v>
      </c>
      <c r="S56" s="615">
        <v>0.53</v>
      </c>
      <c r="T56" s="615">
        <v>10.23</v>
      </c>
    </row>
    <row r="57" spans="15:20" x14ac:dyDescent="0.3">
      <c r="O57" s="579" t="s">
        <v>482</v>
      </c>
      <c r="P57" s="482">
        <v>8</v>
      </c>
      <c r="Q57" s="898">
        <v>46284</v>
      </c>
      <c r="R57" s="615">
        <v>9.0999999999999998E-2</v>
      </c>
      <c r="S57" s="615">
        <v>0.61</v>
      </c>
      <c r="T57" s="615">
        <v>10.7</v>
      </c>
    </row>
    <row r="58" spans="15:20" x14ac:dyDescent="0.3">
      <c r="O58" s="451" t="s">
        <v>533</v>
      </c>
      <c r="P58" s="1214">
        <v>9</v>
      </c>
      <c r="Q58" s="955">
        <v>46286</v>
      </c>
      <c r="R58" s="452">
        <v>8.5000000000000006E-2</v>
      </c>
      <c r="S58" s="452">
        <v>0.46</v>
      </c>
      <c r="T58" s="452">
        <v>13.61</v>
      </c>
    </row>
    <row r="59" spans="15:20" x14ac:dyDescent="0.3">
      <c r="O59" s="451" t="s">
        <v>534</v>
      </c>
      <c r="P59" s="1215"/>
      <c r="Q59" s="955">
        <v>46286</v>
      </c>
      <c r="R59" s="452">
        <v>0.104</v>
      </c>
      <c r="S59" s="452">
        <v>0.4</v>
      </c>
      <c r="T59" s="452">
        <v>14.11</v>
      </c>
    </row>
    <row r="60" spans="15:20" x14ac:dyDescent="0.3">
      <c r="O60" s="451" t="s">
        <v>480</v>
      </c>
      <c r="P60" s="1215"/>
      <c r="Q60" s="955">
        <v>46286</v>
      </c>
      <c r="R60" s="452">
        <v>0.1</v>
      </c>
      <c r="S60" s="452">
        <v>0.45</v>
      </c>
      <c r="T60" s="452">
        <v>12.47</v>
      </c>
    </row>
    <row r="61" spans="15:20" x14ac:dyDescent="0.3">
      <c r="O61" s="451" t="s">
        <v>481</v>
      </c>
      <c r="P61" s="1215"/>
      <c r="Q61" s="955">
        <v>46286</v>
      </c>
      <c r="R61" s="452">
        <v>9.5000000000000001E-2</v>
      </c>
      <c r="S61" s="452">
        <v>0.43</v>
      </c>
      <c r="T61" s="452">
        <v>12.99</v>
      </c>
    </row>
    <row r="62" spans="15:20" x14ac:dyDescent="0.3">
      <c r="O62" s="451" t="s">
        <v>533</v>
      </c>
      <c r="P62" s="1215"/>
      <c r="Q62" s="955">
        <v>46287</v>
      </c>
      <c r="R62" s="452">
        <v>0.11700000000000001</v>
      </c>
      <c r="S62" s="452">
        <v>0.45</v>
      </c>
      <c r="T62" s="452">
        <v>15.99</v>
      </c>
    </row>
    <row r="63" spans="15:20" x14ac:dyDescent="0.3">
      <c r="O63" s="451" t="s">
        <v>534</v>
      </c>
      <c r="P63" s="1215"/>
      <c r="Q63" s="955">
        <v>46287</v>
      </c>
      <c r="R63" s="452">
        <v>0.14799999999999999</v>
      </c>
      <c r="S63" s="452">
        <v>0.47</v>
      </c>
      <c r="T63" s="452">
        <v>15.98</v>
      </c>
    </row>
    <row r="64" spans="15:20" x14ac:dyDescent="0.3">
      <c r="O64" s="451" t="s">
        <v>535</v>
      </c>
      <c r="P64" s="1215"/>
      <c r="Q64" s="955">
        <v>46287</v>
      </c>
      <c r="R64" s="452">
        <v>0.11600000000000001</v>
      </c>
      <c r="S64" s="452">
        <v>0.47</v>
      </c>
      <c r="T64" s="452">
        <v>16.18</v>
      </c>
    </row>
    <row r="65" spans="15:20" x14ac:dyDescent="0.3">
      <c r="O65" s="451" t="s">
        <v>480</v>
      </c>
      <c r="P65" s="1215"/>
      <c r="Q65" s="955">
        <v>46287</v>
      </c>
      <c r="R65" s="452">
        <v>7.3999999999999996E-2</v>
      </c>
      <c r="S65" s="452">
        <v>0.33</v>
      </c>
      <c r="T65" s="452">
        <v>15.36</v>
      </c>
    </row>
    <row r="66" spans="15:20" x14ac:dyDescent="0.3">
      <c r="O66" s="451" t="s">
        <v>481</v>
      </c>
      <c r="P66" s="1215"/>
      <c r="Q66" s="955">
        <v>46287</v>
      </c>
      <c r="R66" s="452">
        <v>9.1999999999999998E-2</v>
      </c>
      <c r="S66" s="452">
        <v>0.28999999999999998</v>
      </c>
      <c r="T66" s="452">
        <v>15.39</v>
      </c>
    </row>
    <row r="67" spans="15:20" x14ac:dyDescent="0.3">
      <c r="O67" s="451" t="s">
        <v>482</v>
      </c>
      <c r="P67" s="1216"/>
      <c r="Q67" s="955">
        <v>46287</v>
      </c>
      <c r="R67" s="452">
        <v>9.7000000000000003E-2</v>
      </c>
      <c r="S67" s="452">
        <v>0.32</v>
      </c>
      <c r="T67" s="452">
        <v>15.44</v>
      </c>
    </row>
    <row r="68" spans="15:20" x14ac:dyDescent="0.3">
      <c r="O68" s="482" t="s">
        <v>533</v>
      </c>
      <c r="P68" s="1370">
        <v>10</v>
      </c>
      <c r="Q68" s="898">
        <v>46290</v>
      </c>
      <c r="R68" s="615"/>
      <c r="S68" s="615"/>
      <c r="T68" s="615"/>
    </row>
    <row r="69" spans="15:20" x14ac:dyDescent="0.3">
      <c r="O69" s="482" t="s">
        <v>534</v>
      </c>
      <c r="P69" s="1371"/>
      <c r="Q69" s="898">
        <v>46290</v>
      </c>
      <c r="R69" s="615"/>
      <c r="S69" s="615"/>
      <c r="T69" s="615"/>
    </row>
    <row r="70" spans="15:20" x14ac:dyDescent="0.3">
      <c r="O70" s="482" t="s">
        <v>535</v>
      </c>
      <c r="P70" s="1371"/>
      <c r="Q70" s="898">
        <v>46290</v>
      </c>
      <c r="R70" s="615"/>
      <c r="S70" s="615"/>
      <c r="T70" s="615"/>
    </row>
    <row r="71" spans="15:20" x14ac:dyDescent="0.3">
      <c r="O71" s="579" t="s">
        <v>480</v>
      </c>
      <c r="P71" s="1371"/>
      <c r="Q71" s="898">
        <v>46290</v>
      </c>
      <c r="R71" s="615">
        <v>0.158</v>
      </c>
      <c r="S71" s="615">
        <v>0.65</v>
      </c>
      <c r="T71" s="615">
        <v>18.88</v>
      </c>
    </row>
    <row r="72" spans="15:20" x14ac:dyDescent="0.3">
      <c r="O72" s="579" t="s">
        <v>481</v>
      </c>
      <c r="P72" s="1371"/>
      <c r="Q72" s="898">
        <v>46290</v>
      </c>
      <c r="R72" s="615">
        <v>0.14599999999999999</v>
      </c>
      <c r="S72" s="615">
        <v>0.68</v>
      </c>
      <c r="T72" s="615">
        <v>18.93</v>
      </c>
    </row>
    <row r="73" spans="15:20" x14ac:dyDescent="0.3">
      <c r="O73" s="579" t="s">
        <v>482</v>
      </c>
      <c r="P73" s="1371"/>
      <c r="Q73" s="898">
        <v>46290</v>
      </c>
      <c r="R73" s="615">
        <v>0.13400000000000001</v>
      </c>
      <c r="S73" s="615">
        <v>0.69</v>
      </c>
      <c r="T73" s="615">
        <v>18.739999999999998</v>
      </c>
    </row>
    <row r="74" spans="15:20" x14ac:dyDescent="0.3">
      <c r="O74" s="482" t="s">
        <v>533</v>
      </c>
      <c r="P74" s="1371"/>
      <c r="Q74" s="898">
        <v>46291</v>
      </c>
      <c r="R74" s="615">
        <v>0.13100000000000001</v>
      </c>
      <c r="S74" s="615">
        <v>0.32</v>
      </c>
      <c r="T74" s="615">
        <v>16.27</v>
      </c>
    </row>
    <row r="75" spans="15:20" x14ac:dyDescent="0.3">
      <c r="O75" s="482" t="s">
        <v>534</v>
      </c>
      <c r="P75" s="1371"/>
      <c r="Q75" s="898">
        <v>46291</v>
      </c>
      <c r="R75" s="615">
        <v>0.14499999999999999</v>
      </c>
      <c r="S75" s="615">
        <v>0.34</v>
      </c>
      <c r="T75" s="615">
        <v>16.149999999999999</v>
      </c>
    </row>
    <row r="76" spans="15:20" x14ac:dyDescent="0.3">
      <c r="O76" s="482" t="s">
        <v>535</v>
      </c>
      <c r="P76" s="1371"/>
      <c r="Q76" s="898">
        <v>46291</v>
      </c>
      <c r="R76" s="615">
        <v>0.15</v>
      </c>
      <c r="S76" s="615">
        <v>0.31</v>
      </c>
      <c r="T76" s="615">
        <v>16.809999999999999</v>
      </c>
    </row>
    <row r="77" spans="15:20" x14ac:dyDescent="0.3">
      <c r="O77" s="579" t="s">
        <v>480</v>
      </c>
      <c r="P77" s="1371"/>
      <c r="Q77" s="898">
        <v>46291</v>
      </c>
      <c r="R77" s="615">
        <v>0.1</v>
      </c>
      <c r="S77" s="615">
        <v>0.41</v>
      </c>
      <c r="T77" s="615">
        <v>17.16</v>
      </c>
    </row>
    <row r="78" spans="15:20" x14ac:dyDescent="0.3">
      <c r="O78" s="579" t="s">
        <v>481</v>
      </c>
      <c r="P78" s="1371"/>
      <c r="Q78" s="898">
        <v>46291</v>
      </c>
      <c r="R78" s="615">
        <v>0.11700000000000001</v>
      </c>
      <c r="S78" s="615">
        <v>0.41</v>
      </c>
      <c r="T78" s="615">
        <v>17.239999999999998</v>
      </c>
    </row>
    <row r="79" spans="15:20" x14ac:dyDescent="0.3">
      <c r="O79" s="579" t="s">
        <v>482</v>
      </c>
      <c r="P79" s="1372"/>
      <c r="Q79" s="898">
        <v>46291</v>
      </c>
      <c r="R79" s="615">
        <v>0.106</v>
      </c>
      <c r="S79" s="615">
        <v>0.41</v>
      </c>
      <c r="T79" s="615">
        <v>17.18</v>
      </c>
    </row>
    <row r="80" spans="15:20" ht="14.4" customHeight="1" x14ac:dyDescent="0.3">
      <c r="O80" s="451" t="s">
        <v>533</v>
      </c>
      <c r="P80" s="1367">
        <v>11</v>
      </c>
      <c r="Q80" s="955">
        <v>46292</v>
      </c>
      <c r="R80" s="452">
        <v>0.152</v>
      </c>
      <c r="S80" s="452">
        <v>0.5</v>
      </c>
      <c r="T80" s="452">
        <v>15.57</v>
      </c>
    </row>
    <row r="81" spans="15:20" ht="14.4" customHeight="1" x14ac:dyDescent="0.3">
      <c r="O81" s="451" t="s">
        <v>534</v>
      </c>
      <c r="P81" s="1368"/>
      <c r="Q81" s="955">
        <v>46292</v>
      </c>
      <c r="R81" s="452">
        <v>0.156</v>
      </c>
      <c r="S81" s="452">
        <v>0.47</v>
      </c>
      <c r="T81" s="452">
        <v>15.85</v>
      </c>
    </row>
    <row r="82" spans="15:20" ht="14.4" customHeight="1" x14ac:dyDescent="0.3">
      <c r="O82" s="451" t="s">
        <v>535</v>
      </c>
      <c r="P82" s="1368"/>
      <c r="Q82" s="955">
        <v>46292</v>
      </c>
      <c r="R82" s="452">
        <v>0.13500000000000001</v>
      </c>
      <c r="S82" s="452">
        <v>0.47</v>
      </c>
      <c r="T82" s="452">
        <v>15.75</v>
      </c>
    </row>
    <row r="83" spans="15:20" ht="14.4" customHeight="1" x14ac:dyDescent="0.3">
      <c r="O83" s="451" t="s">
        <v>480</v>
      </c>
      <c r="P83" s="1368"/>
      <c r="Q83" s="955">
        <v>46292</v>
      </c>
      <c r="R83" s="452"/>
      <c r="S83" s="452"/>
      <c r="T83" s="452"/>
    </row>
    <row r="84" spans="15:20" ht="14.4" customHeight="1" x14ac:dyDescent="0.3">
      <c r="O84" s="451" t="s">
        <v>481</v>
      </c>
      <c r="P84" s="1368"/>
      <c r="Q84" s="955">
        <v>46292</v>
      </c>
      <c r="R84" s="452"/>
      <c r="S84" s="452"/>
      <c r="T84" s="452"/>
    </row>
    <row r="85" spans="15:20" ht="14.4" customHeight="1" x14ac:dyDescent="0.3">
      <c r="O85" s="451" t="s">
        <v>482</v>
      </c>
      <c r="P85" s="1368"/>
      <c r="Q85" s="955">
        <v>46292</v>
      </c>
      <c r="R85" s="452"/>
      <c r="S85" s="452"/>
      <c r="T85" s="452"/>
    </row>
    <row r="86" spans="15:20" ht="14.4" customHeight="1" x14ac:dyDescent="0.3">
      <c r="O86" s="451" t="s">
        <v>533</v>
      </c>
      <c r="P86" s="1368"/>
      <c r="Q86" s="955">
        <v>46293</v>
      </c>
      <c r="R86" s="452">
        <v>0.1</v>
      </c>
      <c r="S86" s="452">
        <v>0.44</v>
      </c>
      <c r="T86" s="452">
        <v>13.09</v>
      </c>
    </row>
    <row r="87" spans="15:20" ht="14.4" customHeight="1" x14ac:dyDescent="0.3">
      <c r="O87" s="451" t="s">
        <v>534</v>
      </c>
      <c r="P87" s="1368"/>
      <c r="Q87" s="955">
        <v>46293</v>
      </c>
      <c r="R87" s="452">
        <v>0.109</v>
      </c>
      <c r="S87" s="452">
        <v>0.48</v>
      </c>
      <c r="T87" s="452">
        <v>13.04</v>
      </c>
    </row>
    <row r="88" spans="15:20" ht="14.4" customHeight="1" x14ac:dyDescent="0.3">
      <c r="O88" s="451" t="s">
        <v>535</v>
      </c>
      <c r="P88" s="1368"/>
      <c r="Q88" s="955">
        <v>46293</v>
      </c>
      <c r="R88" s="452">
        <v>0.125</v>
      </c>
      <c r="S88" s="452">
        <v>0.46</v>
      </c>
      <c r="T88" s="452">
        <v>13.19</v>
      </c>
    </row>
    <row r="89" spans="15:20" ht="14.4" customHeight="1" x14ac:dyDescent="0.3">
      <c r="O89" s="451" t="s">
        <v>480</v>
      </c>
      <c r="P89" s="1368"/>
      <c r="Q89" s="955">
        <v>46293</v>
      </c>
      <c r="R89" s="452">
        <v>0.14799999999999999</v>
      </c>
      <c r="S89" s="452">
        <v>0.51</v>
      </c>
      <c r="T89" s="452">
        <v>12.78</v>
      </c>
    </row>
    <row r="90" spans="15:20" ht="14.4" customHeight="1" x14ac:dyDescent="0.3">
      <c r="O90" s="451" t="s">
        <v>481</v>
      </c>
      <c r="P90" s="1368"/>
      <c r="Q90" s="955">
        <v>46293</v>
      </c>
      <c r="R90" s="452">
        <v>0.115</v>
      </c>
      <c r="S90" s="452">
        <v>0.55000000000000004</v>
      </c>
      <c r="T90" s="452">
        <v>12.75</v>
      </c>
    </row>
    <row r="91" spans="15:20" ht="14.4" customHeight="1" x14ac:dyDescent="0.3">
      <c r="O91" s="451" t="s">
        <v>482</v>
      </c>
      <c r="P91" s="1368"/>
      <c r="Q91" s="955">
        <v>46293</v>
      </c>
      <c r="R91" s="452">
        <v>0.13300000000000001</v>
      </c>
      <c r="S91" s="452">
        <v>0.56000000000000005</v>
      </c>
      <c r="T91" s="452">
        <v>12.66</v>
      </c>
    </row>
    <row r="92" spans="15:20" ht="14.4" customHeight="1" x14ac:dyDescent="0.3">
      <c r="O92" s="451" t="s">
        <v>533</v>
      </c>
      <c r="P92" s="1368"/>
      <c r="Q92" s="955">
        <v>46294</v>
      </c>
      <c r="R92" s="452">
        <v>0.14199999999999999</v>
      </c>
      <c r="S92" s="452">
        <v>0.79</v>
      </c>
      <c r="T92" s="452">
        <v>15.32</v>
      </c>
    </row>
    <row r="93" spans="15:20" ht="14.4" customHeight="1" x14ac:dyDescent="0.3">
      <c r="O93" s="451" t="s">
        <v>534</v>
      </c>
      <c r="P93" s="1368"/>
      <c r="Q93" s="955">
        <v>46294</v>
      </c>
      <c r="R93" s="452">
        <v>0.152</v>
      </c>
      <c r="S93" s="452">
        <v>0.77</v>
      </c>
      <c r="T93" s="452">
        <v>15.12</v>
      </c>
    </row>
    <row r="94" spans="15:20" ht="14.4" customHeight="1" x14ac:dyDescent="0.3">
      <c r="O94" s="451" t="s">
        <v>535</v>
      </c>
      <c r="P94" s="1368"/>
      <c r="Q94" s="955">
        <v>46294</v>
      </c>
      <c r="R94" s="452">
        <v>0.13</v>
      </c>
      <c r="S94" s="452">
        <v>0.78</v>
      </c>
      <c r="T94" s="452">
        <v>15.11</v>
      </c>
    </row>
    <row r="95" spans="15:20" x14ac:dyDescent="0.3">
      <c r="O95" s="451" t="s">
        <v>480</v>
      </c>
      <c r="P95" s="1368"/>
      <c r="Q95" s="955">
        <v>46294</v>
      </c>
      <c r="R95" s="452">
        <v>0.11899999999999999</v>
      </c>
      <c r="S95" s="452">
        <v>0.63</v>
      </c>
      <c r="T95" s="452">
        <v>18.23</v>
      </c>
    </row>
    <row r="96" spans="15:20" x14ac:dyDescent="0.3">
      <c r="O96" s="451" t="s">
        <v>481</v>
      </c>
      <c r="P96" s="1368"/>
      <c r="Q96" s="955">
        <v>46294</v>
      </c>
      <c r="R96" s="452">
        <v>0.15</v>
      </c>
      <c r="S96" s="452">
        <v>0.61</v>
      </c>
      <c r="T96" s="452">
        <v>18.34</v>
      </c>
    </row>
    <row r="97" spans="15:20" x14ac:dyDescent="0.3">
      <c r="O97" s="451" t="s">
        <v>482</v>
      </c>
      <c r="P97" s="1368"/>
      <c r="Q97" s="955">
        <v>46294</v>
      </c>
      <c r="R97" s="452">
        <v>0.14699999999999999</v>
      </c>
      <c r="S97" s="452">
        <v>0.59</v>
      </c>
      <c r="T97" s="452">
        <v>18.2</v>
      </c>
    </row>
    <row r="98" spans="15:20" x14ac:dyDescent="0.3">
      <c r="O98" s="451" t="s">
        <v>533</v>
      </c>
      <c r="P98" s="1368"/>
      <c r="Q98" s="955">
        <v>46295</v>
      </c>
      <c r="R98" s="452">
        <v>0.121</v>
      </c>
      <c r="S98" s="452">
        <v>1.05</v>
      </c>
      <c r="T98" s="452">
        <v>16.78</v>
      </c>
    </row>
    <row r="99" spans="15:20" x14ac:dyDescent="0.3">
      <c r="O99" s="451" t="s">
        <v>534</v>
      </c>
      <c r="P99" s="1368"/>
      <c r="Q99" s="955">
        <v>46295</v>
      </c>
      <c r="R99" s="452">
        <v>0.11799999999999999</v>
      </c>
      <c r="S99" s="452">
        <v>1.1599999999999999</v>
      </c>
      <c r="T99" s="452">
        <v>16.78</v>
      </c>
    </row>
    <row r="100" spans="15:20" x14ac:dyDescent="0.3">
      <c r="O100" s="451" t="s">
        <v>535</v>
      </c>
      <c r="P100" s="1369"/>
      <c r="Q100" s="955">
        <v>46295</v>
      </c>
      <c r="R100" s="452">
        <v>0.14299999999999999</v>
      </c>
      <c r="S100" s="452">
        <v>1.04</v>
      </c>
      <c r="T100" s="452">
        <v>16</v>
      </c>
    </row>
    <row r="101" spans="15:20" x14ac:dyDescent="0.3">
      <c r="O101" s="482" t="s">
        <v>533</v>
      </c>
      <c r="P101" s="13"/>
      <c r="Q101" s="62">
        <v>46297</v>
      </c>
      <c r="R101" s="6">
        <v>0.33200000000000002</v>
      </c>
      <c r="S101" s="6">
        <v>1.1200000000000001</v>
      </c>
      <c r="T101" s="6">
        <v>19.87</v>
      </c>
    </row>
    <row r="102" spans="15:20" x14ac:dyDescent="0.3">
      <c r="O102" s="482" t="s">
        <v>534</v>
      </c>
      <c r="P102" s="13"/>
      <c r="Q102" s="62">
        <v>46297</v>
      </c>
      <c r="R102" s="6">
        <v>0.36199999999999999</v>
      </c>
      <c r="S102" s="6">
        <v>1.19</v>
      </c>
      <c r="T102" s="6">
        <v>19.84</v>
      </c>
    </row>
    <row r="103" spans="15:20" x14ac:dyDescent="0.3">
      <c r="O103" s="482" t="s">
        <v>535</v>
      </c>
      <c r="P103" s="13"/>
      <c r="Q103" s="62">
        <v>46297</v>
      </c>
      <c r="R103" s="6">
        <v>0.32400000000000001</v>
      </c>
      <c r="S103" s="6">
        <v>1.04</v>
      </c>
      <c r="T103" s="6">
        <v>19.920000000000002</v>
      </c>
    </row>
    <row r="104" spans="15:20" x14ac:dyDescent="0.3">
      <c r="O104" s="579" t="s">
        <v>480</v>
      </c>
      <c r="P104" s="13"/>
      <c r="Q104" s="62">
        <v>46297</v>
      </c>
      <c r="R104" s="6">
        <v>0.153</v>
      </c>
      <c r="S104" s="6">
        <v>0.72</v>
      </c>
      <c r="T104" s="6"/>
    </row>
    <row r="105" spans="15:20" x14ac:dyDescent="0.3">
      <c r="O105" s="579" t="s">
        <v>481</v>
      </c>
      <c r="P105" s="13"/>
      <c r="Q105" s="62">
        <v>46297</v>
      </c>
      <c r="R105" s="6">
        <v>0.115</v>
      </c>
      <c r="S105" s="6">
        <v>0.83</v>
      </c>
      <c r="T105" s="6"/>
    </row>
    <row r="106" spans="15:20" x14ac:dyDescent="0.3">
      <c r="O106" s="579" t="s">
        <v>482</v>
      </c>
      <c r="P106" s="13"/>
      <c r="Q106" s="62">
        <v>46297</v>
      </c>
      <c r="R106" s="6">
        <v>0.115</v>
      </c>
      <c r="S106" s="6">
        <v>0.74</v>
      </c>
      <c r="T106" s="6"/>
    </row>
    <row r="107" spans="15:20" x14ac:dyDescent="0.3">
      <c r="O107" s="6"/>
      <c r="P107" s="13"/>
      <c r="Q107" s="6"/>
      <c r="R107" s="6"/>
      <c r="S107" s="6"/>
      <c r="T107" s="6"/>
    </row>
    <row r="108" spans="15:20" x14ac:dyDescent="0.3">
      <c r="O108" s="6"/>
      <c r="P108" s="13"/>
      <c r="Q108" s="6"/>
      <c r="R108" s="6"/>
      <c r="S108" s="6"/>
      <c r="T108" s="6"/>
    </row>
    <row r="109" spans="15:20" x14ac:dyDescent="0.3">
      <c r="O109" s="6"/>
      <c r="P109" s="13"/>
      <c r="Q109" s="6"/>
      <c r="R109" s="6"/>
      <c r="S109" s="6"/>
      <c r="T109" s="6"/>
    </row>
    <row r="110" spans="15:20" x14ac:dyDescent="0.3">
      <c r="O110" s="6"/>
      <c r="P110" s="13"/>
      <c r="Q110" s="6"/>
      <c r="R110" s="6"/>
      <c r="S110" s="6"/>
      <c r="T110" s="6"/>
    </row>
    <row r="111" spans="15:20" x14ac:dyDescent="0.3">
      <c r="O111" s="6"/>
      <c r="P111" s="13"/>
      <c r="Q111" s="6"/>
      <c r="R111" s="6"/>
      <c r="S111" s="6"/>
      <c r="T111" s="6"/>
    </row>
    <row r="112" spans="15:20" x14ac:dyDescent="0.3">
      <c r="O112" s="6"/>
      <c r="P112" s="13"/>
      <c r="Q112" s="6"/>
      <c r="R112" s="6"/>
      <c r="S112" s="6"/>
      <c r="T112" s="6"/>
    </row>
    <row r="113" spans="15:20" x14ac:dyDescent="0.3">
      <c r="O113" s="6"/>
      <c r="P113" s="13"/>
      <c r="Q113" s="6"/>
      <c r="R113" s="6"/>
      <c r="S113" s="6"/>
      <c r="T113" s="6"/>
    </row>
    <row r="114" spans="15:20" x14ac:dyDescent="0.3">
      <c r="O114" s="6"/>
      <c r="P114" s="13"/>
      <c r="Q114" s="6"/>
      <c r="R114" s="6"/>
      <c r="S114" s="6"/>
      <c r="T114" s="6"/>
    </row>
    <row r="115" spans="15:20" x14ac:dyDescent="0.3">
      <c r="O115" s="6"/>
      <c r="P115" s="13"/>
      <c r="Q115" s="6"/>
      <c r="R115" s="6"/>
      <c r="S115" s="6"/>
      <c r="T115" s="6"/>
    </row>
    <row r="116" spans="15:20" x14ac:dyDescent="0.3">
      <c r="O116" s="6"/>
      <c r="P116" s="13"/>
      <c r="Q116" s="6"/>
      <c r="R116" s="6"/>
      <c r="S116" s="6"/>
      <c r="T116" s="6"/>
    </row>
    <row r="117" spans="15:20" x14ac:dyDescent="0.3">
      <c r="O117" s="6"/>
      <c r="P117" s="13"/>
      <c r="Q117" s="6"/>
      <c r="R117" s="6"/>
      <c r="S117" s="6"/>
      <c r="T117" s="6"/>
    </row>
    <row r="118" spans="15:20" x14ac:dyDescent="0.3">
      <c r="O118" s="6"/>
      <c r="P118" s="13"/>
      <c r="Q118" s="6"/>
      <c r="R118" s="6"/>
      <c r="S118" s="6"/>
      <c r="T118" s="6"/>
    </row>
    <row r="119" spans="15:20" x14ac:dyDescent="0.3">
      <c r="O119" s="6"/>
      <c r="P119" s="13"/>
      <c r="Q119" s="6"/>
      <c r="R119" s="6"/>
      <c r="S119" s="6"/>
      <c r="T119" s="6"/>
    </row>
    <row r="120" spans="15:20" x14ac:dyDescent="0.3">
      <c r="O120" s="6"/>
      <c r="P120" s="13"/>
      <c r="Q120" s="6"/>
      <c r="R120" s="6"/>
      <c r="S120" s="6"/>
      <c r="T120" s="6"/>
    </row>
    <row r="121" spans="15:20" x14ac:dyDescent="0.3">
      <c r="O121" s="6"/>
      <c r="P121" s="13"/>
      <c r="Q121" s="6"/>
      <c r="R121" s="6"/>
      <c r="S121" s="6"/>
      <c r="T121" s="6"/>
    </row>
    <row r="122" spans="15:20" x14ac:dyDescent="0.3">
      <c r="O122" s="6"/>
      <c r="P122" s="13"/>
      <c r="Q122" s="6"/>
      <c r="R122" s="6"/>
      <c r="S122" s="6"/>
      <c r="T122" s="6"/>
    </row>
    <row r="123" spans="15:20" x14ac:dyDescent="0.3">
      <c r="O123" s="6"/>
      <c r="P123" s="13"/>
      <c r="Q123" s="6"/>
      <c r="R123" s="6"/>
      <c r="S123" s="6"/>
      <c r="T123" s="6"/>
    </row>
    <row r="124" spans="15:20" x14ac:dyDescent="0.3">
      <c r="O124" s="6"/>
      <c r="P124" s="13"/>
      <c r="Q124" s="6"/>
      <c r="R124" s="6"/>
      <c r="S124" s="6"/>
      <c r="T124" s="6"/>
    </row>
    <row r="125" spans="15:20" x14ac:dyDescent="0.3">
      <c r="O125" s="6"/>
      <c r="P125" s="13"/>
      <c r="Q125" s="6"/>
      <c r="R125" s="6"/>
      <c r="S125" s="6"/>
      <c r="T125" s="6"/>
    </row>
    <row r="126" spans="15:20" x14ac:dyDescent="0.3">
      <c r="O126" s="6"/>
      <c r="P126" s="13"/>
      <c r="Q126" s="6"/>
      <c r="R126" s="6"/>
      <c r="S126" s="6"/>
      <c r="T126" s="6"/>
    </row>
    <row r="127" spans="15:20" x14ac:dyDescent="0.3">
      <c r="O127" s="6"/>
      <c r="P127" s="13"/>
      <c r="Q127" s="6"/>
      <c r="R127" s="6"/>
      <c r="S127" s="6"/>
      <c r="T127" s="6"/>
    </row>
    <row r="128" spans="15:20" x14ac:dyDescent="0.3">
      <c r="O128" s="6"/>
      <c r="P128" s="13"/>
      <c r="Q128" s="6"/>
      <c r="R128" s="6"/>
      <c r="S128" s="6"/>
      <c r="T128" s="6"/>
    </row>
    <row r="129" spans="15:20" x14ac:dyDescent="0.3">
      <c r="O129" s="6"/>
      <c r="P129" s="13"/>
      <c r="Q129" s="6"/>
      <c r="R129" s="6"/>
      <c r="S129" s="6"/>
      <c r="T129" s="6"/>
    </row>
    <row r="130" spans="15:20" x14ac:dyDescent="0.3">
      <c r="O130" s="6"/>
      <c r="P130" s="13"/>
      <c r="Q130" s="6"/>
      <c r="R130" s="6"/>
      <c r="S130" s="6"/>
      <c r="T130" s="6"/>
    </row>
    <row r="131" spans="15:20" x14ac:dyDescent="0.3">
      <c r="O131" s="6"/>
      <c r="P131" s="13"/>
      <c r="Q131" s="6"/>
      <c r="R131" s="6"/>
      <c r="S131" s="6"/>
      <c r="T131" s="6"/>
    </row>
    <row r="132" spans="15:20" x14ac:dyDescent="0.3">
      <c r="O132" s="6"/>
      <c r="P132" s="13"/>
      <c r="Q132" s="6"/>
      <c r="R132" s="6"/>
      <c r="S132" s="6"/>
      <c r="T132" s="6"/>
    </row>
    <row r="133" spans="15:20" x14ac:dyDescent="0.3">
      <c r="O133" s="6"/>
      <c r="P133" s="13"/>
      <c r="Q133" s="6"/>
      <c r="R133" s="6"/>
      <c r="S133" s="6"/>
      <c r="T133" s="6"/>
    </row>
    <row r="134" spans="15:20" x14ac:dyDescent="0.3">
      <c r="O134" s="6"/>
      <c r="P134" s="13"/>
      <c r="Q134" s="6"/>
      <c r="R134" s="6"/>
      <c r="S134" s="6"/>
      <c r="T134" s="6"/>
    </row>
    <row r="135" spans="15:20" x14ac:dyDescent="0.3">
      <c r="O135" s="6"/>
      <c r="P135" s="13"/>
      <c r="Q135" s="6"/>
      <c r="R135" s="6"/>
      <c r="S135" s="6"/>
      <c r="T135" s="6"/>
    </row>
    <row r="136" spans="15:20" x14ac:dyDescent="0.3">
      <c r="O136" s="6"/>
      <c r="P136" s="13"/>
      <c r="Q136" s="6"/>
      <c r="R136" s="6"/>
      <c r="S136" s="6"/>
      <c r="T136" s="6"/>
    </row>
    <row r="137" spans="15:20" x14ac:dyDescent="0.3">
      <c r="O137" s="6"/>
      <c r="P137" s="13"/>
      <c r="Q137" s="6"/>
      <c r="R137" s="6"/>
      <c r="S137" s="6"/>
      <c r="T137" s="6"/>
    </row>
    <row r="138" spans="15:20" x14ac:dyDescent="0.3">
      <c r="O138" s="6"/>
      <c r="P138" s="13"/>
      <c r="Q138" s="6"/>
      <c r="R138" s="6"/>
      <c r="S138" s="6"/>
      <c r="T138" s="6"/>
    </row>
    <row r="139" spans="15:20" x14ac:dyDescent="0.3">
      <c r="O139" s="6"/>
      <c r="P139" s="13"/>
      <c r="Q139" s="6"/>
      <c r="R139" s="6"/>
      <c r="S139" s="6"/>
      <c r="T139" s="6"/>
    </row>
    <row r="140" spans="15:20" x14ac:dyDescent="0.3">
      <c r="O140" s="6"/>
      <c r="P140" s="13"/>
      <c r="Q140" s="6"/>
      <c r="R140" s="6"/>
      <c r="S140" s="6"/>
      <c r="T140" s="6"/>
    </row>
    <row r="141" spans="15:20" x14ac:dyDescent="0.3">
      <c r="O141" s="6"/>
      <c r="P141" s="13"/>
      <c r="Q141" s="6"/>
      <c r="R141" s="6"/>
      <c r="S141" s="6"/>
      <c r="T141" s="6"/>
    </row>
    <row r="142" spans="15:20" x14ac:dyDescent="0.3">
      <c r="O142" s="6"/>
      <c r="P142" s="13"/>
      <c r="Q142" s="6"/>
      <c r="R142" s="6"/>
      <c r="S142" s="6"/>
      <c r="T142" s="6"/>
    </row>
    <row r="143" spans="15:20" x14ac:dyDescent="0.3">
      <c r="O143" s="6"/>
      <c r="P143" s="13"/>
      <c r="Q143" s="6"/>
      <c r="R143" s="6"/>
      <c r="S143" s="6"/>
      <c r="T143" s="6"/>
    </row>
    <row r="144" spans="15:20" x14ac:dyDescent="0.3">
      <c r="O144" s="6"/>
      <c r="P144" s="13"/>
      <c r="Q144" s="6"/>
      <c r="R144" s="6"/>
      <c r="S144" s="6"/>
      <c r="T144" s="6"/>
    </row>
    <row r="145" spans="15:20" x14ac:dyDescent="0.3">
      <c r="O145" s="6"/>
      <c r="P145" s="13"/>
      <c r="Q145" s="6"/>
      <c r="R145" s="6"/>
      <c r="S145" s="6"/>
      <c r="T145" s="6"/>
    </row>
    <row r="146" spans="15:20" x14ac:dyDescent="0.3">
      <c r="O146" s="6"/>
      <c r="P146" s="13"/>
      <c r="Q146" s="6"/>
      <c r="R146" s="6"/>
      <c r="S146" s="6"/>
      <c r="T146" s="6"/>
    </row>
    <row r="147" spans="15:20" x14ac:dyDescent="0.3">
      <c r="O147" s="6"/>
      <c r="P147" s="13"/>
      <c r="Q147" s="6"/>
      <c r="R147" s="6"/>
      <c r="S147" s="6"/>
      <c r="T147" s="6"/>
    </row>
    <row r="148" spans="15:20" x14ac:dyDescent="0.3">
      <c r="O148" s="6"/>
      <c r="P148" s="13"/>
      <c r="Q148" s="6"/>
      <c r="R148" s="6"/>
      <c r="S148" s="6"/>
      <c r="T148" s="6"/>
    </row>
    <row r="149" spans="15:20" x14ac:dyDescent="0.3">
      <c r="O149" s="6"/>
      <c r="P149" s="13"/>
      <c r="Q149" s="6"/>
      <c r="R149" s="6"/>
      <c r="S149" s="6"/>
      <c r="T149" s="6"/>
    </row>
    <row r="150" spans="15:20" x14ac:dyDescent="0.3">
      <c r="O150" s="6"/>
      <c r="P150" s="13"/>
      <c r="Q150" s="6"/>
      <c r="R150" s="6"/>
      <c r="S150" s="6"/>
      <c r="T150" s="6"/>
    </row>
    <row r="151" spans="15:20" x14ac:dyDescent="0.3">
      <c r="O151" s="6"/>
      <c r="P151" s="13"/>
      <c r="Q151" s="6"/>
      <c r="R151" s="6"/>
      <c r="S151" s="6"/>
      <c r="T151" s="6"/>
    </row>
    <row r="152" spans="15:20" x14ac:dyDescent="0.3">
      <c r="O152" s="6"/>
      <c r="P152" s="13"/>
      <c r="Q152" s="6"/>
      <c r="R152" s="6"/>
      <c r="S152" s="6"/>
      <c r="T152" s="6"/>
    </row>
    <row r="153" spans="15:20" x14ac:dyDescent="0.3">
      <c r="O153" s="6"/>
      <c r="P153" s="13"/>
      <c r="Q153" s="6"/>
      <c r="R153" s="6"/>
      <c r="S153" s="6"/>
      <c r="T153" s="6"/>
    </row>
    <row r="154" spans="15:20" x14ac:dyDescent="0.3">
      <c r="O154" s="6"/>
      <c r="P154" s="13"/>
      <c r="Q154" s="6"/>
      <c r="R154" s="6"/>
      <c r="S154" s="6"/>
      <c r="T154" s="6"/>
    </row>
    <row r="155" spans="15:20" x14ac:dyDescent="0.3">
      <c r="O155" s="6"/>
      <c r="P155" s="13"/>
      <c r="Q155" s="6"/>
      <c r="R155" s="6"/>
      <c r="S155" s="6"/>
      <c r="T155" s="6"/>
    </row>
    <row r="156" spans="15:20" x14ac:dyDescent="0.3">
      <c r="O156" s="6"/>
      <c r="P156" s="13"/>
      <c r="Q156" s="6"/>
      <c r="R156" s="6"/>
      <c r="S156" s="6"/>
      <c r="T156" s="6"/>
    </row>
    <row r="157" spans="15:20" x14ac:dyDescent="0.3">
      <c r="O157" s="6"/>
      <c r="P157" s="13"/>
      <c r="Q157" s="6"/>
      <c r="R157" s="6"/>
      <c r="S157" s="6"/>
      <c r="T157" s="6"/>
    </row>
    <row r="158" spans="15:20" x14ac:dyDescent="0.3">
      <c r="O158" s="6"/>
      <c r="P158" s="13"/>
      <c r="Q158" s="6"/>
      <c r="R158" s="6"/>
      <c r="S158" s="6"/>
      <c r="T158" s="6"/>
    </row>
    <row r="159" spans="15:20" x14ac:dyDescent="0.3">
      <c r="O159" s="6"/>
      <c r="P159" s="13"/>
      <c r="Q159" s="6"/>
      <c r="R159" s="6"/>
      <c r="S159" s="6"/>
      <c r="T159" s="6"/>
    </row>
    <row r="160" spans="15:20" x14ac:dyDescent="0.3">
      <c r="O160" s="6"/>
      <c r="P160" s="13"/>
      <c r="Q160" s="6"/>
      <c r="R160" s="6"/>
      <c r="S160" s="6"/>
      <c r="T160" s="6"/>
    </row>
    <row r="161" spans="15:20" x14ac:dyDescent="0.3">
      <c r="O161" s="6"/>
      <c r="P161" s="13"/>
      <c r="Q161" s="6"/>
      <c r="R161" s="6"/>
      <c r="S161" s="6"/>
      <c r="T161" s="6"/>
    </row>
    <row r="162" spans="15:20" x14ac:dyDescent="0.3">
      <c r="O162" s="6"/>
      <c r="P162" s="13"/>
      <c r="Q162" s="6"/>
      <c r="R162" s="6"/>
      <c r="S162" s="6"/>
      <c r="T162" s="6"/>
    </row>
    <row r="163" spans="15:20" x14ac:dyDescent="0.3">
      <c r="O163" s="6"/>
      <c r="P163" s="13"/>
      <c r="Q163" s="6"/>
      <c r="R163" s="6"/>
      <c r="S163" s="6"/>
      <c r="T163" s="6"/>
    </row>
    <row r="164" spans="15:20" x14ac:dyDescent="0.3">
      <c r="O164" s="6"/>
      <c r="P164" s="13"/>
      <c r="Q164" s="6"/>
      <c r="R164" s="6"/>
      <c r="S164" s="6"/>
      <c r="T164" s="6"/>
    </row>
    <row r="165" spans="15:20" x14ac:dyDescent="0.3">
      <c r="O165" s="6"/>
      <c r="P165" s="13"/>
      <c r="Q165" s="6"/>
      <c r="R165" s="6"/>
      <c r="S165" s="6"/>
      <c r="T165" s="6"/>
    </row>
    <row r="166" spans="15:20" x14ac:dyDescent="0.3">
      <c r="O166" s="6"/>
      <c r="P166" s="13"/>
      <c r="Q166" s="6"/>
      <c r="R166" s="6"/>
      <c r="S166" s="6"/>
      <c r="T166" s="6"/>
    </row>
    <row r="167" spans="15:20" x14ac:dyDescent="0.3">
      <c r="O167" s="6"/>
      <c r="P167" s="13"/>
      <c r="Q167" s="6"/>
      <c r="R167" s="6"/>
      <c r="S167" s="6"/>
      <c r="T167" s="6"/>
    </row>
    <row r="168" spans="15:20" x14ac:dyDescent="0.3">
      <c r="O168" s="6"/>
      <c r="P168" s="13"/>
      <c r="Q168" s="6"/>
      <c r="R168" s="6"/>
      <c r="S168" s="6"/>
      <c r="T168" s="6"/>
    </row>
    <row r="169" spans="15:20" x14ac:dyDescent="0.3">
      <c r="O169" s="6"/>
      <c r="P169" s="13"/>
      <c r="Q169" s="6"/>
      <c r="R169" s="6"/>
      <c r="S169" s="6"/>
      <c r="T169" s="6"/>
    </row>
    <row r="170" spans="15:20" x14ac:dyDescent="0.3">
      <c r="O170" s="6"/>
      <c r="P170" s="13"/>
      <c r="Q170" s="6"/>
      <c r="R170" s="6"/>
      <c r="S170" s="6"/>
      <c r="T170" s="6"/>
    </row>
    <row r="171" spans="15:20" x14ac:dyDescent="0.3">
      <c r="O171" s="6"/>
      <c r="P171" s="13"/>
      <c r="Q171" s="6"/>
      <c r="R171" s="6"/>
      <c r="S171" s="6"/>
      <c r="T171" s="6"/>
    </row>
    <row r="172" spans="15:20" x14ac:dyDescent="0.3">
      <c r="O172" s="6"/>
      <c r="P172" s="13"/>
      <c r="Q172" s="6"/>
      <c r="R172" s="6"/>
      <c r="S172" s="6"/>
      <c r="T172" s="6"/>
    </row>
    <row r="173" spans="15:20" x14ac:dyDescent="0.3">
      <c r="O173" s="6"/>
      <c r="P173" s="13"/>
      <c r="Q173" s="6"/>
      <c r="R173" s="6"/>
      <c r="S173" s="6"/>
      <c r="T173" s="6"/>
    </row>
    <row r="174" spans="15:20" x14ac:dyDescent="0.3">
      <c r="O174" s="6"/>
      <c r="P174" s="13"/>
      <c r="Q174" s="6"/>
      <c r="R174" s="6"/>
      <c r="S174" s="6"/>
      <c r="T174" s="6"/>
    </row>
    <row r="175" spans="15:20" x14ac:dyDescent="0.3">
      <c r="O175" s="6"/>
      <c r="P175" s="13"/>
      <c r="Q175" s="6"/>
      <c r="R175" s="6"/>
      <c r="S175" s="6"/>
      <c r="T175" s="6"/>
    </row>
    <row r="176" spans="15:20" x14ac:dyDescent="0.3">
      <c r="O176" s="6"/>
      <c r="P176" s="13"/>
      <c r="Q176" s="6"/>
      <c r="R176" s="6"/>
      <c r="S176" s="6"/>
      <c r="T176" s="6"/>
    </row>
    <row r="177" spans="15:20" x14ac:dyDescent="0.3">
      <c r="O177" s="6"/>
      <c r="P177" s="13"/>
      <c r="Q177" s="6"/>
      <c r="R177" s="6"/>
      <c r="S177" s="6"/>
      <c r="T177" s="6"/>
    </row>
    <row r="178" spans="15:20" x14ac:dyDescent="0.3">
      <c r="O178" s="6"/>
      <c r="P178" s="13"/>
      <c r="Q178" s="6"/>
      <c r="R178" s="6"/>
      <c r="S178" s="6"/>
      <c r="T178" s="6"/>
    </row>
    <row r="179" spans="15:20" x14ac:dyDescent="0.3">
      <c r="O179" s="6"/>
      <c r="P179" s="13"/>
      <c r="Q179" s="6"/>
      <c r="R179" s="6"/>
      <c r="S179" s="6"/>
      <c r="T179" s="6"/>
    </row>
    <row r="180" spans="15:20" x14ac:dyDescent="0.3">
      <c r="O180" s="6"/>
      <c r="P180" s="13"/>
      <c r="Q180" s="6"/>
      <c r="R180" s="6"/>
      <c r="S180" s="6"/>
      <c r="T180" s="6"/>
    </row>
    <row r="181" spans="15:20" x14ac:dyDescent="0.3">
      <c r="O181" s="6"/>
      <c r="P181" s="13"/>
      <c r="Q181" s="6"/>
      <c r="R181" s="6"/>
      <c r="S181" s="6"/>
      <c r="T181" s="6"/>
    </row>
    <row r="182" spans="15:20" x14ac:dyDescent="0.3">
      <c r="O182" s="6"/>
      <c r="P182" s="13"/>
      <c r="Q182" s="6"/>
      <c r="R182" s="6"/>
      <c r="S182" s="6"/>
      <c r="T182" s="6"/>
    </row>
    <row r="183" spans="15:20" x14ac:dyDescent="0.3">
      <c r="O183" s="6"/>
      <c r="P183" s="13"/>
      <c r="Q183" s="6"/>
      <c r="R183" s="6"/>
      <c r="S183" s="6"/>
      <c r="T183" s="6"/>
    </row>
    <row r="184" spans="15:20" x14ac:dyDescent="0.3">
      <c r="O184" s="6"/>
      <c r="P184" s="13"/>
      <c r="Q184" s="6"/>
      <c r="R184" s="6"/>
      <c r="S184" s="6"/>
      <c r="T184" s="6"/>
    </row>
    <row r="185" spans="15:20" x14ac:dyDescent="0.3">
      <c r="O185" s="6"/>
      <c r="P185" s="13"/>
      <c r="Q185" s="6"/>
      <c r="R185" s="6"/>
      <c r="S185" s="6"/>
      <c r="T185" s="6"/>
    </row>
    <row r="186" spans="15:20" x14ac:dyDescent="0.3">
      <c r="O186" s="6"/>
      <c r="P186" s="13"/>
      <c r="Q186" s="6"/>
      <c r="R186" s="6"/>
      <c r="S186" s="6"/>
      <c r="T186" s="6"/>
    </row>
    <row r="187" spans="15:20" x14ac:dyDescent="0.3">
      <c r="O187" s="6"/>
      <c r="P187" s="13"/>
      <c r="Q187" s="6"/>
      <c r="R187" s="6"/>
      <c r="S187" s="6"/>
      <c r="T187" s="6"/>
    </row>
    <row r="188" spans="15:20" x14ac:dyDescent="0.3">
      <c r="O188" s="6"/>
      <c r="P188" s="13"/>
      <c r="Q188" s="6"/>
      <c r="R188" s="6"/>
      <c r="S188" s="6"/>
      <c r="T188" s="6"/>
    </row>
    <row r="189" spans="15:20" x14ac:dyDescent="0.3">
      <c r="O189" s="6"/>
      <c r="P189" s="13"/>
      <c r="Q189" s="6"/>
      <c r="R189" s="6"/>
      <c r="S189" s="6"/>
      <c r="T189" s="6"/>
    </row>
    <row r="190" spans="15:20" x14ac:dyDescent="0.3">
      <c r="O190" s="6"/>
      <c r="P190" s="13"/>
      <c r="Q190" s="6"/>
      <c r="R190" s="6"/>
      <c r="S190" s="6"/>
      <c r="T190" s="6"/>
    </row>
    <row r="191" spans="15:20" x14ac:dyDescent="0.3">
      <c r="O191" s="6"/>
      <c r="P191" s="13"/>
      <c r="Q191" s="6"/>
      <c r="R191" s="6"/>
      <c r="S191" s="6"/>
      <c r="T191" s="6"/>
    </row>
    <row r="192" spans="15:20" x14ac:dyDescent="0.3">
      <c r="O192" s="6"/>
      <c r="P192" s="13"/>
      <c r="Q192" s="6"/>
      <c r="R192" s="6"/>
      <c r="S192" s="6"/>
      <c r="T192" s="6"/>
    </row>
    <row r="193" spans="15:20" x14ac:dyDescent="0.3">
      <c r="O193" s="6"/>
      <c r="P193" s="13"/>
      <c r="Q193" s="6"/>
      <c r="R193" s="6"/>
      <c r="S193" s="6"/>
      <c r="T193" s="6"/>
    </row>
    <row r="194" spans="15:20" x14ac:dyDescent="0.3">
      <c r="O194" s="6"/>
      <c r="P194" s="13"/>
      <c r="Q194" s="6"/>
      <c r="R194" s="6"/>
      <c r="S194" s="6"/>
      <c r="T194" s="6"/>
    </row>
    <row r="195" spans="15:20" x14ac:dyDescent="0.3">
      <c r="O195" s="6"/>
      <c r="P195" s="13"/>
      <c r="Q195" s="6"/>
      <c r="R195" s="6"/>
      <c r="S195" s="6"/>
      <c r="T195" s="6"/>
    </row>
    <row r="196" spans="15:20" x14ac:dyDescent="0.3">
      <c r="O196" s="6"/>
      <c r="P196" s="13"/>
      <c r="Q196" s="6"/>
      <c r="R196" s="6"/>
      <c r="S196" s="6"/>
      <c r="T196" s="6"/>
    </row>
    <row r="197" spans="15:20" x14ac:dyDescent="0.3">
      <c r="O197" s="6"/>
      <c r="P197" s="13"/>
      <c r="Q197" s="6"/>
      <c r="R197" s="6"/>
      <c r="S197" s="6"/>
      <c r="T197" s="6"/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15">
    <mergeCell ref="P80:P100"/>
    <mergeCell ref="P68:P79"/>
    <mergeCell ref="P58:P67"/>
    <mergeCell ref="P34:P42"/>
    <mergeCell ref="K3:K5"/>
    <mergeCell ref="P5:P8"/>
    <mergeCell ref="P9:P12"/>
    <mergeCell ref="P13:P18"/>
    <mergeCell ref="P19:P27"/>
    <mergeCell ref="P28:P33"/>
    <mergeCell ref="B3:B5"/>
    <mergeCell ref="C3:C5"/>
    <mergeCell ref="D3:D5"/>
    <mergeCell ref="G3:J3"/>
    <mergeCell ref="G4:I4"/>
  </mergeCells>
  <phoneticPr fontId="91" type="noConversion"/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8" zoomScale="89" workbookViewId="0">
      <selection activeCell="O20" sqref="O20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220" t="s">
        <v>562</v>
      </c>
      <c r="C2" s="1220"/>
      <c r="D2" s="1220"/>
      <c r="E2" s="1220"/>
      <c r="F2" s="1220"/>
      <c r="G2" s="1220"/>
      <c r="H2" s="1220"/>
      <c r="J2" s="1220" t="s">
        <v>563</v>
      </c>
      <c r="K2" s="1220"/>
      <c r="L2" s="1220"/>
      <c r="M2" s="1220"/>
      <c r="N2" s="1220"/>
      <c r="O2" s="1220"/>
      <c r="P2" s="1220"/>
      <c r="R2" s="1380" t="s">
        <v>564</v>
      </c>
      <c r="S2" s="1382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558</v>
      </c>
      <c r="F3" s="14" t="s">
        <v>560</v>
      </c>
      <c r="G3" s="14" t="s">
        <v>559</v>
      </c>
      <c r="H3" s="14" t="s">
        <v>561</v>
      </c>
      <c r="J3" s="14" t="s">
        <v>70</v>
      </c>
      <c r="K3" s="14" t="s">
        <v>0</v>
      </c>
      <c r="L3" s="14" t="s">
        <v>26</v>
      </c>
      <c r="M3" s="14" t="s">
        <v>558</v>
      </c>
      <c r="N3" s="383" t="s">
        <v>568</v>
      </c>
      <c r="O3" s="14" t="s">
        <v>559</v>
      </c>
      <c r="P3" s="383" t="s">
        <v>569</v>
      </c>
      <c r="R3" s="956" t="s">
        <v>565</v>
      </c>
      <c r="S3" s="957" t="s">
        <v>566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39"/>
      <c r="O4" s="40"/>
      <c r="P4" s="39"/>
      <c r="R4" s="958">
        <v>6</v>
      </c>
      <c r="S4" s="1030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39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39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39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39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39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39">
        <f t="shared" si="1"/>
        <v>144</v>
      </c>
      <c r="O10" s="40">
        <v>0.19</v>
      </c>
      <c r="P10" s="39">
        <f t="shared" si="2"/>
        <v>116.64000000000001</v>
      </c>
      <c r="R10" s="1380" t="s">
        <v>567</v>
      </c>
      <c r="S10" s="1381"/>
      <c r="T10" s="1382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39">
        <f t="shared" si="1"/>
        <v>96</v>
      </c>
      <c r="O11" s="40">
        <v>0.2</v>
      </c>
      <c r="P11" s="39">
        <f t="shared" ref="P11:P30" si="4">N11*(1-O11)</f>
        <v>76.800000000000011</v>
      </c>
      <c r="R11" s="1383">
        <f>SUM(P4:P234,H4:H233)</f>
        <v>3975.42</v>
      </c>
      <c r="S11" s="1384"/>
      <c r="T11" s="1385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39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39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39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39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39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387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39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387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39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387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39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387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39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4" customFormat="1" x14ac:dyDescent="0.3">
      <c r="A21" s="1386">
        <v>9</v>
      </c>
      <c r="B21" s="13">
        <v>21</v>
      </c>
      <c r="C21" s="62">
        <v>46282</v>
      </c>
      <c r="D21" s="13" t="s">
        <v>653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1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4" customFormat="1" x14ac:dyDescent="0.3">
      <c r="A22" s="1386"/>
      <c r="B22" s="13">
        <v>22</v>
      </c>
      <c r="C22" s="62">
        <v>46283</v>
      </c>
      <c r="D22" s="13" t="s">
        <v>653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1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4" customFormat="1" x14ac:dyDescent="0.3">
      <c r="A23" s="1386"/>
      <c r="B23" s="13">
        <v>23</v>
      </c>
      <c r="C23" s="62">
        <v>46283</v>
      </c>
      <c r="D23" s="13" t="s">
        <v>653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1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386"/>
      <c r="B24" s="13">
        <v>24</v>
      </c>
      <c r="C24" s="62">
        <v>46284</v>
      </c>
      <c r="D24" s="13" t="s">
        <v>653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1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386"/>
      <c r="B25" s="13">
        <v>25</v>
      </c>
      <c r="C25" s="62">
        <v>46284</v>
      </c>
      <c r="D25" s="13" t="s">
        <v>653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1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386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13">
        <f t="shared" si="1"/>
        <v>0</v>
      </c>
      <c r="O26" s="13"/>
      <c r="P26" s="39">
        <f t="shared" si="4"/>
        <v>0</v>
      </c>
    </row>
    <row r="27" spans="1:22" x14ac:dyDescent="0.3">
      <c r="A27" s="1386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1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386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1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386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1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386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1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386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13">
        <f t="shared" si="1"/>
        <v>120</v>
      </c>
      <c r="O31" s="40">
        <v>0.21</v>
      </c>
      <c r="P31" s="39">
        <f t="shared" ref="P31:P39" si="8"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13">
        <f t="shared" si="1"/>
        <v>96</v>
      </c>
      <c r="O32" s="40">
        <v>0.21</v>
      </c>
      <c r="P32" s="39">
        <f t="shared" si="8"/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1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1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13">
        <f t="shared" si="1"/>
        <v>60</v>
      </c>
      <c r="O35" s="882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13">
        <f t="shared" si="1"/>
        <v>48</v>
      </c>
      <c r="O36" s="882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13">
        <f t="shared" si="1"/>
        <v>156</v>
      </c>
      <c r="O37" s="882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13">
        <f t="shared" si="1"/>
        <v>0</v>
      </c>
      <c r="O38" s="882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13">
        <f t="shared" si="1"/>
        <v>36</v>
      </c>
      <c r="O39" s="882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13">
        <f t="shared" ref="N40:N44" si="10">M40*$S$4</f>
        <v>96</v>
      </c>
      <c r="O40" s="243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13">
        <f t="shared" si="10"/>
        <v>96</v>
      </c>
      <c r="O41" s="243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13">
        <f t="shared" si="10"/>
        <v>120</v>
      </c>
      <c r="O42" s="243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1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1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13">
        <f t="shared" ref="N45:N49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1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13">
        <f t="shared" si="12"/>
        <v>120</v>
      </c>
      <c r="O47" s="243">
        <v>0.22</v>
      </c>
      <c r="P47" s="6">
        <f t="shared" si="13"/>
        <v>93.600000000000009</v>
      </c>
    </row>
    <row r="48" spans="2:16" x14ac:dyDescent="0.3">
      <c r="B48" s="13">
        <v>48</v>
      </c>
      <c r="C48" s="6"/>
      <c r="D48" s="13"/>
      <c r="E48" s="13"/>
      <c r="F48" s="13">
        <f t="shared" si="9"/>
        <v>0</v>
      </c>
      <c r="G48" s="13"/>
      <c r="H48" s="668">
        <f t="shared" si="7"/>
        <v>0</v>
      </c>
      <c r="J48" s="13">
        <v>47</v>
      </c>
      <c r="K48" s="62">
        <v>46298</v>
      </c>
      <c r="L48" s="13" t="s">
        <v>12</v>
      </c>
      <c r="M48" s="13">
        <v>12</v>
      </c>
      <c r="N48" s="13">
        <f t="shared" si="12"/>
        <v>144</v>
      </c>
      <c r="O48" s="243">
        <v>0.21</v>
      </c>
      <c r="P48" s="6">
        <f t="shared" ref="P48:P49" si="14">N48*(1-O48)</f>
        <v>113.76</v>
      </c>
    </row>
    <row r="49" spans="2:16" x14ac:dyDescent="0.3">
      <c r="B49" s="13">
        <v>49</v>
      </c>
      <c r="C49" s="6"/>
      <c r="D49" s="13"/>
      <c r="E49" s="13"/>
      <c r="F49" s="13">
        <f t="shared" si="9"/>
        <v>0</v>
      </c>
      <c r="G49" s="13"/>
      <c r="H49" s="668">
        <f t="shared" si="7"/>
        <v>0</v>
      </c>
      <c r="J49" s="13">
        <v>48</v>
      </c>
      <c r="K49" s="62">
        <v>46298</v>
      </c>
      <c r="L49" s="13" t="s">
        <v>13</v>
      </c>
      <c r="M49" s="13">
        <v>15</v>
      </c>
      <c r="N49" s="13">
        <f t="shared" si="12"/>
        <v>180</v>
      </c>
      <c r="O49" s="243">
        <v>0.21</v>
      </c>
      <c r="P49" s="6">
        <f t="shared" si="14"/>
        <v>142.20000000000002</v>
      </c>
    </row>
    <row r="50" spans="2:16" x14ac:dyDescent="0.3">
      <c r="B50" s="13">
        <v>50</v>
      </c>
      <c r="C50" s="6"/>
      <c r="D50" s="13"/>
      <c r="E50" s="13"/>
      <c r="F50" s="13">
        <f t="shared" si="9"/>
        <v>0</v>
      </c>
      <c r="G50" s="13"/>
      <c r="H50" s="668">
        <f t="shared" si="7"/>
        <v>0</v>
      </c>
      <c r="J50" s="13">
        <v>49</v>
      </c>
      <c r="K50" s="6"/>
      <c r="L50" s="13" t="s">
        <v>12</v>
      </c>
      <c r="M50" s="13"/>
      <c r="N50" s="6"/>
      <c r="O50" s="6"/>
      <c r="P50" s="6"/>
    </row>
    <row r="51" spans="2:16" x14ac:dyDescent="0.3">
      <c r="B51" s="13">
        <v>51</v>
      </c>
      <c r="C51" s="6"/>
      <c r="D51" s="13"/>
      <c r="E51" s="13"/>
      <c r="F51" s="13">
        <f t="shared" si="9"/>
        <v>0</v>
      </c>
      <c r="G51" s="13"/>
      <c r="H51" s="668">
        <f t="shared" si="7"/>
        <v>0</v>
      </c>
      <c r="J51" s="13">
        <v>50</v>
      </c>
      <c r="K51" s="6"/>
      <c r="L51" s="13" t="s">
        <v>13</v>
      </c>
      <c r="M51" s="13"/>
      <c r="N51" s="6"/>
      <c r="O51" s="6"/>
      <c r="P51" s="6"/>
    </row>
    <row r="52" spans="2:16" x14ac:dyDescent="0.3">
      <c r="B52" s="13">
        <v>52</v>
      </c>
      <c r="C52" s="6"/>
      <c r="D52" s="13"/>
      <c r="E52" s="13"/>
      <c r="F52" s="13">
        <f t="shared" si="9"/>
        <v>0</v>
      </c>
      <c r="G52" s="13"/>
      <c r="H52" s="668">
        <f t="shared" si="7"/>
        <v>0</v>
      </c>
      <c r="J52" s="13">
        <v>51</v>
      </c>
      <c r="K52" s="6"/>
      <c r="L52" s="13" t="s">
        <v>12</v>
      </c>
      <c r="M52" s="13"/>
      <c r="N52" s="6"/>
      <c r="O52" s="6"/>
      <c r="P52" s="6"/>
    </row>
    <row r="53" spans="2:16" x14ac:dyDescent="0.3">
      <c r="B53" s="13">
        <v>53</v>
      </c>
      <c r="C53" s="6"/>
      <c r="D53" s="13"/>
      <c r="E53" s="13"/>
      <c r="F53" s="13">
        <f t="shared" si="9"/>
        <v>0</v>
      </c>
      <c r="G53" s="13"/>
      <c r="H53" s="668">
        <f t="shared" si="7"/>
        <v>0</v>
      </c>
      <c r="J53" s="13">
        <v>52</v>
      </c>
      <c r="K53" s="6"/>
      <c r="L53" s="13" t="s">
        <v>13</v>
      </c>
      <c r="M53" s="13"/>
      <c r="N53" s="6"/>
      <c r="O53" s="6"/>
      <c r="P53" s="6"/>
    </row>
    <row r="54" spans="2:16" x14ac:dyDescent="0.3">
      <c r="B54" s="13">
        <v>54</v>
      </c>
      <c r="C54" s="6"/>
      <c r="D54" s="13"/>
      <c r="E54" s="13"/>
      <c r="F54" s="13">
        <f t="shared" si="9"/>
        <v>0</v>
      </c>
      <c r="G54" s="13"/>
      <c r="H54" s="668">
        <f t="shared" si="7"/>
        <v>0</v>
      </c>
      <c r="J54" s="13">
        <v>53</v>
      </c>
      <c r="K54" s="6"/>
      <c r="L54" s="13" t="s">
        <v>12</v>
      </c>
      <c r="M54" s="13"/>
      <c r="N54" s="6"/>
      <c r="O54" s="6"/>
      <c r="P54" s="6"/>
    </row>
    <row r="55" spans="2:16" x14ac:dyDescent="0.3">
      <c r="B55" s="13">
        <v>55</v>
      </c>
      <c r="C55" s="6"/>
      <c r="D55" s="13"/>
      <c r="E55" s="13"/>
      <c r="F55" s="13">
        <f t="shared" si="9"/>
        <v>0</v>
      </c>
      <c r="G55" s="13"/>
      <c r="H55" s="668">
        <f t="shared" si="7"/>
        <v>0</v>
      </c>
      <c r="J55" s="13">
        <v>54</v>
      </c>
      <c r="K55" s="6"/>
      <c r="L55" s="13" t="s">
        <v>13</v>
      </c>
      <c r="M55" s="13"/>
      <c r="N55" s="6"/>
      <c r="O55" s="6"/>
      <c r="P55" s="6"/>
    </row>
    <row r="56" spans="2:16" x14ac:dyDescent="0.3">
      <c r="B56" s="13">
        <v>56</v>
      </c>
      <c r="C56" s="6"/>
      <c r="D56" s="13"/>
      <c r="E56" s="13"/>
      <c r="F56" s="13">
        <f t="shared" si="9"/>
        <v>0</v>
      </c>
      <c r="G56" s="13"/>
      <c r="H56" s="668">
        <f t="shared" si="7"/>
        <v>0</v>
      </c>
      <c r="J56" s="13">
        <v>55</v>
      </c>
      <c r="K56" s="6"/>
      <c r="L56" s="13" t="s">
        <v>12</v>
      </c>
      <c r="M56" s="13"/>
      <c r="N56" s="6"/>
      <c r="O56" s="6"/>
      <c r="P56" s="6"/>
    </row>
    <row r="57" spans="2:16" x14ac:dyDescent="0.3">
      <c r="B57" s="13">
        <v>57</v>
      </c>
      <c r="C57" s="6"/>
      <c r="D57" s="13"/>
      <c r="E57" s="13"/>
      <c r="F57" s="13">
        <f t="shared" si="9"/>
        <v>0</v>
      </c>
      <c r="G57" s="13"/>
      <c r="H57" s="668">
        <f t="shared" si="7"/>
        <v>0</v>
      </c>
      <c r="J57" s="13">
        <v>56</v>
      </c>
      <c r="K57" s="6"/>
      <c r="L57" s="13" t="s">
        <v>13</v>
      </c>
      <c r="M57" s="13"/>
      <c r="N57" s="6"/>
      <c r="O57" s="6"/>
      <c r="P57" s="6"/>
    </row>
    <row r="58" spans="2:16" x14ac:dyDescent="0.3">
      <c r="B58" s="13">
        <v>58</v>
      </c>
      <c r="C58" s="6"/>
      <c r="D58" s="13"/>
      <c r="E58" s="13"/>
      <c r="F58" s="13">
        <f t="shared" si="9"/>
        <v>0</v>
      </c>
      <c r="G58" s="13"/>
      <c r="H58" s="668">
        <f t="shared" si="7"/>
        <v>0</v>
      </c>
      <c r="J58" s="13">
        <v>57</v>
      </c>
      <c r="K58" s="6"/>
      <c r="L58" s="13" t="s">
        <v>12</v>
      </c>
      <c r="M58" s="13"/>
      <c r="N58" s="6"/>
      <c r="O58" s="6"/>
      <c r="P58" s="6"/>
    </row>
    <row r="59" spans="2:16" x14ac:dyDescent="0.3">
      <c r="B59" s="13">
        <v>59</v>
      </c>
      <c r="C59" s="6"/>
      <c r="D59" s="13"/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"/>
      <c r="L59" s="13" t="s">
        <v>13</v>
      </c>
      <c r="M59" s="13"/>
      <c r="N59" s="6"/>
      <c r="O59" s="6"/>
      <c r="P59" s="6"/>
    </row>
    <row r="60" spans="2:16" x14ac:dyDescent="0.3">
      <c r="B60" s="13">
        <v>60</v>
      </c>
      <c r="C60" s="6"/>
      <c r="D60" s="13"/>
      <c r="E60" s="13"/>
      <c r="F60" s="13">
        <f t="shared" si="9"/>
        <v>0</v>
      </c>
      <c r="G60" s="13"/>
      <c r="H60" s="668">
        <f t="shared" si="7"/>
        <v>0</v>
      </c>
      <c r="J60" s="13">
        <v>59</v>
      </c>
      <c r="K60" s="6"/>
      <c r="L60" s="13" t="s">
        <v>12</v>
      </c>
      <c r="M60" s="13"/>
      <c r="N60" s="6"/>
      <c r="O60" s="6"/>
      <c r="P60" s="6"/>
    </row>
    <row r="61" spans="2:16" x14ac:dyDescent="0.3">
      <c r="B61" s="13">
        <v>61</v>
      </c>
      <c r="C61" s="6"/>
      <c r="D61" s="13"/>
      <c r="E61" s="13"/>
      <c r="F61" s="13">
        <f t="shared" si="9"/>
        <v>0</v>
      </c>
      <c r="G61" s="13"/>
      <c r="H61" s="668">
        <f t="shared" si="7"/>
        <v>0</v>
      </c>
      <c r="J61" s="13">
        <v>60</v>
      </c>
      <c r="K61" s="6"/>
      <c r="L61" s="13" t="s">
        <v>13</v>
      </c>
      <c r="M61" s="13"/>
      <c r="N61" s="6"/>
      <c r="O61" s="6"/>
      <c r="P61" s="6"/>
    </row>
    <row r="62" spans="2:16" x14ac:dyDescent="0.3">
      <c r="B62" s="13">
        <v>62</v>
      </c>
      <c r="C62" s="6"/>
      <c r="D62" s="13"/>
      <c r="E62" s="13"/>
      <c r="F62" s="13">
        <f t="shared" si="9"/>
        <v>0</v>
      </c>
      <c r="G62" s="13"/>
      <c r="H62" s="668">
        <f t="shared" si="7"/>
        <v>0</v>
      </c>
      <c r="J62" s="13">
        <v>61</v>
      </c>
      <c r="K62" s="6"/>
      <c r="L62" s="13" t="s">
        <v>12</v>
      </c>
      <c r="M62" s="13"/>
      <c r="N62" s="6"/>
      <c r="O62" s="6"/>
      <c r="P62" s="6"/>
    </row>
    <row r="63" spans="2:16" x14ac:dyDescent="0.3">
      <c r="B63" s="13">
        <v>63</v>
      </c>
      <c r="C63" s="6"/>
      <c r="D63" s="13"/>
      <c r="E63" s="13"/>
      <c r="F63" s="13">
        <f t="shared" si="9"/>
        <v>0</v>
      </c>
      <c r="G63" s="13"/>
      <c r="H63" s="668">
        <f t="shared" si="7"/>
        <v>0</v>
      </c>
      <c r="J63" s="13">
        <v>62</v>
      </c>
      <c r="K63" s="6"/>
      <c r="L63" s="13" t="s">
        <v>13</v>
      </c>
      <c r="M63" s="13"/>
      <c r="N63" s="6"/>
      <c r="O63" s="6"/>
      <c r="P63" s="6"/>
    </row>
    <row r="64" spans="2:16" x14ac:dyDescent="0.3">
      <c r="B64" s="13">
        <v>64</v>
      </c>
      <c r="C64" s="6"/>
      <c r="D64" s="13"/>
      <c r="E64" s="13"/>
      <c r="F64" s="13">
        <f t="shared" si="9"/>
        <v>0</v>
      </c>
      <c r="G64" s="13"/>
      <c r="H64" s="668">
        <f t="shared" si="7"/>
        <v>0</v>
      </c>
      <c r="J64" s="13">
        <v>63</v>
      </c>
      <c r="K64" s="6"/>
      <c r="L64" s="13" t="s">
        <v>12</v>
      </c>
      <c r="M64" s="13"/>
      <c r="N64" s="6"/>
      <c r="O64" s="6"/>
      <c r="P64" s="6"/>
    </row>
    <row r="65" spans="2:16" x14ac:dyDescent="0.3">
      <c r="B65" s="13">
        <v>65</v>
      </c>
      <c r="C65" s="6"/>
      <c r="D65" s="13"/>
      <c r="E65" s="13"/>
      <c r="F65" s="13">
        <f t="shared" si="9"/>
        <v>0</v>
      </c>
      <c r="G65" s="13"/>
      <c r="H65" s="668">
        <f t="shared" si="7"/>
        <v>0</v>
      </c>
      <c r="J65" s="13">
        <v>64</v>
      </c>
      <c r="K65" s="6"/>
      <c r="L65" s="13" t="s">
        <v>13</v>
      </c>
      <c r="M65" s="13"/>
      <c r="N65" s="6"/>
      <c r="O65" s="6"/>
      <c r="P65" s="6"/>
    </row>
    <row r="66" spans="2:16" x14ac:dyDescent="0.3">
      <c r="B66" s="13">
        <v>66</v>
      </c>
      <c r="C66" s="6"/>
      <c r="D66" s="13"/>
      <c r="E66" s="13"/>
      <c r="F66" s="13">
        <f t="shared" si="9"/>
        <v>0</v>
      </c>
      <c r="G66" s="13"/>
      <c r="H66" s="668">
        <f t="shared" si="7"/>
        <v>0</v>
      </c>
      <c r="J66" s="13">
        <v>65</v>
      </c>
      <c r="K66" s="6"/>
      <c r="L66" s="13" t="s">
        <v>12</v>
      </c>
      <c r="M66" s="13"/>
      <c r="N66" s="6"/>
      <c r="O66" s="6"/>
      <c r="P66" s="6"/>
    </row>
    <row r="67" spans="2:16" x14ac:dyDescent="0.3">
      <c r="B67" s="13">
        <v>67</v>
      </c>
      <c r="C67" s="6"/>
      <c r="D67" s="13"/>
      <c r="E67" s="13"/>
      <c r="F67" s="13">
        <f t="shared" si="9"/>
        <v>0</v>
      </c>
      <c r="G67" s="13"/>
      <c r="H67" s="668">
        <f t="shared" si="7"/>
        <v>0</v>
      </c>
      <c r="J67" s="13">
        <v>66</v>
      </c>
      <c r="K67" s="6"/>
      <c r="L67" s="13" t="s">
        <v>13</v>
      </c>
      <c r="M67" s="13"/>
      <c r="N67" s="6"/>
      <c r="O67" s="6"/>
      <c r="P67" s="6"/>
    </row>
    <row r="68" spans="2:16" x14ac:dyDescent="0.3">
      <c r="B68" s="13">
        <v>68</v>
      </c>
      <c r="C68" s="6"/>
      <c r="D68" s="13"/>
      <c r="E68" s="13"/>
      <c r="F68" s="13">
        <f t="shared" si="9"/>
        <v>0</v>
      </c>
      <c r="G68" s="13"/>
      <c r="H68" s="668">
        <f t="shared" si="7"/>
        <v>0</v>
      </c>
      <c r="J68" s="13">
        <v>67</v>
      </c>
      <c r="K68" s="6"/>
      <c r="L68" s="13" t="s">
        <v>12</v>
      </c>
      <c r="M68" s="13"/>
      <c r="N68" s="6"/>
      <c r="O68" s="6"/>
      <c r="P68" s="6"/>
    </row>
    <row r="69" spans="2:16" x14ac:dyDescent="0.3">
      <c r="B69" s="13">
        <v>69</v>
      </c>
      <c r="C69" s="6"/>
      <c r="D69" s="13"/>
      <c r="E69" s="13"/>
      <c r="F69" s="13">
        <f t="shared" si="9"/>
        <v>0</v>
      </c>
      <c r="G69" s="13"/>
      <c r="H69" s="668">
        <f t="shared" si="7"/>
        <v>0</v>
      </c>
      <c r="J69" s="13">
        <v>68</v>
      </c>
      <c r="K69" s="6"/>
      <c r="L69" s="13" t="s">
        <v>13</v>
      </c>
      <c r="M69" s="13"/>
      <c r="N69" s="6"/>
      <c r="O69" s="6"/>
      <c r="P69" s="6"/>
    </row>
    <row r="70" spans="2:16" x14ac:dyDescent="0.3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"/>
      <c r="L70" s="13" t="s">
        <v>12</v>
      </c>
      <c r="M70" s="13"/>
      <c r="N70" s="6"/>
      <c r="O70" s="6"/>
      <c r="P70" s="6"/>
    </row>
    <row r="71" spans="2:16" x14ac:dyDescent="0.3">
      <c r="B71" s="13">
        <v>71</v>
      </c>
      <c r="C71" s="6"/>
      <c r="D71" s="13"/>
      <c r="E71" s="13"/>
      <c r="F71" s="13">
        <f t="shared" si="9"/>
        <v>0</v>
      </c>
      <c r="G71" s="13"/>
      <c r="H71" s="668">
        <f t="shared" si="7"/>
        <v>0</v>
      </c>
      <c r="J71" s="13">
        <v>70</v>
      </c>
      <c r="K71" s="6"/>
      <c r="L71" s="13" t="s">
        <v>13</v>
      </c>
      <c r="M71" s="13"/>
      <c r="N71" s="6"/>
      <c r="O71" s="6"/>
      <c r="P71" s="6"/>
    </row>
    <row r="72" spans="2:16" x14ac:dyDescent="0.3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"/>
      <c r="L72" s="13" t="s">
        <v>12</v>
      </c>
      <c r="M72" s="13"/>
      <c r="N72" s="6"/>
      <c r="O72" s="6"/>
      <c r="P72" s="6"/>
    </row>
    <row r="73" spans="2:16" x14ac:dyDescent="0.3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"/>
      <c r="L73" s="13" t="s">
        <v>13</v>
      </c>
      <c r="M73" s="13"/>
      <c r="N73" s="6"/>
      <c r="O73" s="6"/>
      <c r="P73" s="6"/>
    </row>
    <row r="74" spans="2:16" x14ac:dyDescent="0.3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"/>
      <c r="L74" s="13" t="s">
        <v>12</v>
      </c>
      <c r="M74" s="13"/>
      <c r="N74" s="6"/>
      <c r="O74" s="6"/>
      <c r="P74" s="6"/>
    </row>
    <row r="75" spans="2:16" x14ac:dyDescent="0.3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"/>
      <c r="L75" s="13" t="s">
        <v>13</v>
      </c>
      <c r="M75" s="13"/>
      <c r="N75" s="6"/>
      <c r="O75" s="6"/>
      <c r="P75" s="6"/>
    </row>
    <row r="76" spans="2:16" x14ac:dyDescent="0.3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"/>
      <c r="L76" s="13" t="s">
        <v>12</v>
      </c>
      <c r="M76" s="13"/>
      <c r="N76" s="6"/>
      <c r="O76" s="6"/>
      <c r="P76" s="6"/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"/>
      <c r="L77" s="13" t="s">
        <v>13</v>
      </c>
      <c r="M77" s="13"/>
      <c r="N77" s="6"/>
      <c r="O77" s="6"/>
      <c r="P77" s="6"/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"/>
      <c r="L78" s="13" t="s">
        <v>12</v>
      </c>
      <c r="M78" s="13"/>
      <c r="N78" s="6"/>
      <c r="O78" s="6"/>
      <c r="P78" s="6"/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"/>
      <c r="L79" s="13" t="s">
        <v>13</v>
      </c>
      <c r="M79" s="13"/>
      <c r="N79" s="6"/>
      <c r="O79" s="6"/>
      <c r="P79" s="6"/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15">F80*(1-G80)</f>
        <v>0</v>
      </c>
      <c r="J80" s="13">
        <v>79</v>
      </c>
      <c r="K80" s="6"/>
      <c r="L80" s="13" t="s">
        <v>12</v>
      </c>
      <c r="M80" s="13"/>
      <c r="N80" s="6"/>
      <c r="O80" s="6"/>
      <c r="P80" s="6"/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15"/>
        <v>0</v>
      </c>
      <c r="J81" s="13">
        <v>80</v>
      </c>
      <c r="K81" s="6"/>
      <c r="L81" s="13" t="s">
        <v>13</v>
      </c>
      <c r="M81" s="13"/>
      <c r="N81" s="6"/>
      <c r="O81" s="6"/>
      <c r="P81" s="6"/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15"/>
        <v>0</v>
      </c>
      <c r="J82" s="13">
        <v>81</v>
      </c>
      <c r="K82" s="6"/>
      <c r="L82" s="13" t="s">
        <v>12</v>
      </c>
      <c r="M82" s="13"/>
      <c r="N82" s="6"/>
      <c r="O82" s="6"/>
      <c r="P82" s="6"/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15"/>
        <v>0</v>
      </c>
      <c r="J83" s="13">
        <v>82</v>
      </c>
      <c r="K83" s="6"/>
      <c r="L83" s="13" t="s">
        <v>13</v>
      </c>
      <c r="M83" s="13"/>
      <c r="N83" s="6"/>
      <c r="O83" s="6"/>
      <c r="P83" s="6"/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15"/>
        <v>0</v>
      </c>
      <c r="J84" s="13">
        <v>83</v>
      </c>
      <c r="K84" s="6"/>
      <c r="L84" s="13" t="s">
        <v>12</v>
      </c>
      <c r="M84" s="13"/>
      <c r="N84" s="6"/>
      <c r="O84" s="6"/>
      <c r="P84" s="6"/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15"/>
        <v>0</v>
      </c>
      <c r="J85" s="13">
        <v>84</v>
      </c>
      <c r="K85" s="6"/>
      <c r="L85" s="13" t="s">
        <v>13</v>
      </c>
      <c r="M85" s="13"/>
      <c r="N85" s="6"/>
      <c r="O85" s="6"/>
      <c r="P85" s="6"/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15"/>
        <v>0</v>
      </c>
      <c r="J86" s="13">
        <v>85</v>
      </c>
      <c r="K86" s="6"/>
      <c r="L86" s="13" t="s">
        <v>12</v>
      </c>
      <c r="M86" s="13"/>
      <c r="N86" s="6"/>
      <c r="O86" s="6"/>
      <c r="P86" s="6"/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15"/>
        <v>0</v>
      </c>
      <c r="J87" s="13">
        <v>86</v>
      </c>
      <c r="K87" s="6"/>
      <c r="L87" s="13" t="s">
        <v>13</v>
      </c>
      <c r="M87" s="13"/>
      <c r="N87" s="6"/>
      <c r="O87" s="6"/>
      <c r="P87" s="6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15"/>
        <v>0</v>
      </c>
      <c r="J88" s="13">
        <v>87</v>
      </c>
      <c r="K88" s="6"/>
      <c r="L88" s="13" t="s">
        <v>12</v>
      </c>
      <c r="M88" s="13"/>
      <c r="N88" s="6"/>
      <c r="O88" s="6"/>
      <c r="P88" s="6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15"/>
        <v>0</v>
      </c>
      <c r="J89" s="13">
        <v>88</v>
      </c>
      <c r="K89" s="6"/>
      <c r="L89" s="13" t="s">
        <v>13</v>
      </c>
      <c r="M89" s="13"/>
      <c r="N89" s="6"/>
      <c r="O89" s="6"/>
      <c r="P89" s="6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15"/>
        <v>0</v>
      </c>
      <c r="J90" s="13">
        <v>89</v>
      </c>
      <c r="K90" s="6"/>
      <c r="L90" s="13" t="s">
        <v>12</v>
      </c>
      <c r="M90" s="13"/>
      <c r="N90" s="6"/>
      <c r="O90" s="6"/>
      <c r="P90" s="6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15"/>
        <v>0</v>
      </c>
      <c r="J91" s="13">
        <v>90</v>
      </c>
      <c r="K91" s="6"/>
      <c r="L91" s="13" t="s">
        <v>13</v>
      </c>
      <c r="M91" s="13"/>
      <c r="N91" s="6"/>
      <c r="O91" s="6"/>
      <c r="P91" s="6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15"/>
        <v>0</v>
      </c>
      <c r="J92" s="13">
        <v>91</v>
      </c>
      <c r="K92" s="6"/>
      <c r="L92" s="13" t="s">
        <v>12</v>
      </c>
      <c r="M92" s="13"/>
      <c r="N92" s="6"/>
      <c r="O92" s="6"/>
      <c r="P92" s="6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15"/>
        <v>0</v>
      </c>
      <c r="J93" s="13">
        <v>92</v>
      </c>
      <c r="K93" s="6"/>
      <c r="L93" s="13" t="s">
        <v>13</v>
      </c>
      <c r="M93" s="13"/>
      <c r="N93" s="6"/>
      <c r="O93" s="6"/>
      <c r="P93" s="6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15"/>
        <v>0</v>
      </c>
      <c r="J94" s="13">
        <v>93</v>
      </c>
      <c r="K94" s="6"/>
      <c r="L94" s="13" t="s">
        <v>12</v>
      </c>
      <c r="M94" s="13"/>
      <c r="N94" s="6"/>
      <c r="O94" s="6"/>
      <c r="P94" s="6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15"/>
        <v>0</v>
      </c>
      <c r="J95" s="13">
        <v>94</v>
      </c>
      <c r="K95" s="6"/>
      <c r="L95" s="13" t="s">
        <v>13</v>
      </c>
      <c r="M95" s="13"/>
      <c r="N95" s="6"/>
      <c r="O95" s="6"/>
      <c r="P95" s="6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15"/>
        <v>0</v>
      </c>
      <c r="J96" s="13">
        <v>95</v>
      </c>
      <c r="K96" s="6"/>
      <c r="L96" s="13" t="s">
        <v>12</v>
      </c>
      <c r="M96" s="13"/>
      <c r="N96" s="6"/>
      <c r="O96" s="6"/>
      <c r="P96" s="6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15"/>
        <v>0</v>
      </c>
      <c r="J97" s="13">
        <v>96</v>
      </c>
      <c r="K97" s="6"/>
      <c r="L97" s="13" t="s">
        <v>13</v>
      </c>
      <c r="M97" s="13"/>
      <c r="N97" s="6"/>
      <c r="O97" s="6"/>
      <c r="P97" s="6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15"/>
        <v>0</v>
      </c>
      <c r="J98" s="13">
        <v>97</v>
      </c>
      <c r="K98" s="6"/>
      <c r="L98" s="13" t="s">
        <v>12</v>
      </c>
      <c r="M98" s="13"/>
      <c r="N98" s="6"/>
      <c r="O98" s="6"/>
      <c r="P98" s="6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15"/>
        <v>0</v>
      </c>
      <c r="J99" s="13">
        <v>98</v>
      </c>
      <c r="K99" s="6"/>
      <c r="L99" s="13" t="s">
        <v>13</v>
      </c>
      <c r="M99" s="13"/>
      <c r="N99" s="6"/>
      <c r="O99" s="6"/>
      <c r="P99" s="6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15"/>
        <v>0</v>
      </c>
      <c r="J100" s="13">
        <v>99</v>
      </c>
      <c r="K100" s="6"/>
      <c r="L100" s="13" t="s">
        <v>12</v>
      </c>
      <c r="M100" s="13"/>
      <c r="N100" s="6"/>
      <c r="O100" s="6"/>
      <c r="P100" s="6"/>
    </row>
    <row r="101" spans="2:16" x14ac:dyDescent="0.3">
      <c r="B101" s="13">
        <v>101</v>
      </c>
      <c r="C101" s="6"/>
      <c r="D101" s="13"/>
      <c r="E101" s="13"/>
      <c r="F101" s="13">
        <f t="shared" ref="F101:F126" si="16">E101*$R$4</f>
        <v>0</v>
      </c>
      <c r="G101" s="13"/>
      <c r="H101" s="668">
        <f t="shared" si="15"/>
        <v>0</v>
      </c>
      <c r="J101" s="13">
        <v>100</v>
      </c>
      <c r="K101" s="6"/>
      <c r="L101" s="13" t="s">
        <v>13</v>
      </c>
      <c r="M101" s="13"/>
      <c r="N101" s="6"/>
      <c r="O101" s="6"/>
      <c r="P101" s="6"/>
    </row>
    <row r="102" spans="2:16" x14ac:dyDescent="0.3">
      <c r="B102" s="13">
        <v>102</v>
      </c>
      <c r="C102" s="6"/>
      <c r="D102" s="13"/>
      <c r="E102" s="13"/>
      <c r="F102" s="13">
        <f t="shared" si="16"/>
        <v>0</v>
      </c>
      <c r="G102" s="13"/>
      <c r="H102" s="668">
        <f t="shared" si="15"/>
        <v>0</v>
      </c>
      <c r="J102" s="13">
        <v>101</v>
      </c>
      <c r="K102" s="6"/>
      <c r="L102" s="13" t="s">
        <v>12</v>
      </c>
      <c r="M102" s="13"/>
      <c r="N102" s="6"/>
      <c r="O102" s="6"/>
      <c r="P102" s="6"/>
    </row>
    <row r="103" spans="2:16" x14ac:dyDescent="0.3">
      <c r="B103" s="13">
        <v>103</v>
      </c>
      <c r="C103" s="6"/>
      <c r="D103" s="13"/>
      <c r="E103" s="13"/>
      <c r="F103" s="13">
        <f t="shared" si="16"/>
        <v>0</v>
      </c>
      <c r="G103" s="13"/>
      <c r="H103" s="668">
        <f t="shared" si="15"/>
        <v>0</v>
      </c>
      <c r="J103" s="13">
        <v>102</v>
      </c>
      <c r="K103" s="6"/>
      <c r="L103" s="13" t="s">
        <v>13</v>
      </c>
      <c r="M103" s="13"/>
      <c r="N103" s="6"/>
      <c r="O103" s="6"/>
      <c r="P103" s="6"/>
    </row>
    <row r="104" spans="2:16" x14ac:dyDescent="0.3">
      <c r="B104" s="13">
        <v>104</v>
      </c>
      <c r="C104" s="6"/>
      <c r="D104" s="13"/>
      <c r="E104" s="13"/>
      <c r="F104" s="13">
        <f t="shared" si="16"/>
        <v>0</v>
      </c>
      <c r="G104" s="13"/>
      <c r="H104" s="668">
        <f t="shared" si="15"/>
        <v>0</v>
      </c>
      <c r="J104" s="13">
        <v>103</v>
      </c>
      <c r="K104" s="6"/>
      <c r="L104" s="13" t="s">
        <v>12</v>
      </c>
      <c r="M104" s="13"/>
      <c r="N104" s="6"/>
      <c r="O104" s="6"/>
      <c r="P104" s="6"/>
    </row>
    <row r="105" spans="2:16" x14ac:dyDescent="0.3">
      <c r="B105" s="13">
        <v>105</v>
      </c>
      <c r="C105" s="6"/>
      <c r="D105" s="13"/>
      <c r="E105" s="13"/>
      <c r="F105" s="13">
        <f t="shared" si="16"/>
        <v>0</v>
      </c>
      <c r="G105" s="13"/>
      <c r="H105" s="668">
        <f t="shared" si="15"/>
        <v>0</v>
      </c>
      <c r="J105" s="13">
        <v>104</v>
      </c>
      <c r="K105" s="6"/>
      <c r="L105" s="13" t="s">
        <v>13</v>
      </c>
      <c r="M105" s="13"/>
      <c r="N105" s="6"/>
      <c r="O105" s="6"/>
      <c r="P105" s="6"/>
    </row>
    <row r="106" spans="2:16" x14ac:dyDescent="0.3">
      <c r="B106" s="13">
        <v>106</v>
      </c>
      <c r="C106" s="6"/>
      <c r="D106" s="13"/>
      <c r="E106" s="13"/>
      <c r="F106" s="13">
        <f t="shared" si="16"/>
        <v>0</v>
      </c>
      <c r="G106" s="13"/>
      <c r="H106" s="668">
        <f t="shared" si="15"/>
        <v>0</v>
      </c>
      <c r="J106" s="13">
        <v>105</v>
      </c>
      <c r="K106" s="6"/>
      <c r="L106" s="13" t="s">
        <v>12</v>
      </c>
      <c r="M106" s="13"/>
      <c r="N106" s="6"/>
      <c r="O106" s="6"/>
      <c r="P106" s="6"/>
    </row>
    <row r="107" spans="2:16" x14ac:dyDescent="0.3">
      <c r="B107" s="13">
        <v>107</v>
      </c>
      <c r="C107" s="6"/>
      <c r="D107" s="13"/>
      <c r="E107" s="13"/>
      <c r="F107" s="13">
        <f t="shared" si="16"/>
        <v>0</v>
      </c>
      <c r="G107" s="13"/>
      <c r="H107" s="668">
        <f t="shared" si="15"/>
        <v>0</v>
      </c>
      <c r="J107" s="13">
        <v>106</v>
      </c>
      <c r="K107" s="6"/>
      <c r="L107" s="13" t="s">
        <v>13</v>
      </c>
      <c r="M107" s="13"/>
      <c r="N107" s="6"/>
      <c r="O107" s="6"/>
      <c r="P107" s="6"/>
    </row>
    <row r="108" spans="2:16" x14ac:dyDescent="0.3">
      <c r="B108" s="13">
        <v>108</v>
      </c>
      <c r="C108" s="6"/>
      <c r="D108" s="13"/>
      <c r="E108" s="13"/>
      <c r="F108" s="13">
        <f t="shared" si="16"/>
        <v>0</v>
      </c>
      <c r="G108" s="13"/>
      <c r="H108" s="668">
        <f t="shared" si="15"/>
        <v>0</v>
      </c>
      <c r="J108" s="13">
        <v>107</v>
      </c>
      <c r="K108" s="6"/>
      <c r="L108" s="13" t="s">
        <v>12</v>
      </c>
      <c r="M108" s="13"/>
      <c r="N108" s="6"/>
      <c r="O108" s="6"/>
      <c r="P108" s="6"/>
    </row>
    <row r="109" spans="2:16" x14ac:dyDescent="0.3">
      <c r="B109" s="13">
        <v>109</v>
      </c>
      <c r="C109" s="6"/>
      <c r="D109" s="13"/>
      <c r="E109" s="13"/>
      <c r="F109" s="13">
        <f t="shared" si="16"/>
        <v>0</v>
      </c>
      <c r="G109" s="13"/>
      <c r="H109" s="668">
        <f t="shared" si="15"/>
        <v>0</v>
      </c>
      <c r="J109" s="13">
        <v>108</v>
      </c>
      <c r="K109" s="6"/>
      <c r="L109" s="13" t="s">
        <v>13</v>
      </c>
      <c r="M109" s="13"/>
      <c r="N109" s="6"/>
      <c r="O109" s="6"/>
      <c r="P109" s="6"/>
    </row>
    <row r="110" spans="2:16" x14ac:dyDescent="0.3">
      <c r="B110" s="13">
        <v>110</v>
      </c>
      <c r="C110" s="6"/>
      <c r="D110" s="13"/>
      <c r="E110" s="13"/>
      <c r="F110" s="13">
        <f t="shared" si="16"/>
        <v>0</v>
      </c>
      <c r="G110" s="13"/>
      <c r="H110" s="668">
        <f t="shared" si="15"/>
        <v>0</v>
      </c>
      <c r="J110" s="13">
        <v>109</v>
      </c>
      <c r="K110" s="6"/>
      <c r="L110" s="13" t="s">
        <v>12</v>
      </c>
      <c r="M110" s="13"/>
      <c r="N110" s="6"/>
      <c r="O110" s="6"/>
      <c r="P110" s="6"/>
    </row>
    <row r="111" spans="2:16" x14ac:dyDescent="0.3">
      <c r="B111" s="13">
        <v>111</v>
      </c>
      <c r="C111" s="6"/>
      <c r="D111" s="13"/>
      <c r="E111" s="13"/>
      <c r="F111" s="13">
        <f t="shared" si="16"/>
        <v>0</v>
      </c>
      <c r="G111" s="13"/>
      <c r="H111" s="668">
        <f t="shared" si="15"/>
        <v>0</v>
      </c>
      <c r="J111" s="13">
        <v>110</v>
      </c>
      <c r="K111" s="6"/>
      <c r="L111" s="13" t="s">
        <v>13</v>
      </c>
      <c r="M111" s="13"/>
      <c r="N111" s="6"/>
      <c r="O111" s="6"/>
      <c r="P111" s="6"/>
    </row>
    <row r="112" spans="2:16" x14ac:dyDescent="0.3">
      <c r="B112" s="13">
        <v>112</v>
      </c>
      <c r="C112" s="6"/>
      <c r="D112" s="13"/>
      <c r="E112" s="13"/>
      <c r="F112" s="13">
        <f t="shared" si="16"/>
        <v>0</v>
      </c>
      <c r="G112" s="13"/>
      <c r="H112" s="668">
        <f t="shared" si="15"/>
        <v>0</v>
      </c>
      <c r="J112" s="13">
        <v>111</v>
      </c>
      <c r="K112" s="6"/>
      <c r="L112" s="13" t="s">
        <v>12</v>
      </c>
      <c r="M112" s="13"/>
      <c r="N112" s="6"/>
      <c r="O112" s="6"/>
      <c r="P112" s="6"/>
    </row>
    <row r="113" spans="2:16" x14ac:dyDescent="0.3">
      <c r="B113" s="13">
        <v>113</v>
      </c>
      <c r="C113" s="6"/>
      <c r="D113" s="13"/>
      <c r="E113" s="13"/>
      <c r="F113" s="13">
        <f t="shared" si="16"/>
        <v>0</v>
      </c>
      <c r="G113" s="13"/>
      <c r="H113" s="668">
        <f t="shared" si="15"/>
        <v>0</v>
      </c>
      <c r="J113" s="13">
        <v>112</v>
      </c>
      <c r="K113" s="6"/>
      <c r="L113" s="13" t="s">
        <v>13</v>
      </c>
      <c r="M113" s="13"/>
      <c r="N113" s="6"/>
      <c r="O113" s="6"/>
      <c r="P113" s="6"/>
    </row>
    <row r="114" spans="2:16" x14ac:dyDescent="0.3">
      <c r="B114" s="13">
        <v>114</v>
      </c>
      <c r="C114" s="6"/>
      <c r="D114" s="13"/>
      <c r="E114" s="13"/>
      <c r="F114" s="13">
        <f t="shared" si="16"/>
        <v>0</v>
      </c>
      <c r="G114" s="13"/>
      <c r="H114" s="668">
        <f t="shared" si="15"/>
        <v>0</v>
      </c>
      <c r="J114" s="13">
        <v>113</v>
      </c>
      <c r="K114" s="6"/>
      <c r="L114" s="13" t="s">
        <v>12</v>
      </c>
      <c r="M114" s="13"/>
      <c r="N114" s="6"/>
      <c r="O114" s="6"/>
      <c r="P114" s="6"/>
    </row>
    <row r="115" spans="2:16" x14ac:dyDescent="0.3">
      <c r="B115" s="13">
        <v>115</v>
      </c>
      <c r="C115" s="6"/>
      <c r="D115" s="13"/>
      <c r="E115" s="13"/>
      <c r="F115" s="13">
        <f t="shared" si="16"/>
        <v>0</v>
      </c>
      <c r="G115" s="13"/>
      <c r="H115" s="668">
        <f t="shared" si="15"/>
        <v>0</v>
      </c>
      <c r="J115" s="13">
        <v>114</v>
      </c>
      <c r="K115" s="6"/>
      <c r="L115" s="13" t="s">
        <v>13</v>
      </c>
      <c r="M115" s="13"/>
      <c r="N115" s="6"/>
      <c r="O115" s="6"/>
      <c r="P115" s="6"/>
    </row>
    <row r="116" spans="2:16" x14ac:dyDescent="0.3">
      <c r="B116" s="13">
        <v>116</v>
      </c>
      <c r="C116" s="6"/>
      <c r="D116" s="13"/>
      <c r="E116" s="13"/>
      <c r="F116" s="13">
        <f t="shared" si="16"/>
        <v>0</v>
      </c>
      <c r="G116" s="13"/>
      <c r="H116" s="668">
        <f t="shared" si="15"/>
        <v>0</v>
      </c>
      <c r="J116" s="13">
        <v>115</v>
      </c>
      <c r="K116" s="6"/>
      <c r="L116" s="13" t="s">
        <v>12</v>
      </c>
      <c r="M116" s="13"/>
      <c r="N116" s="6"/>
      <c r="O116" s="6"/>
      <c r="P116" s="6"/>
    </row>
    <row r="117" spans="2:16" x14ac:dyDescent="0.3">
      <c r="B117" s="13">
        <v>117</v>
      </c>
      <c r="C117" s="6"/>
      <c r="D117" s="13"/>
      <c r="E117" s="13"/>
      <c r="F117" s="13">
        <f t="shared" si="16"/>
        <v>0</v>
      </c>
      <c r="G117" s="13"/>
      <c r="H117" s="668">
        <f t="shared" si="15"/>
        <v>0</v>
      </c>
      <c r="J117" s="13">
        <v>116</v>
      </c>
      <c r="K117" s="6"/>
      <c r="L117" s="13" t="s">
        <v>13</v>
      </c>
      <c r="M117" s="13"/>
      <c r="N117" s="6"/>
      <c r="O117" s="6"/>
      <c r="P117" s="6"/>
    </row>
    <row r="118" spans="2:16" x14ac:dyDescent="0.3">
      <c r="B118" s="13">
        <v>118</v>
      </c>
      <c r="C118" s="6"/>
      <c r="D118" s="13"/>
      <c r="E118" s="13"/>
      <c r="F118" s="13">
        <f t="shared" si="16"/>
        <v>0</v>
      </c>
      <c r="G118" s="13"/>
      <c r="H118" s="668">
        <f t="shared" si="15"/>
        <v>0</v>
      </c>
      <c r="J118" s="13">
        <v>117</v>
      </c>
      <c r="K118" s="6"/>
      <c r="L118" s="13" t="s">
        <v>12</v>
      </c>
      <c r="M118" s="13"/>
      <c r="N118" s="6"/>
      <c r="O118" s="6"/>
      <c r="P118" s="6"/>
    </row>
    <row r="119" spans="2:16" x14ac:dyDescent="0.3">
      <c r="B119" s="13">
        <v>119</v>
      </c>
      <c r="C119" s="6"/>
      <c r="D119" s="13"/>
      <c r="E119" s="13"/>
      <c r="F119" s="13">
        <f t="shared" si="16"/>
        <v>0</v>
      </c>
      <c r="G119" s="13"/>
      <c r="H119" s="668">
        <f t="shared" si="15"/>
        <v>0</v>
      </c>
      <c r="J119" s="13">
        <v>118</v>
      </c>
      <c r="K119" s="6"/>
      <c r="L119" s="13" t="s">
        <v>13</v>
      </c>
      <c r="M119" s="13"/>
      <c r="N119" s="6"/>
      <c r="O119" s="6"/>
      <c r="P119" s="6"/>
    </row>
    <row r="120" spans="2:16" x14ac:dyDescent="0.3">
      <c r="B120" s="13">
        <v>120</v>
      </c>
      <c r="C120" s="6"/>
      <c r="D120" s="13"/>
      <c r="E120" s="13"/>
      <c r="F120" s="13">
        <f t="shared" si="16"/>
        <v>0</v>
      </c>
      <c r="G120" s="13"/>
      <c r="H120" s="668">
        <f t="shared" si="15"/>
        <v>0</v>
      </c>
      <c r="J120" s="13">
        <v>119</v>
      </c>
      <c r="K120" s="6"/>
      <c r="L120" s="13" t="s">
        <v>12</v>
      </c>
      <c r="M120" s="13"/>
      <c r="N120" s="6"/>
      <c r="O120" s="6"/>
      <c r="P120" s="6"/>
    </row>
    <row r="121" spans="2:16" x14ac:dyDescent="0.3">
      <c r="B121" s="13">
        <v>121</v>
      </c>
      <c r="C121" s="6"/>
      <c r="D121" s="13"/>
      <c r="E121" s="13"/>
      <c r="F121" s="13">
        <f t="shared" si="16"/>
        <v>0</v>
      </c>
      <c r="G121" s="13"/>
      <c r="H121" s="668">
        <f t="shared" si="15"/>
        <v>0</v>
      </c>
      <c r="J121" s="13">
        <v>120</v>
      </c>
      <c r="K121" s="6"/>
      <c r="L121" s="13" t="s">
        <v>13</v>
      </c>
      <c r="M121" s="13"/>
      <c r="N121" s="6"/>
      <c r="O121" s="6"/>
      <c r="P121" s="6"/>
    </row>
    <row r="122" spans="2:16" x14ac:dyDescent="0.3">
      <c r="B122" s="13">
        <v>122</v>
      </c>
      <c r="C122" s="6"/>
      <c r="D122" s="13"/>
      <c r="E122" s="13"/>
      <c r="F122" s="13">
        <f t="shared" si="16"/>
        <v>0</v>
      </c>
      <c r="G122" s="13"/>
      <c r="H122" s="668">
        <f t="shared" si="15"/>
        <v>0</v>
      </c>
      <c r="J122" s="13">
        <v>121</v>
      </c>
      <c r="K122" s="6"/>
      <c r="L122" s="13" t="s">
        <v>12</v>
      </c>
      <c r="M122" s="13"/>
      <c r="N122" s="6"/>
      <c r="O122" s="6"/>
      <c r="P122" s="6"/>
    </row>
    <row r="123" spans="2:16" x14ac:dyDescent="0.3">
      <c r="B123" s="13">
        <v>123</v>
      </c>
      <c r="C123" s="6"/>
      <c r="D123" s="13"/>
      <c r="E123" s="13"/>
      <c r="F123" s="13">
        <f t="shared" si="16"/>
        <v>0</v>
      </c>
      <c r="G123" s="13"/>
      <c r="H123" s="668">
        <f t="shared" si="15"/>
        <v>0</v>
      </c>
      <c r="J123" s="13">
        <v>122</v>
      </c>
      <c r="K123" s="6"/>
      <c r="L123" s="13" t="s">
        <v>13</v>
      </c>
      <c r="M123" s="13"/>
      <c r="N123" s="6"/>
      <c r="O123" s="6"/>
      <c r="P123" s="6"/>
    </row>
    <row r="124" spans="2:16" x14ac:dyDescent="0.3">
      <c r="B124" s="13">
        <v>124</v>
      </c>
      <c r="C124" s="6"/>
      <c r="D124" s="13"/>
      <c r="E124" s="13"/>
      <c r="F124" s="13">
        <f t="shared" si="16"/>
        <v>0</v>
      </c>
      <c r="G124" s="13"/>
      <c r="H124" s="668">
        <f t="shared" si="15"/>
        <v>0</v>
      </c>
      <c r="J124" s="13">
        <v>123</v>
      </c>
      <c r="K124" s="6"/>
      <c r="L124" s="13" t="s">
        <v>12</v>
      </c>
      <c r="M124" s="13"/>
      <c r="N124" s="6"/>
      <c r="O124" s="6"/>
      <c r="P124" s="6"/>
    </row>
    <row r="125" spans="2:16" x14ac:dyDescent="0.3">
      <c r="B125" s="13">
        <v>125</v>
      </c>
      <c r="C125" s="6"/>
      <c r="D125" s="13"/>
      <c r="E125" s="13"/>
      <c r="F125" s="13">
        <f t="shared" si="16"/>
        <v>0</v>
      </c>
      <c r="G125" s="13"/>
      <c r="H125" s="668">
        <f t="shared" si="15"/>
        <v>0</v>
      </c>
      <c r="J125" s="13">
        <v>124</v>
      </c>
      <c r="K125" s="6"/>
      <c r="L125" s="13" t="s">
        <v>13</v>
      </c>
      <c r="M125" s="13"/>
      <c r="N125" s="6"/>
      <c r="O125" s="6"/>
      <c r="P125" s="6"/>
    </row>
    <row r="126" spans="2:16" x14ac:dyDescent="0.3">
      <c r="B126" s="13">
        <v>126</v>
      </c>
      <c r="C126" s="6"/>
      <c r="D126" s="13"/>
      <c r="E126" s="13"/>
      <c r="F126" s="13">
        <f t="shared" si="16"/>
        <v>0</v>
      </c>
      <c r="G126" s="13"/>
      <c r="H126" s="668">
        <f t="shared" si="15"/>
        <v>0</v>
      </c>
      <c r="J126" s="13">
        <v>125</v>
      </c>
      <c r="K126" s="6"/>
      <c r="L126" s="6"/>
      <c r="M126" s="13"/>
      <c r="N126" s="6"/>
      <c r="O126" s="6"/>
      <c r="P126" s="6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11"/>
  <sheetViews>
    <sheetView topLeftCell="E1" zoomScale="72" zoomScaleNormal="85" workbookViewId="0">
      <pane ySplit="4" topLeftCell="A65" activePane="bottomLeft" state="frozen"/>
      <selection pane="bottomLeft" activeCell="Q101" sqref="Q101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0.5546875" style="12" customWidth="1"/>
    <col min="9" max="9" width="18.88671875" style="332" customWidth="1"/>
    <col min="10" max="10" width="18.88671875" style="432" customWidth="1"/>
    <col min="11" max="11" width="9.77734375" style="432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18.88671875" style="332" customWidth="1"/>
    <col min="18" max="18" width="14.218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4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399" t="s">
        <v>32</v>
      </c>
      <c r="I2" s="1399"/>
      <c r="J2" s="1399"/>
      <c r="K2" s="1399"/>
    </row>
    <row r="3" spans="1:92" ht="15" thickBot="1" x14ac:dyDescent="0.35"/>
    <row r="4" spans="1:92" ht="29.4" thickBot="1" x14ac:dyDescent="0.35">
      <c r="A4" s="585" t="s">
        <v>544</v>
      </c>
      <c r="B4" s="1400" t="s">
        <v>0</v>
      </c>
      <c r="C4" s="1401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278</v>
      </c>
      <c r="I4" s="806" t="s">
        <v>438</v>
      </c>
      <c r="J4" s="806" t="s">
        <v>443</v>
      </c>
      <c r="K4" s="805" t="s">
        <v>34</v>
      </c>
      <c r="L4" s="806" t="s">
        <v>35</v>
      </c>
      <c r="M4" s="805" t="s">
        <v>437</v>
      </c>
      <c r="N4" s="805" t="s">
        <v>207</v>
      </c>
      <c r="O4" s="805" t="s">
        <v>36</v>
      </c>
      <c r="P4" s="805" t="s">
        <v>37</v>
      </c>
      <c r="Q4" s="805" t="s">
        <v>511</v>
      </c>
      <c r="R4" s="805" t="s">
        <v>127</v>
      </c>
      <c r="S4" s="805" t="s">
        <v>299</v>
      </c>
      <c r="T4" s="805" t="s">
        <v>153</v>
      </c>
      <c r="U4" s="805" t="s">
        <v>154</v>
      </c>
      <c r="V4" s="803" t="s">
        <v>155</v>
      </c>
      <c r="W4" s="805" t="s">
        <v>219</v>
      </c>
      <c r="X4" s="805" t="s">
        <v>220</v>
      </c>
      <c r="Y4" s="803" t="s">
        <v>221</v>
      </c>
      <c r="Z4" s="918" t="s">
        <v>583</v>
      </c>
      <c r="AB4" s="925" t="s">
        <v>512</v>
      </c>
      <c r="AC4" s="721" t="s">
        <v>580</v>
      </c>
    </row>
    <row r="5" spans="1:92" ht="30.6" customHeight="1" thickBot="1" x14ac:dyDescent="0.35">
      <c r="A5" s="1402">
        <v>1</v>
      </c>
      <c r="B5" s="1325">
        <v>46265</v>
      </c>
      <c r="C5" s="1325"/>
      <c r="D5" s="741" t="s">
        <v>440</v>
      </c>
      <c r="E5" s="741" t="s">
        <v>439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6">
        <v>1.135</v>
      </c>
      <c r="L5" s="877">
        <v>0.68</v>
      </c>
      <c r="M5" s="553">
        <f>H5*K5*G5</f>
        <v>30.116503140000003</v>
      </c>
      <c r="N5" s="1403">
        <f>SUM(M5:M6)</f>
        <v>95.90021999999999</v>
      </c>
      <c r="O5" s="553">
        <f t="shared" ref="O5:O11" si="1">M5/((720-R5)/60)</f>
        <v>2.8865657961661344</v>
      </c>
      <c r="P5" s="1403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422">
        <f>SUM(M5:M8)</f>
        <v>292.31360000000001</v>
      </c>
      <c r="T5" s="555">
        <f>IFERROR(AVERAGE('LT Ball Mill'!F4:F6),"")</f>
        <v>0.96699999999999997</v>
      </c>
      <c r="U5" s="555">
        <f>AVERAGE('LT Ball Mill'!G4:G6)</f>
        <v>0.41</v>
      </c>
      <c r="V5" s="555">
        <f>AVERAGE('LT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6">
        <f t="shared" ref="AB5:AB49" si="5">W5*$AC$5</f>
        <v>72806646.340949997</v>
      </c>
      <c r="AC5" s="722">
        <v>2500000</v>
      </c>
      <c r="AE5" s="719"/>
      <c r="AG5" s="1456" t="s">
        <v>38</v>
      </c>
      <c r="AH5" s="1457"/>
      <c r="AI5" s="1457"/>
      <c r="AJ5" s="1458"/>
      <c r="AL5" s="709" t="s">
        <v>214</v>
      </c>
      <c r="AM5" s="710">
        <v>10.7</v>
      </c>
      <c r="AN5" s="711" t="s">
        <v>216</v>
      </c>
    </row>
    <row r="6" spans="1:92" ht="16.2" thickBot="1" x14ac:dyDescent="0.35">
      <c r="A6" s="1402"/>
      <c r="B6" s="1325"/>
      <c r="C6" s="1325"/>
      <c r="D6" s="741" t="s">
        <v>441</v>
      </c>
      <c r="E6" s="741" t="s">
        <v>439</v>
      </c>
      <c r="F6" s="863" t="s">
        <v>13</v>
      </c>
      <c r="G6" s="812">
        <v>0.36</v>
      </c>
      <c r="H6" s="1097">
        <f>J6-H5</f>
        <v>98.859999999999985</v>
      </c>
      <c r="I6" s="553">
        <f t="shared" si="0"/>
        <v>8.2383333333333315</v>
      </c>
      <c r="J6" s="553">
        <v>215.7</v>
      </c>
      <c r="K6" s="876">
        <v>1.2350000000000001</v>
      </c>
      <c r="L6" s="877">
        <v>0.68</v>
      </c>
      <c r="M6" s="553">
        <f>(J6*K6*G6)-SUM(M5)</f>
        <v>65.783716859999984</v>
      </c>
      <c r="N6" s="1403"/>
      <c r="O6" s="553">
        <f t="shared" si="1"/>
        <v>5.4819764049999984</v>
      </c>
      <c r="P6" s="1403"/>
      <c r="Q6" s="553">
        <f t="shared" si="2"/>
        <v>720</v>
      </c>
      <c r="R6" s="553">
        <f>'Milling Down Time Hours'!G6</f>
        <v>0</v>
      </c>
      <c r="S6" s="1422"/>
      <c r="T6" s="555">
        <f>AVERAGE('LT Ball Mill'!F7:F9)</f>
        <v>0.60899999999999999</v>
      </c>
      <c r="U6" s="555">
        <f>AVERAGE('LT Ball Mill'!G7:G9)</f>
        <v>0.52833333333333343</v>
      </c>
      <c r="V6" s="555">
        <f>AVERAGE('LT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7">
        <f t="shared" si="5"/>
        <v>100155708.91934997</v>
      </c>
      <c r="AD6" s="719"/>
      <c r="AE6" s="719"/>
      <c r="AG6" s="699"/>
      <c r="AH6" s="706" t="s">
        <v>39</v>
      </c>
      <c r="AI6" s="720">
        <v>1155</v>
      </c>
      <c r="AJ6" s="700" t="s">
        <v>40</v>
      </c>
      <c r="AK6" s="705"/>
      <c r="AL6" s="712" t="s">
        <v>215</v>
      </c>
      <c r="AM6" s="718">
        <v>2.8</v>
      </c>
      <c r="AN6" s="714" t="s">
        <v>216</v>
      </c>
    </row>
    <row r="7" spans="1:92" s="426" customFormat="1" ht="15.6" x14ac:dyDescent="0.3">
      <c r="A7" s="1402"/>
      <c r="B7" s="1325">
        <v>46266</v>
      </c>
      <c r="C7" s="1325"/>
      <c r="D7" s="741" t="s">
        <v>440</v>
      </c>
      <c r="E7" s="741" t="s">
        <v>439</v>
      </c>
      <c r="F7" s="863" t="s">
        <v>12</v>
      </c>
      <c r="G7" s="877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6">
        <v>1.2549999999999999</v>
      </c>
      <c r="L7" s="877">
        <v>0.7</v>
      </c>
      <c r="M7" s="553">
        <f>(J7*K7*G7)-SUM(M5:M6)</f>
        <v>78.8661855</v>
      </c>
      <c r="N7" s="1403">
        <f>SUM(M7:M8)</f>
        <v>196.41338000000002</v>
      </c>
      <c r="O7" s="553">
        <f t="shared" si="1"/>
        <v>6.5721821250000003</v>
      </c>
      <c r="P7" s="1403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422"/>
      <c r="T7" s="555">
        <f>AVERAGE('LT Ball Mill'!F10:F12)</f>
        <v>0.64699999999999991</v>
      </c>
      <c r="U7" s="555">
        <f>AVERAGE('LT Ball Mill'!G10:G12)</f>
        <v>0.67433333333333334</v>
      </c>
      <c r="V7" s="555">
        <f>AVERAGE('LT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7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217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402"/>
      <c r="B8" s="1325"/>
      <c r="C8" s="1325"/>
      <c r="D8" s="742" t="s">
        <v>441</v>
      </c>
      <c r="E8" s="742" t="s">
        <v>442</v>
      </c>
      <c r="F8" s="863" t="s">
        <v>13</v>
      </c>
      <c r="G8" s="877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6">
        <v>1.28</v>
      </c>
      <c r="L8" s="877">
        <v>0.7</v>
      </c>
      <c r="M8" s="553">
        <f>(K8*J8*G8)-(SUM(M5:M7))</f>
        <v>117.54719450000002</v>
      </c>
      <c r="N8" s="1403"/>
      <c r="O8" s="553">
        <f t="shared" si="1"/>
        <v>10.78414628440367</v>
      </c>
      <c r="P8" s="1403"/>
      <c r="Q8" s="553">
        <f t="shared" si="2"/>
        <v>654</v>
      </c>
      <c r="R8" s="553">
        <f>'Milling Down Time Hours'!G8</f>
        <v>66</v>
      </c>
      <c r="S8" s="1422"/>
      <c r="T8" s="555">
        <f>AVERAGE('LT Ball Mill'!F13:F15)</f>
        <v>0.60899999999999999</v>
      </c>
      <c r="U8" s="555">
        <f>AVERAGE('LT Ball Mill'!G13:G15)</f>
        <v>0.52833333333333343</v>
      </c>
      <c r="V8" s="555">
        <f>AVERAGE('LT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7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1.155</v>
      </c>
      <c r="AJ8" s="700" t="s">
        <v>44</v>
      </c>
      <c r="AK8" s="1"/>
      <c r="AL8" s="715" t="s">
        <v>218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419">
        <v>2</v>
      </c>
      <c r="B9" s="1321">
        <v>46267</v>
      </c>
      <c r="C9" s="1321"/>
      <c r="D9" s="743" t="s">
        <v>440</v>
      </c>
      <c r="E9" s="743" t="s">
        <v>445</v>
      </c>
      <c r="F9" s="781" t="s">
        <v>12</v>
      </c>
      <c r="G9" s="878">
        <v>0.39</v>
      </c>
      <c r="H9" s="617">
        <f>J9</f>
        <v>215</v>
      </c>
      <c r="I9" s="485">
        <f t="shared" si="0"/>
        <v>21.5</v>
      </c>
      <c r="J9" s="617">
        <v>215</v>
      </c>
      <c r="K9" s="1099">
        <v>1.26</v>
      </c>
      <c r="L9" s="878">
        <v>0.72</v>
      </c>
      <c r="M9" s="485">
        <f>J9*K9*G9</f>
        <v>105.651</v>
      </c>
      <c r="N9" s="1421">
        <f>SUM(M9:M10)</f>
        <v>209.804</v>
      </c>
      <c r="O9" s="485">
        <f t="shared" si="1"/>
        <v>10.565099999999999</v>
      </c>
      <c r="P9" s="1421">
        <f>'Milling Down Time Hours'!Q7</f>
        <v>22</v>
      </c>
      <c r="Q9" s="485">
        <f t="shared" si="2"/>
        <v>600</v>
      </c>
      <c r="R9" s="934">
        <f>'Milling Down Time Hours'!G9</f>
        <v>120.00000000000001</v>
      </c>
      <c r="S9" s="1426">
        <f>SUM(M9:M11)</f>
        <v>300.14215000000002</v>
      </c>
      <c r="T9" s="583">
        <f>AVERAGE('LT Ball Mill'!F16:F18)</f>
        <v>0.7446666666666667</v>
      </c>
      <c r="U9" s="583">
        <f>AVERAGE('LT Ball Mill'!G16:G18)</f>
        <v>0.59</v>
      </c>
      <c r="V9" s="583">
        <f>AVERAGE('LT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8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419"/>
      <c r="B10" s="1321"/>
      <c r="C10" s="1321"/>
      <c r="D10" s="743" t="s">
        <v>444</v>
      </c>
      <c r="E10" s="497"/>
      <c r="F10" s="781" t="s">
        <v>13</v>
      </c>
      <c r="G10" s="878">
        <v>0.4</v>
      </c>
      <c r="H10" s="617">
        <f>J10-H9</f>
        <v>198</v>
      </c>
      <c r="I10" s="485">
        <f t="shared" si="0"/>
        <v>16.5</v>
      </c>
      <c r="J10" s="617">
        <v>413</v>
      </c>
      <c r="K10" s="1099">
        <v>1.27</v>
      </c>
      <c r="L10" s="878">
        <v>0.72</v>
      </c>
      <c r="M10" s="485">
        <f>K10*J10*G10-SUM(M9)</f>
        <v>104.15300000000001</v>
      </c>
      <c r="N10" s="1421"/>
      <c r="O10" s="485">
        <f t="shared" si="1"/>
        <v>8.6794166666666666</v>
      </c>
      <c r="P10" s="1421"/>
      <c r="Q10" s="485">
        <f t="shared" si="2"/>
        <v>720</v>
      </c>
      <c r="R10" s="934">
        <f>'Milling Down Time Hours'!G10</f>
        <v>0</v>
      </c>
      <c r="S10" s="1426"/>
      <c r="T10" s="583">
        <f>AVERAGE('LT Ball Mill'!F19:F21)</f>
        <v>0.64600000000000002</v>
      </c>
      <c r="U10" s="583">
        <f>AVERAGE('LT Ball Mill'!G19:G21)</f>
        <v>1.0666666666666667</v>
      </c>
      <c r="V10" s="583">
        <f>AVERAGE('LT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8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419"/>
      <c r="B11" s="1321">
        <v>46268</v>
      </c>
      <c r="C11" s="1321"/>
      <c r="D11" s="743" t="s">
        <v>440</v>
      </c>
      <c r="E11" s="744" t="s">
        <v>471</v>
      </c>
      <c r="F11" s="781" t="s">
        <v>12</v>
      </c>
      <c r="G11" s="878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9">
        <v>1.2949999999999999</v>
      </c>
      <c r="L11" s="878">
        <v>0.71</v>
      </c>
      <c r="M11" s="485">
        <f>J11*K11*G11-SUM(M9:M10)</f>
        <v>90.338150000000013</v>
      </c>
      <c r="N11" s="1421">
        <f>SUM(M11:M12)</f>
        <v>90.338150000000013</v>
      </c>
      <c r="O11" s="485">
        <f t="shared" si="1"/>
        <v>7.5281791666666678</v>
      </c>
      <c r="P11" s="1421">
        <f>'Milling Down Time Hours'!Q8</f>
        <v>23</v>
      </c>
      <c r="Q11" s="485">
        <f t="shared" si="2"/>
        <v>720</v>
      </c>
      <c r="R11" s="934">
        <f>'Milling Down Time Hours'!G11</f>
        <v>0</v>
      </c>
      <c r="S11" s="1426"/>
      <c r="T11" s="583">
        <f>AVERAGE('LT Ball Mill'!F22:F24)</f>
        <v>0.66133333333333333</v>
      </c>
      <c r="U11" s="583">
        <f>AVERAGE('LT Ball Mill'!G22:G24)</f>
        <v>0.72333333333333327</v>
      </c>
      <c r="V11" s="583">
        <f>AVERAGE('LT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8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0.25619834710743805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419"/>
      <c r="B12" s="1345"/>
      <c r="C12" s="1345"/>
      <c r="D12" s="787" t="s">
        <v>444</v>
      </c>
      <c r="E12" s="788" t="s">
        <v>467</v>
      </c>
      <c r="F12" s="911" t="s">
        <v>13</v>
      </c>
      <c r="G12" s="892"/>
      <c r="H12" s="869"/>
      <c r="I12" s="554"/>
      <c r="J12" s="869"/>
      <c r="K12" s="869"/>
      <c r="L12" s="879"/>
      <c r="M12" s="554">
        <f t="shared" ref="M12:M74" si="7">H12*K12*G12</f>
        <v>0</v>
      </c>
      <c r="N12" s="1431"/>
      <c r="O12" s="554"/>
      <c r="P12" s="1431"/>
      <c r="Q12" s="554">
        <f t="shared" si="2"/>
        <v>660</v>
      </c>
      <c r="R12" s="960">
        <f>'Milling Down Time Hours'!G12</f>
        <v>60.000000000000007</v>
      </c>
      <c r="S12" s="1428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11"/>
      <c r="AA12" s="1"/>
      <c r="AB12" s="929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295.90909090909093</v>
      </c>
      <c r="AJ12" s="726" t="s">
        <v>40</v>
      </c>
      <c r="AK12" s="7"/>
      <c r="AL12" s="111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420"/>
      <c r="B13" s="1432">
        <v>46269</v>
      </c>
      <c r="C13" s="1323"/>
      <c r="D13" s="1417" t="s">
        <v>484</v>
      </c>
      <c r="E13" s="730"/>
      <c r="F13" s="912" t="s">
        <v>12</v>
      </c>
      <c r="G13" s="893"/>
      <c r="H13" s="870"/>
      <c r="I13" s="795"/>
      <c r="J13" s="870"/>
      <c r="K13" s="870"/>
      <c r="L13" s="870"/>
      <c r="M13" s="795">
        <f t="shared" si="7"/>
        <v>0</v>
      </c>
      <c r="N13" s="795"/>
      <c r="O13" s="870">
        <v>0</v>
      </c>
      <c r="P13" s="795">
        <f>'Milling Down Time Hours'!Q9</f>
        <v>0</v>
      </c>
      <c r="Q13" s="795"/>
      <c r="R13" s="1429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9"/>
      <c r="AB13" s="929">
        <f t="shared" si="5"/>
        <v>0</v>
      </c>
      <c r="AG13" s="723"/>
      <c r="AH13" s="724" t="s">
        <v>49</v>
      </c>
      <c r="AI13" s="727">
        <f>(AI6-AI12)</f>
        <v>859.09090909090901</v>
      </c>
      <c r="AJ13" s="726" t="s">
        <v>40</v>
      </c>
      <c r="AK13" s="7"/>
      <c r="AL13" s="1111"/>
    </row>
    <row r="14" spans="1:92" ht="16.2" thickBot="1" x14ac:dyDescent="0.35">
      <c r="A14" s="1420"/>
      <c r="B14" s="1433"/>
      <c r="C14" s="1347"/>
      <c r="D14" s="1418"/>
      <c r="E14" s="798"/>
      <c r="F14" s="913" t="s">
        <v>13</v>
      </c>
      <c r="G14" s="880"/>
      <c r="H14" s="871"/>
      <c r="I14" s="800"/>
      <c r="J14" s="871"/>
      <c r="K14" s="871"/>
      <c r="L14" s="880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430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20"/>
      <c r="AB14" s="929">
        <f t="shared" si="5"/>
        <v>0</v>
      </c>
      <c r="AG14" s="702"/>
      <c r="AH14" s="703"/>
      <c r="AI14" s="703"/>
      <c r="AJ14" s="704"/>
      <c r="AK14" s="7"/>
      <c r="AL14" s="1111"/>
    </row>
    <row r="15" spans="1:92" x14ac:dyDescent="0.3">
      <c r="A15" s="745"/>
      <c r="B15" s="1423">
        <v>46270</v>
      </c>
      <c r="C15" s="1423"/>
      <c r="D15" s="790"/>
      <c r="E15" s="790" t="s">
        <v>485</v>
      </c>
      <c r="F15" s="909" t="s">
        <v>12</v>
      </c>
      <c r="G15" s="865"/>
      <c r="H15" s="865"/>
      <c r="I15" s="792"/>
      <c r="J15" s="865"/>
      <c r="K15" s="865"/>
      <c r="L15" s="881"/>
      <c r="M15" s="792">
        <f t="shared" si="7"/>
        <v>0</v>
      </c>
      <c r="N15" s="865"/>
      <c r="O15" s="865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9"/>
      <c r="AB15" s="929">
        <f t="shared" si="5"/>
        <v>0</v>
      </c>
      <c r="AL15" s="1111"/>
      <c r="AM15" s="1111"/>
    </row>
    <row r="16" spans="1:92" x14ac:dyDescent="0.3">
      <c r="A16" s="1402">
        <v>3</v>
      </c>
      <c r="B16" s="1325">
        <v>46270</v>
      </c>
      <c r="C16" s="1325"/>
      <c r="D16" s="544" t="s">
        <v>441</v>
      </c>
      <c r="E16" s="570" t="s">
        <v>486</v>
      </c>
      <c r="F16" s="863" t="s">
        <v>13</v>
      </c>
      <c r="G16" s="877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7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422">
        <f>SUM(M16:M19)</f>
        <v>326.97083025000006</v>
      </c>
      <c r="T16" s="555">
        <f>AVERAGE('LT Ball Mill'!F25:F27)</f>
        <v>1.087</v>
      </c>
      <c r="U16" s="555">
        <f>AVERAGE('LT Ball Mill'!G25:G27)</f>
        <v>0.77333333333333332</v>
      </c>
      <c r="V16" s="555">
        <f>AVERAGE('LT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7">
        <f t="shared" si="5"/>
        <v>71509192.454375014</v>
      </c>
    </row>
    <row r="17" spans="1:32" x14ac:dyDescent="0.3">
      <c r="A17" s="1402"/>
      <c r="B17" s="1325">
        <v>46271</v>
      </c>
      <c r="C17" s="1325"/>
      <c r="D17" s="599" t="s">
        <v>441</v>
      </c>
      <c r="E17" s="599" t="s">
        <v>506</v>
      </c>
      <c r="F17" s="863" t="s">
        <v>12</v>
      </c>
      <c r="G17" s="877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7">
        <v>0.65</v>
      </c>
      <c r="M17" s="553">
        <f>J17*K17*G17-SUM(M16)-'Au Cal Leaching Tank'!$U$10</f>
        <v>53.646499999999968</v>
      </c>
      <c r="N17" s="1403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402"/>
      <c r="T17" s="555">
        <f>AVERAGE('LT Ball Mill'!F28:F30)</f>
        <v>0.90233333333333332</v>
      </c>
      <c r="U17" s="555">
        <f>AVERAGE('LT Ball Mill'!G28:G30)</f>
        <v>0.56999999999999995</v>
      </c>
      <c r="V17" s="555">
        <f>AVERAGE('LT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7">
        <f t="shared" si="5"/>
        <v>121017562.91666658</v>
      </c>
      <c r="AE17" s="43"/>
      <c r="AF17" s="7"/>
    </row>
    <row r="18" spans="1:32" x14ac:dyDescent="0.3">
      <c r="A18" s="1402"/>
      <c r="B18" s="1325"/>
      <c r="C18" s="1325"/>
      <c r="D18" s="599" t="s">
        <v>440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7">
        <v>0.65</v>
      </c>
      <c r="M18" s="553">
        <f>J18*K18*G18-SUM(M16:M17)-'Au Cal Leaching Tank'!$U$10</f>
        <v>119.67800000000005</v>
      </c>
      <c r="N18" s="1403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402"/>
      <c r="T18" s="555">
        <f>AVERAGE('LT Ball Mill'!F31:F33)</f>
        <v>0.81433333333333335</v>
      </c>
      <c r="U18" s="555">
        <f>AVERAGE('LT Ball Mill'!G31:G33)</f>
        <v>0.6333333333333333</v>
      </c>
      <c r="V18" s="555">
        <f>AVERAGE('LT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7">
        <f t="shared" si="5"/>
        <v>243644461.66666678</v>
      </c>
      <c r="AC18" s="117"/>
    </row>
    <row r="19" spans="1:32" x14ac:dyDescent="0.3">
      <c r="A19" s="1402"/>
      <c r="B19" s="1325">
        <v>46272</v>
      </c>
      <c r="C19" s="1325"/>
      <c r="D19" s="599" t="s">
        <v>169</v>
      </c>
      <c r="E19" s="746" t="s">
        <v>518</v>
      </c>
      <c r="F19" s="863" t="s">
        <v>12</v>
      </c>
      <c r="G19" s="877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7">
        <v>0.73</v>
      </c>
      <c r="M19" s="553">
        <f>J19*K19*G19-SUM(M16:M18)-'Au Cal Leaching Tank'!$U$10</f>
        <v>127.33200000000005</v>
      </c>
      <c r="N19" s="1424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402"/>
      <c r="T19" s="555">
        <f>AVERAGE('LT Ball Mill'!F34:F36)</f>
        <v>0.91199999999999992</v>
      </c>
      <c r="U19" s="555">
        <f>AVERAGE('LT Ball Mill'!G34:G36)</f>
        <v>0.95333333333333325</v>
      </c>
      <c r="V19" s="555">
        <f>AVERAGE('LT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7">
        <f t="shared" si="5"/>
        <v>290316960.00000006</v>
      </c>
    </row>
    <row r="20" spans="1:32" x14ac:dyDescent="0.3">
      <c r="A20" s="1419">
        <v>4</v>
      </c>
      <c r="B20" s="1321">
        <v>46272</v>
      </c>
      <c r="C20" s="1321"/>
      <c r="D20" s="548" t="s">
        <v>509</v>
      </c>
      <c r="E20" s="623" t="s">
        <v>549</v>
      </c>
      <c r="F20" s="781" t="s">
        <v>13</v>
      </c>
      <c r="G20" s="878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8">
        <v>0.73</v>
      </c>
      <c r="M20" s="485">
        <f>J20*K20*G20-'Au Cal Leaching Tank'!$U$11</f>
        <v>58.259900000000002</v>
      </c>
      <c r="N20" s="1425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426">
        <f>SUM(M20:M23)</f>
        <v>316.93529999999998</v>
      </c>
      <c r="T20" s="583">
        <f>AVERAGE('LT Ball Mill'!F37:F39)</f>
        <v>0.53033333333333343</v>
      </c>
      <c r="U20" s="583">
        <f>AVERAGE('LT Ball Mill'!G37:G39)</f>
        <v>1.07</v>
      </c>
      <c r="V20" s="583">
        <f>AVERAGE('LT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8">
        <f t="shared" si="5"/>
        <v>77242917.416666687</v>
      </c>
    </row>
    <row r="21" spans="1:32" x14ac:dyDescent="0.3">
      <c r="A21" s="1419"/>
      <c r="B21" s="1321">
        <v>46273</v>
      </c>
      <c r="C21" s="1321"/>
      <c r="D21" s="549" t="s">
        <v>169</v>
      </c>
      <c r="E21" s="549" t="s">
        <v>519</v>
      </c>
      <c r="F21" s="781" t="s">
        <v>12</v>
      </c>
      <c r="G21" s="878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8">
        <v>0.75</v>
      </c>
      <c r="M21" s="485">
        <f>J21*K21*G21-'Au Cal Leaching Tank'!$U$11-SUM(M20)</f>
        <v>106.05519999999997</v>
      </c>
      <c r="N21" s="1421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426"/>
      <c r="T21" s="583">
        <f>AVERAGE('LT Ball Mill'!F40:F42)</f>
        <v>0.64666666666666672</v>
      </c>
      <c r="U21" s="583">
        <f>AVERAGE('LT Ball Mill'!G40:G42)</f>
        <v>0.96333333333333326</v>
      </c>
      <c r="V21" s="583">
        <f>AVERAGE('LT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8">
        <f t="shared" si="5"/>
        <v>171455906.66666663</v>
      </c>
    </row>
    <row r="22" spans="1:32" x14ac:dyDescent="0.3">
      <c r="A22" s="1419"/>
      <c r="B22" s="1321"/>
      <c r="C22" s="1321"/>
      <c r="D22" s="747" t="s">
        <v>523</v>
      </c>
      <c r="E22" s="748" t="s">
        <v>529</v>
      </c>
      <c r="F22" s="781" t="s">
        <v>13</v>
      </c>
      <c r="G22" s="878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8">
        <v>0.75</v>
      </c>
      <c r="M22" s="485">
        <f>J22*K22*G22-'Au Cal Leaching Tank'!$U$11-SUM(M20:M21)</f>
        <v>87.771600000000035</v>
      </c>
      <c r="N22" s="1427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426"/>
      <c r="T22" s="583">
        <f>AVERAGE('LT Ball Mill'!F43:F45)</f>
        <v>0.6349999999999999</v>
      </c>
      <c r="U22" s="583">
        <f>AVERAGE('LT Ball Mill'!G43:G45)</f>
        <v>1.0333333333333334</v>
      </c>
      <c r="V22" s="583">
        <f>AVERAGE('LT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8">
        <f t="shared" si="5"/>
        <v>139337415.00000003</v>
      </c>
    </row>
    <row r="23" spans="1:32" ht="28.8" x14ac:dyDescent="0.3">
      <c r="A23" s="1419"/>
      <c r="B23" s="1321">
        <v>46274</v>
      </c>
      <c r="C23" s="1321"/>
      <c r="D23" s="748" t="s">
        <v>169</v>
      </c>
      <c r="E23" s="749" t="s">
        <v>521</v>
      </c>
      <c r="F23" s="781" t="s">
        <v>12</v>
      </c>
      <c r="G23" s="878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8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426"/>
      <c r="T23" s="583">
        <f>AVERAGE('LT Ball Mill'!F46:F48)</f>
        <v>0.59233333333333327</v>
      </c>
      <c r="U23" s="583">
        <f>AVERAGE('LT Ball Mill'!G46:G48)</f>
        <v>0.66666666666666663</v>
      </c>
      <c r="V23" s="583">
        <f>AVERAGE('LT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8">
        <f t="shared" si="5"/>
        <v>96029968.499999955</v>
      </c>
    </row>
    <row r="24" spans="1:32" x14ac:dyDescent="0.3">
      <c r="A24" s="745"/>
      <c r="B24" s="1314">
        <v>46274</v>
      </c>
      <c r="C24" s="1314"/>
      <c r="D24" s="750" t="s">
        <v>523</v>
      </c>
      <c r="E24" s="751" t="s">
        <v>548</v>
      </c>
      <c r="F24" s="745" t="s">
        <v>13</v>
      </c>
      <c r="G24" s="882"/>
      <c r="H24" s="233"/>
      <c r="I24" s="154"/>
      <c r="J24" s="233"/>
      <c r="K24" s="233"/>
      <c r="L24" s="882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9">
        <f t="shared" si="5"/>
        <v>0</v>
      </c>
    </row>
    <row r="25" spans="1:32" x14ac:dyDescent="0.3">
      <c r="A25" s="1402">
        <v>5</v>
      </c>
      <c r="B25" s="1325">
        <v>46275</v>
      </c>
      <c r="C25" s="1325"/>
      <c r="D25" s="575" t="s">
        <v>169</v>
      </c>
      <c r="E25" s="576" t="s">
        <v>522</v>
      </c>
      <c r="F25" s="863" t="s">
        <v>12</v>
      </c>
      <c r="G25" s="877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7">
        <v>0.75</v>
      </c>
      <c r="M25" s="553">
        <f>J25*K25*G25-'Au Cal Leaching Tank'!$U$12</f>
        <v>123.06580000000004</v>
      </c>
      <c r="N25" s="1403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422">
        <f>SUM(M25:M27)</f>
        <v>266.98580000000004</v>
      </c>
      <c r="T25" s="555">
        <f>AVERAGE('LT Ball Mill'!F54)</f>
        <v>0.73</v>
      </c>
      <c r="U25" s="555">
        <f>AVERAGE('LT Ball Mill'!G54)</f>
        <v>0.63</v>
      </c>
      <c r="V25" s="555">
        <f>AVERAGE('LT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7">
        <f t="shared" si="5"/>
        <v>224595085.00000006</v>
      </c>
    </row>
    <row r="26" spans="1:32" x14ac:dyDescent="0.3">
      <c r="A26" s="1402"/>
      <c r="B26" s="1325"/>
      <c r="C26" s="1325"/>
      <c r="D26" s="577" t="s">
        <v>541</v>
      </c>
      <c r="E26" s="578"/>
      <c r="F26" s="863" t="s">
        <v>13</v>
      </c>
      <c r="G26" s="877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7">
        <v>0.75</v>
      </c>
      <c r="M26" s="553">
        <f>(J26*K26*G26-'Au Cal Leaching Tank'!$U$12)-M25</f>
        <v>139.02199999999993</v>
      </c>
      <c r="N26" s="1425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422"/>
      <c r="T26" s="555">
        <f>AVERAGE('LT Ball Mill'!F55:F57)</f>
        <v>0.51600000000000001</v>
      </c>
      <c r="U26" s="555">
        <f>AVERAGE('LT Ball Mill'!G55:G57)</f>
        <v>0.43</v>
      </c>
      <c r="V26" s="555">
        <f>AVERAGE('LT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7">
        <f t="shared" si="5"/>
        <v>179338379.99999991</v>
      </c>
    </row>
    <row r="27" spans="1:32" ht="28.8" x14ac:dyDescent="0.3">
      <c r="A27" s="1402"/>
      <c r="B27" s="1325">
        <v>46276</v>
      </c>
      <c r="C27" s="1325"/>
      <c r="D27" s="577" t="s">
        <v>540</v>
      </c>
      <c r="E27" s="838" t="s">
        <v>554</v>
      </c>
      <c r="F27" s="863" t="s">
        <v>12</v>
      </c>
      <c r="G27" s="877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7">
        <v>0.75</v>
      </c>
      <c r="M27" s="553">
        <f>(J27*K27*G27-'Au Cal Leaching Tank'!$U$12)-SUM(M25:M26)</f>
        <v>4.8980000000000814</v>
      </c>
      <c r="N27" s="1403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422"/>
      <c r="T27" s="555">
        <f>AVERAGE('LT Ball Mill'!F55:F57)</f>
        <v>0.51600000000000001</v>
      </c>
      <c r="U27" s="555">
        <f>AVERAGE('LT Ball Mill'!G55:G57)</f>
        <v>0.43</v>
      </c>
      <c r="V27" s="555">
        <f>AVERAGE('LT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7">
        <f t="shared" si="5"/>
        <v>6318420.0000001052</v>
      </c>
      <c r="AD27" s="444"/>
    </row>
    <row r="28" spans="1:32" x14ac:dyDescent="0.3">
      <c r="A28" s="781"/>
      <c r="B28" s="1321">
        <v>46276</v>
      </c>
      <c r="C28" s="1321"/>
      <c r="D28" s="786" t="s">
        <v>540</v>
      </c>
      <c r="E28" s="972" t="s">
        <v>582</v>
      </c>
      <c r="F28" s="781" t="s">
        <v>12</v>
      </c>
      <c r="G28" s="878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8">
        <v>0.75</v>
      </c>
      <c r="M28" s="485">
        <f>(J28*K28*G28)-'Au Cal Leaching Tank'!$U$13</f>
        <v>60.108412500000014</v>
      </c>
      <c r="N28" s="1403"/>
      <c r="O28" s="888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426">
        <f>SUM(M28:M31)</f>
        <v>277.03691250000003</v>
      </c>
      <c r="T28" s="583">
        <f>AVERAGE('LT Ball Mill'!F58:F60)</f>
        <v>1.4286666666666665</v>
      </c>
      <c r="U28" s="583">
        <f>AVERAGE('LT Ball Mill'!G58:G60)</f>
        <v>0.99333333333333329</v>
      </c>
      <c r="V28" s="583">
        <f>AVERAGE('LT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8">
        <f t="shared" si="5"/>
        <v>214687213.31250003</v>
      </c>
      <c r="AD28" s="444"/>
    </row>
    <row r="29" spans="1:32" ht="28.8" x14ac:dyDescent="0.3">
      <c r="A29" s="1419">
        <v>6</v>
      </c>
      <c r="B29" s="1321">
        <v>46276</v>
      </c>
      <c r="C29" s="1321"/>
      <c r="D29" s="487" t="s">
        <v>550</v>
      </c>
      <c r="E29" s="837" t="s">
        <v>547</v>
      </c>
      <c r="F29" s="781" t="s">
        <v>13</v>
      </c>
      <c r="G29" s="878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8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426"/>
      <c r="T29" s="583">
        <f>AVERAGE('LT Ball Mill'!F61:F63)</f>
        <v>0.26499999999999996</v>
      </c>
      <c r="U29" s="583">
        <f>AVERAGE('LT Ball Mill'!G61:G63)</f>
        <v>0.57333333333333336</v>
      </c>
      <c r="V29" s="583">
        <f>AVERAGE('LT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8">
        <f t="shared" si="5"/>
        <v>33202181.250000007</v>
      </c>
    </row>
    <row r="30" spans="1:32" ht="28.8" x14ac:dyDescent="0.3">
      <c r="A30" s="1419"/>
      <c r="B30" s="1321">
        <v>46277</v>
      </c>
      <c r="C30" s="1321"/>
      <c r="D30" s="623" t="s">
        <v>551</v>
      </c>
      <c r="E30" s="752" t="s">
        <v>552</v>
      </c>
      <c r="F30" s="781" t="s">
        <v>12</v>
      </c>
      <c r="G30" s="878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8">
        <v>0.75</v>
      </c>
      <c r="M30" s="485">
        <f>(J30*K30*G30)-'Au Cal Leaching Tank'!$U$13-SUM(M28:M29)</f>
        <v>120.49319999999999</v>
      </c>
      <c r="N30" s="1421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426"/>
      <c r="T30" s="583">
        <f>AVERAGE('LT Ball Mill'!F64:F66)</f>
        <v>0.30533333333333329</v>
      </c>
      <c r="U30" s="583">
        <f>AVERAGE('LT Ball Mill'!G64:G66)</f>
        <v>0.55333333333333334</v>
      </c>
      <c r="V30" s="583">
        <f>AVERAGE('LT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8">
        <f t="shared" si="5"/>
        <v>91976475.999999985</v>
      </c>
    </row>
    <row r="31" spans="1:32" x14ac:dyDescent="0.3">
      <c r="A31" s="1419"/>
      <c r="B31" s="1321"/>
      <c r="C31" s="1321"/>
      <c r="D31" s="753" t="s">
        <v>570</v>
      </c>
      <c r="E31" s="753" t="s">
        <v>571</v>
      </c>
      <c r="F31" s="781" t="s">
        <v>13</v>
      </c>
      <c r="G31" s="878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8">
        <v>0.75</v>
      </c>
      <c r="M31" s="485">
        <f>(J31*K31*G31)-'Au Cal Leaching Tank'!$U$13-SUM(M28:M30)</f>
        <v>46.31880000000001</v>
      </c>
      <c r="N31" s="1421"/>
      <c r="O31" s="485" t="str">
        <f t="shared" ref="O31:O42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426"/>
      <c r="T31" s="583">
        <f>AVERAGE('LT Ball Mill'!F64:F66)</f>
        <v>0.30533333333333329</v>
      </c>
      <c r="U31" s="583">
        <f>AVERAGE('LT Ball Mill'!G64:G66)</f>
        <v>0.55333333333333334</v>
      </c>
      <c r="V31" s="583">
        <f>AVERAGE('LT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8">
        <f t="shared" si="5"/>
        <v>35356684.000000007</v>
      </c>
      <c r="AC31" s="136"/>
    </row>
    <row r="32" spans="1:32" x14ac:dyDescent="0.3">
      <c r="A32" s="1407"/>
      <c r="B32" s="1314">
        <v>46278</v>
      </c>
      <c r="C32" s="1314"/>
      <c r="D32" s="754" t="s">
        <v>572</v>
      </c>
      <c r="E32" s="754" t="s">
        <v>571</v>
      </c>
      <c r="F32" s="745" t="s">
        <v>12</v>
      </c>
      <c r="G32" s="894"/>
      <c r="H32" s="233"/>
      <c r="I32" s="154"/>
      <c r="J32" s="233"/>
      <c r="K32" s="233"/>
      <c r="L32" s="882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9">
        <f t="shared" si="5"/>
        <v>0</v>
      </c>
    </row>
    <row r="33" spans="1:33" x14ac:dyDescent="0.3">
      <c r="A33" s="1408"/>
      <c r="B33" s="1314">
        <v>46278</v>
      </c>
      <c r="C33" s="1314"/>
      <c r="D33" s="754" t="s">
        <v>572</v>
      </c>
      <c r="E33" s="754" t="s">
        <v>571</v>
      </c>
      <c r="F33" s="745" t="s">
        <v>13</v>
      </c>
      <c r="G33" s="233"/>
      <c r="H33" s="233"/>
      <c r="I33" s="872"/>
      <c r="J33" s="233"/>
      <c r="K33" s="233"/>
      <c r="L33" s="233"/>
      <c r="M33" s="872"/>
      <c r="N33" s="233"/>
      <c r="O33" s="872"/>
      <c r="P33" s="233"/>
      <c r="Q33" s="872"/>
      <c r="R33" s="233"/>
      <c r="S33" s="13"/>
      <c r="T33" s="6"/>
      <c r="U33" s="6"/>
      <c r="V33" s="6"/>
      <c r="W33" s="6"/>
      <c r="X33" s="13"/>
      <c r="Y33" s="13"/>
      <c r="Z33" s="745"/>
      <c r="AB33" s="929">
        <f t="shared" si="5"/>
        <v>0</v>
      </c>
    </row>
    <row r="34" spans="1:33" x14ac:dyDescent="0.3">
      <c r="B34" s="1451">
        <v>46279</v>
      </c>
      <c r="C34" s="1452"/>
      <c r="D34" s="754" t="s">
        <v>572</v>
      </c>
      <c r="E34" s="754" t="s">
        <v>571</v>
      </c>
      <c r="F34" s="745" t="s">
        <v>12</v>
      </c>
      <c r="G34" s="894"/>
      <c r="H34" s="233"/>
      <c r="I34" s="233"/>
      <c r="J34" s="233"/>
      <c r="K34" s="233"/>
      <c r="L34" s="882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9">
        <f t="shared" si="5"/>
        <v>0</v>
      </c>
    </row>
    <row r="35" spans="1:33" ht="15" thickBot="1" x14ac:dyDescent="0.35">
      <c r="A35" s="1416">
        <v>7</v>
      </c>
      <c r="B35" s="1453">
        <v>46279</v>
      </c>
      <c r="C35" s="1454"/>
      <c r="D35" s="755" t="s">
        <v>169</v>
      </c>
      <c r="E35" s="756" t="s">
        <v>581</v>
      </c>
      <c r="F35" s="863" t="s">
        <v>13</v>
      </c>
      <c r="G35" s="877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7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438">
        <f>SUM(M35:M37)</f>
        <v>246.09634370699999</v>
      </c>
      <c r="T35" s="555">
        <f>AVERAGE('LT Ball Mill'!F67:F69)</f>
        <v>0.63200000000000001</v>
      </c>
      <c r="U35" s="555">
        <f>AVERAGE('LT Ball Mill'!G67:G69)</f>
        <v>0.58666666666666678</v>
      </c>
      <c r="V35" s="555">
        <f>AVERAGE('LT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8">
        <f t="shared" si="5"/>
        <v>126415465.03999998</v>
      </c>
      <c r="AC35" s="10"/>
    </row>
    <row r="36" spans="1:33" x14ac:dyDescent="0.3">
      <c r="A36" s="1416"/>
      <c r="B36" s="1447">
        <v>46280</v>
      </c>
      <c r="C36" s="1448"/>
      <c r="D36" s="816" t="s">
        <v>523</v>
      </c>
      <c r="E36" s="816" t="s">
        <v>590</v>
      </c>
      <c r="F36" s="914" t="s">
        <v>12</v>
      </c>
      <c r="G36" s="877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7">
        <v>0.75</v>
      </c>
      <c r="M36" s="553">
        <f>(J36*K36*G36)-'Au Cal Leaching Tank'!$U$14-SUM(M35)</f>
        <v>81.933325925999952</v>
      </c>
      <c r="N36" s="1403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378"/>
      <c r="T36" s="555">
        <f>AVERAGE('LT Ball Mill'!F70:F72)</f>
        <v>0.36466666666666664</v>
      </c>
      <c r="U36" s="555">
        <f>AVERAGE('LT Ball Mill'!G70:G72)</f>
        <v>0.46666666666666662</v>
      </c>
      <c r="V36" s="555">
        <f>AVERAGE('LT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8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416"/>
      <c r="B37" s="1449"/>
      <c r="C37" s="1450"/>
      <c r="D37" s="769" t="s">
        <v>516</v>
      </c>
      <c r="E37" s="836" t="s">
        <v>630</v>
      </c>
      <c r="F37" s="915" t="s">
        <v>13</v>
      </c>
      <c r="G37" s="895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7">
        <v>0.75</v>
      </c>
      <c r="M37" s="553">
        <f>(J37*K37*G37)-'Au Cal Leaching Tank'!$U$14-SUM(M35:M36)</f>
        <v>84.15322978100005</v>
      </c>
      <c r="N37" s="1403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379"/>
      <c r="T37" s="555">
        <f>AVERAGE('LT Ball Mill'!F73:F75)</f>
        <v>0.61</v>
      </c>
      <c r="U37" s="555">
        <f>AVERAGE('LT Ball Mill'!G73:G75)</f>
        <v>0.55333333333333334</v>
      </c>
      <c r="V37" s="555">
        <f>AVERAGE('LT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8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415">
        <v>8</v>
      </c>
      <c r="B38" s="1443">
        <v>46281</v>
      </c>
      <c r="C38" s="1444"/>
      <c r="D38" s="487" t="s">
        <v>626</v>
      </c>
      <c r="E38" s="826" t="s">
        <v>592</v>
      </c>
      <c r="F38" s="916" t="s">
        <v>12</v>
      </c>
      <c r="G38" s="896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8">
        <v>0.75</v>
      </c>
      <c r="M38" s="884">
        <f>(J38*K38*G38)-'Au Cal Leaching Tank'!$U$15</f>
        <v>117.10293023999996</v>
      </c>
      <c r="N38" s="1428">
        <f>SUM(M38:M39)</f>
        <v>171.64785532499997</v>
      </c>
      <c r="O38" s="532">
        <f t="shared" si="15"/>
        <v>9.7585775199999976</v>
      </c>
      <c r="P38" s="934">
        <f t="shared" si="19"/>
        <v>12</v>
      </c>
      <c r="Q38" s="485">
        <f t="shared" si="20"/>
        <v>720</v>
      </c>
      <c r="R38" s="485">
        <f>'Milling Down Time Hours'!G37</f>
        <v>0</v>
      </c>
      <c r="S38" s="1428">
        <f>SUM(M38:M41)</f>
        <v>365.71778205599998</v>
      </c>
      <c r="T38" s="827">
        <f>AVERAGE('LT Ball Mill'!F76:F78)</f>
        <v>0.45166666666666666</v>
      </c>
      <c r="U38" s="827">
        <f>AVERAGE('LT Ball Mill'!G76:G78)</f>
        <v>0.6333333333333333</v>
      </c>
      <c r="V38" s="827">
        <f>AVERAGE('LT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8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415"/>
      <c r="B39" s="1445"/>
      <c r="C39" s="1446"/>
      <c r="D39" s="826" t="s">
        <v>598</v>
      </c>
      <c r="E39" s="826" t="s">
        <v>599</v>
      </c>
      <c r="F39" s="911" t="s">
        <v>13</v>
      </c>
      <c r="G39" s="896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8">
        <v>0.75</v>
      </c>
      <c r="M39" s="884">
        <f>(J39*K39*G39)-'Au Cal Leaching Tank'!$U$15-SUM(M38)</f>
        <v>54.544925085000003</v>
      </c>
      <c r="N39" s="1435"/>
      <c r="O39" s="532">
        <f>IFERROR(M39/P39,"")</f>
        <v>4.9888650992378052</v>
      </c>
      <c r="P39" s="934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434"/>
      <c r="T39" s="527">
        <f>AVERAGE('LT Ball Mill'!F79:F81)</f>
        <v>0.58799999999999997</v>
      </c>
      <c r="U39" s="527">
        <f>AVERAGE('LT Ball Mill'!G79:G81)</f>
        <v>0.57999999999999996</v>
      </c>
      <c r="V39" s="527">
        <f>AVERAGE('LT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8">
        <f t="shared" si="5"/>
        <v>80181039.874949992</v>
      </c>
      <c r="AE39" s="1">
        <v>70</v>
      </c>
    </row>
    <row r="40" spans="1:33" ht="37.200000000000003" customHeight="1" thickBot="1" x14ac:dyDescent="0.35">
      <c r="A40" s="1415"/>
      <c r="B40" s="1443">
        <v>46282</v>
      </c>
      <c r="C40" s="1444"/>
      <c r="D40" s="487" t="s">
        <v>626</v>
      </c>
      <c r="E40" s="921" t="s">
        <v>627</v>
      </c>
      <c r="F40" s="916" t="s">
        <v>12</v>
      </c>
      <c r="G40" s="878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8">
        <v>0.75</v>
      </c>
      <c r="M40" s="884">
        <f>(J40*K40*G40)-'Au Cal Leaching Tank'!$U$15-SUM(M38:M39)</f>
        <v>115.12942664999997</v>
      </c>
      <c r="N40" s="1431">
        <f>SUM(M40:M41)</f>
        <v>194.06992673100001</v>
      </c>
      <c r="O40" s="532">
        <f>IFERROR(M40/P40,"")</f>
        <v>9.594118887499997</v>
      </c>
      <c r="P40" s="934">
        <f t="shared" si="19"/>
        <v>12</v>
      </c>
      <c r="Q40" s="554">
        <f t="shared" si="20"/>
        <v>720</v>
      </c>
      <c r="R40" s="554">
        <f>'Milling Down Time Hours'!G39</f>
        <v>0</v>
      </c>
      <c r="S40" s="1434"/>
      <c r="T40" s="474">
        <f>AVERAGE('LT Ball Mill'!F82:F84)</f>
        <v>0.61433333333333329</v>
      </c>
      <c r="U40" s="474">
        <f>AVERAGE('LT Ball Mill'!G82:G84)</f>
        <v>0.59</v>
      </c>
      <c r="V40" s="474">
        <f>AVERAGE('LT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8">
        <f t="shared" si="5"/>
        <v>176819611.09662494</v>
      </c>
      <c r="AC40" s="136"/>
      <c r="AE40" s="1">
        <v>60</v>
      </c>
    </row>
    <row r="41" spans="1:33" ht="29.4" thickBot="1" x14ac:dyDescent="0.35">
      <c r="A41" s="1415"/>
      <c r="B41" s="1445"/>
      <c r="C41" s="1446"/>
      <c r="D41" s="946" t="s">
        <v>598</v>
      </c>
      <c r="E41" s="959" t="s">
        <v>641</v>
      </c>
      <c r="F41" s="947" t="s">
        <v>13</v>
      </c>
      <c r="G41" s="937">
        <v>0.34</v>
      </c>
      <c r="H41" s="934">
        <f>J41-'Au Cal Leaching Tank'!$T$15-SUM(H38:H40)</f>
        <v>215.69916000000012</v>
      </c>
      <c r="I41" s="934">
        <f t="shared" ref="I41:I43" si="21">H41/((720-R41)/60)</f>
        <v>17.974930000000011</v>
      </c>
      <c r="J41" s="934">
        <f t="shared" si="18"/>
        <v>970.64621999999997</v>
      </c>
      <c r="K41" s="450">
        <v>1.22</v>
      </c>
      <c r="L41" s="937">
        <v>0.75</v>
      </c>
      <c r="M41" s="884">
        <f>(J41*K41*G41)-'Au Cal Leaching Tank'!$U$15-SUM(M38:M40)</f>
        <v>78.940500081000039</v>
      </c>
      <c r="N41" s="1455"/>
      <c r="O41" s="532">
        <f>IFERROR(M41/P41,"")</f>
        <v>6.5783750067500035</v>
      </c>
      <c r="P41" s="934">
        <f t="shared" si="19"/>
        <v>12</v>
      </c>
      <c r="Q41" s="554">
        <f t="shared" si="20"/>
        <v>720</v>
      </c>
      <c r="R41" s="554">
        <f>'Milling Down Time Hours'!G40</f>
        <v>0</v>
      </c>
      <c r="S41" s="1435"/>
      <c r="T41" s="978">
        <f>AVERAGE('LT Ball Mill'!F85:F87)</f>
        <v>0.68533333333333335</v>
      </c>
      <c r="U41" s="978">
        <f>AVERAGE('LT Ball Mill'!G85:G87)</f>
        <v>0.55000000000000004</v>
      </c>
      <c r="V41" s="978">
        <f>AVERAGE('LT Ball Mill'!H85:H87)</f>
        <v>9.6166666666666671</v>
      </c>
      <c r="W41" s="979">
        <f t="shared" si="3"/>
        <v>54.10055605551203</v>
      </c>
      <c r="X41" s="934">
        <f t="shared" si="6"/>
        <v>43.417275044550024</v>
      </c>
      <c r="Y41" s="934">
        <f t="shared" si="4"/>
        <v>759.14447577895044</v>
      </c>
      <c r="Z41" s="980">
        <v>10.8</v>
      </c>
      <c r="AB41" s="928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414">
        <v>9</v>
      </c>
      <c r="B42" s="1439">
        <v>46283</v>
      </c>
      <c r="C42" s="1440"/>
      <c r="D42" s="667" t="s">
        <v>646</v>
      </c>
      <c r="E42" s="667" t="s">
        <v>645</v>
      </c>
      <c r="F42" s="961" t="s">
        <v>12</v>
      </c>
      <c r="G42" s="962">
        <v>0.34</v>
      </c>
      <c r="H42" s="965">
        <f>J42-'Au Cal Leaching Tank'!$T$18</f>
        <v>323.54831999999988</v>
      </c>
      <c r="I42" s="965">
        <f t="shared" si="21"/>
        <v>35.619998532110074</v>
      </c>
      <c r="J42" s="965">
        <f t="shared" si="18"/>
        <v>431.3983199999999</v>
      </c>
      <c r="K42" s="963">
        <v>1.22</v>
      </c>
      <c r="L42" s="962">
        <v>0.75</v>
      </c>
      <c r="M42" s="964">
        <f>(J42*K42*G42)-'Au Cal Leaching Tank'!$U$16</f>
        <v>135.87951813599997</v>
      </c>
      <c r="N42" s="1392">
        <f>SUM(M42:M43)</f>
        <v>229.75179256799998</v>
      </c>
      <c r="O42" s="966">
        <f t="shared" si="15"/>
        <v>14.959213005798162</v>
      </c>
      <c r="P42" s="965">
        <f t="shared" si="19"/>
        <v>9.0833333333333339</v>
      </c>
      <c r="Q42" s="977">
        <f t="shared" si="20"/>
        <v>545</v>
      </c>
      <c r="R42" s="965">
        <f>'Milling Down Time Hours'!G41</f>
        <v>175</v>
      </c>
      <c r="S42" s="1392">
        <f>SUM(M42:M45)</f>
        <v>472.85193585999997</v>
      </c>
      <c r="T42" s="1001">
        <f>AVERAGE('LT Ball Mill'!F88:F90)</f>
        <v>0.7679999999999999</v>
      </c>
      <c r="U42" s="1001">
        <f>AVERAGE('LT Ball Mill'!G88:G90)</f>
        <v>0.53666666666666674</v>
      </c>
      <c r="V42" s="1001">
        <f>AVERAGE('LT Ball Mill'!H88:H90)</f>
        <v>12.049999999999999</v>
      </c>
      <c r="W42" s="967">
        <f t="shared" si="3"/>
        <v>104.35546992844796</v>
      </c>
      <c r="X42" s="965">
        <f t="shared" si="6"/>
        <v>72.922008066319989</v>
      </c>
      <c r="Y42" s="965">
        <f t="shared" si="4"/>
        <v>1637.3481935387995</v>
      </c>
      <c r="Z42" s="968">
        <v>4.8</v>
      </c>
      <c r="AB42" s="928">
        <f t="shared" si="5"/>
        <v>260888674.8211199</v>
      </c>
      <c r="AE42" s="1">
        <v>60</v>
      </c>
    </row>
    <row r="43" spans="1:33" ht="15" thickBot="1" x14ac:dyDescent="0.35">
      <c r="A43" s="1414"/>
      <c r="B43" s="1441"/>
      <c r="C43" s="1442"/>
      <c r="D43" s="986" t="s">
        <v>598</v>
      </c>
      <c r="E43" s="976" t="s">
        <v>644</v>
      </c>
      <c r="F43" s="970" t="s">
        <v>13</v>
      </c>
      <c r="G43" s="962">
        <v>0.36</v>
      </c>
      <c r="H43" s="965">
        <f>J43-'Au Cal Leaching Tank'!$T$18-SUM(H42)</f>
        <v>179.74930000000006</v>
      </c>
      <c r="I43" s="965">
        <f t="shared" si="21"/>
        <v>14.979108333333338</v>
      </c>
      <c r="J43" s="965">
        <f>3.14*Z43*((10.7/2)^2)</f>
        <v>611.14761999999996</v>
      </c>
      <c r="K43" s="963">
        <v>1.24</v>
      </c>
      <c r="L43" s="962">
        <v>0.75</v>
      </c>
      <c r="M43" s="964">
        <f>(J43*K43*G43)-'Au Cal Leaching Tank'!$U$16-SUM(M42)</f>
        <v>93.872274432000012</v>
      </c>
      <c r="N43" s="1436"/>
      <c r="O43" s="966">
        <f t="shared" ref="O43:O49" si="22">IFERROR(M43/P43,"")</f>
        <v>7.8226895360000013</v>
      </c>
      <c r="P43" s="965">
        <f t="shared" ref="P43:P45" si="23">(720-R43)/60</f>
        <v>12</v>
      </c>
      <c r="Q43" s="965">
        <f t="shared" si="20"/>
        <v>720</v>
      </c>
      <c r="R43" s="965">
        <f>'Milling Down Time Hours'!G42</f>
        <v>0</v>
      </c>
      <c r="S43" s="1437"/>
      <c r="T43" s="971">
        <f>AVERAGE('LT Ball Mill'!F91:F93)</f>
        <v>0.51666666666666672</v>
      </c>
      <c r="U43" s="971">
        <f>AVERAGE('LT Ball Mill'!G91:G93)</f>
        <v>0.71666666666666667</v>
      </c>
      <c r="V43" s="971">
        <f>AVERAGE('LT Ball Mill'!H91:H93)</f>
        <v>11.409999999999998</v>
      </c>
      <c r="W43" s="967">
        <f t="shared" si="3"/>
        <v>48.500675123200011</v>
      </c>
      <c r="X43" s="965">
        <f t="shared" si="6"/>
        <v>67.275130009600005</v>
      </c>
      <c r="Y43" s="965">
        <f t="shared" si="4"/>
        <v>1071.0826512691199</v>
      </c>
      <c r="Z43" s="968">
        <v>6.8</v>
      </c>
      <c r="AB43" s="928">
        <f t="shared" si="5"/>
        <v>121251687.80800003</v>
      </c>
      <c r="AE43" s="1">
        <v>72</v>
      </c>
    </row>
    <row r="44" spans="1:33" ht="15" thickBot="1" x14ac:dyDescent="0.35">
      <c r="A44" s="1414"/>
      <c r="B44" s="1439">
        <v>46284</v>
      </c>
      <c r="C44" s="1440"/>
      <c r="D44" s="667" t="s">
        <v>646</v>
      </c>
      <c r="E44" s="667" t="s">
        <v>644</v>
      </c>
      <c r="F44" s="961" t="s">
        <v>12</v>
      </c>
      <c r="G44" s="962">
        <v>0.35</v>
      </c>
      <c r="H44" s="965">
        <f>J44-'Au Cal Leaching Tank'!$T$18-SUM(H43)</f>
        <v>575.19733999999971</v>
      </c>
      <c r="I44" s="965">
        <f>H44/((720-R44)/60)</f>
        <v>47.93311166666664</v>
      </c>
      <c r="J44" s="965">
        <f>3.14*Z44*((10.7/2)^2)</f>
        <v>862.7966399999998</v>
      </c>
      <c r="K44" s="963">
        <v>1.23</v>
      </c>
      <c r="L44" s="962">
        <v>0.75</v>
      </c>
      <c r="M44" s="964">
        <f>(J44*K44*G44)-'Au Cal Leaching Tank'!$U$16-SUM(M42:M43)</f>
        <v>98.617655951999893</v>
      </c>
      <c r="N44" s="1392">
        <f>SUM(M44:M45)</f>
        <v>243.10014329199998</v>
      </c>
      <c r="O44" s="966">
        <f t="shared" si="22"/>
        <v>8.2181379959999905</v>
      </c>
      <c r="P44" s="965">
        <f t="shared" si="23"/>
        <v>12</v>
      </c>
      <c r="Q44" s="965">
        <f t="shared" si="20"/>
        <v>720</v>
      </c>
      <c r="R44" s="965">
        <f>'Milling Down Time Hours'!G43</f>
        <v>0</v>
      </c>
      <c r="S44" s="1437"/>
      <c r="T44" s="1001">
        <f>AVERAGE('LT Ball Mill'!F94:F96)</f>
        <v>0.59099999999999997</v>
      </c>
      <c r="U44" s="1001">
        <f>AVERAGE('LT Ball Mill'!G94:G96)</f>
        <v>0.96666666666666679</v>
      </c>
      <c r="V44" s="1001">
        <f>AVERAGE('LT Ball Mill'!H94:H96)</f>
        <v>16.586666666666662</v>
      </c>
      <c r="W44" s="967">
        <f t="shared" si="3"/>
        <v>58.283034667631931</v>
      </c>
      <c r="X44" s="965">
        <f t="shared" si="6"/>
        <v>95.330400753599903</v>
      </c>
      <c r="Y44" s="965">
        <f t="shared" si="4"/>
        <v>1635.7381867238378</v>
      </c>
      <c r="Z44" s="968">
        <v>9.6</v>
      </c>
      <c r="AB44" s="928">
        <f t="shared" si="5"/>
        <v>145707586.66907984</v>
      </c>
      <c r="AE44" s="1">
        <v>72</v>
      </c>
    </row>
    <row r="45" spans="1:33" ht="29.4" thickBot="1" x14ac:dyDescent="0.35">
      <c r="A45" s="1414"/>
      <c r="B45" s="1441"/>
      <c r="C45" s="1442"/>
      <c r="D45" s="986" t="s">
        <v>647</v>
      </c>
      <c r="E45" s="1038" t="s">
        <v>656</v>
      </c>
      <c r="F45" s="970" t="s">
        <v>13</v>
      </c>
      <c r="G45" s="962">
        <v>0.4</v>
      </c>
      <c r="H45" s="965">
        <f>J45-'Au Cal Leaching Tank'!$T$18-SUM(H44)</f>
        <v>332.53620500000022</v>
      </c>
      <c r="I45" s="965">
        <f>H45/((720-R45)/60)</f>
        <v>55.422700833333373</v>
      </c>
      <c r="J45" s="965">
        <f>3.14*Z45*((10.7/2)^2)</f>
        <v>1015.583545</v>
      </c>
      <c r="K45" s="963">
        <v>1.27</v>
      </c>
      <c r="L45" s="962">
        <v>0.75</v>
      </c>
      <c r="M45" s="964">
        <f>(J45*K45*G45)-'Au Cal Leaching Tank'!$U$16-SUM(M42:M44)</f>
        <v>144.48248734000009</v>
      </c>
      <c r="N45" s="1436"/>
      <c r="O45" s="966">
        <f>IFERROR(M45/P45,"")</f>
        <v>24.080414556666682</v>
      </c>
      <c r="P45" s="965">
        <f t="shared" si="23"/>
        <v>6</v>
      </c>
      <c r="Q45" s="965">
        <f t="shared" si="20"/>
        <v>360</v>
      </c>
      <c r="R45" s="965">
        <f>'Milling Down Time Hours'!G44</f>
        <v>360</v>
      </c>
      <c r="S45" s="1393"/>
      <c r="T45" s="971">
        <f>AVERAGE('LT Ball Mill'!F97:F99)</f>
        <v>0.54733333333333334</v>
      </c>
      <c r="U45" s="971">
        <f>AVERAGE('LT Ball Mill'!G97:G99)</f>
        <v>1.2333333333333332</v>
      </c>
      <c r="V45" s="971">
        <f>AVERAGE('LT Ball Mill'!H97:H99)</f>
        <v>18.656666666666666</v>
      </c>
      <c r="W45" s="967">
        <f t="shared" si="3"/>
        <v>79.080081404093377</v>
      </c>
      <c r="X45" s="965">
        <f>M45*U45</f>
        <v>178.19506771933342</v>
      </c>
      <c r="Y45" s="965">
        <f t="shared" si="4"/>
        <v>2695.5616054732682</v>
      </c>
      <c r="Z45" s="968">
        <v>11.3</v>
      </c>
      <c r="AB45" s="928">
        <f t="shared" si="5"/>
        <v>197700203.51023343</v>
      </c>
      <c r="AE45" s="1">
        <v>60</v>
      </c>
    </row>
    <row r="46" spans="1:33" ht="29.4" thickBot="1" x14ac:dyDescent="0.35">
      <c r="A46" s="1413">
        <v>10</v>
      </c>
      <c r="B46" s="1409">
        <v>46285</v>
      </c>
      <c r="C46" s="1410"/>
      <c r="D46" s="451" t="s">
        <v>508</v>
      </c>
      <c r="E46" s="451" t="s">
        <v>655</v>
      </c>
      <c r="F46" s="1033" t="s">
        <v>12</v>
      </c>
      <c r="G46" s="450" t="s">
        <v>684</v>
      </c>
      <c r="H46" s="934" t="s">
        <v>685</v>
      </c>
      <c r="I46" s="934" t="s">
        <v>686</v>
      </c>
      <c r="J46" s="1082" t="s">
        <v>687</v>
      </c>
      <c r="K46" s="450" t="s">
        <v>688</v>
      </c>
      <c r="L46" s="937" t="s">
        <v>689</v>
      </c>
      <c r="M46" s="1034" t="s">
        <v>690</v>
      </c>
      <c r="N46" s="1085" t="s">
        <v>693</v>
      </c>
      <c r="O46" s="1035" t="str">
        <f t="shared" si="22"/>
        <v/>
      </c>
      <c r="P46" s="934">
        <f t="shared" ref="P46" si="24">(720-R46)/60</f>
        <v>0</v>
      </c>
      <c r="Q46" s="934">
        <f t="shared" ref="Q46" si="25">720-R46</f>
        <v>0</v>
      </c>
      <c r="R46" s="934">
        <f>'Milling Down Time Hours'!G45</f>
        <v>720</v>
      </c>
      <c r="S46" s="451"/>
      <c r="T46" s="1036"/>
      <c r="U46" s="1036"/>
      <c r="V46" s="1037"/>
      <c r="W46" s="979" t="e">
        <f t="shared" si="3"/>
        <v>#VALUE!</v>
      </c>
      <c r="X46" s="934" t="e">
        <f t="shared" si="6"/>
        <v>#VALUE!</v>
      </c>
      <c r="Y46" s="934" t="e">
        <f t="shared" si="4"/>
        <v>#VALUE!</v>
      </c>
      <c r="Z46" s="980">
        <v>0</v>
      </c>
      <c r="AB46" s="928" t="e">
        <f>W46*$AC$5</f>
        <v>#VALUE!</v>
      </c>
      <c r="AE46" s="1">
        <v>72</v>
      </c>
    </row>
    <row r="47" spans="1:33" ht="15" customHeight="1" thickBot="1" x14ac:dyDescent="0.35">
      <c r="A47" s="1413"/>
      <c r="B47" s="1411"/>
      <c r="C47" s="1412"/>
      <c r="D47" s="1057" t="s">
        <v>509</v>
      </c>
      <c r="E47" s="1057" t="s">
        <v>655</v>
      </c>
      <c r="F47" s="947" t="s">
        <v>13</v>
      </c>
      <c r="G47" s="934" t="s">
        <v>679</v>
      </c>
      <c r="H47" s="934" t="s">
        <v>679</v>
      </c>
      <c r="I47" s="934" t="s">
        <v>679</v>
      </c>
      <c r="J47" s="934" t="s">
        <v>679</v>
      </c>
      <c r="K47" s="934" t="s">
        <v>679</v>
      </c>
      <c r="L47" s="934" t="s">
        <v>679</v>
      </c>
      <c r="M47" s="934" t="s">
        <v>679</v>
      </c>
      <c r="N47" s="934" t="s">
        <v>679</v>
      </c>
      <c r="O47" s="934" t="s">
        <v>679</v>
      </c>
      <c r="P47" s="934" t="s">
        <v>679</v>
      </c>
      <c r="Q47" s="934" t="s">
        <v>679</v>
      </c>
      <c r="R47" s="934" t="s">
        <v>679</v>
      </c>
      <c r="S47" s="934" t="s">
        <v>679</v>
      </c>
      <c r="T47" s="934" t="s">
        <v>679</v>
      </c>
      <c r="U47" s="934" t="s">
        <v>679</v>
      </c>
      <c r="V47" s="934" t="s">
        <v>679</v>
      </c>
      <c r="W47" s="934" t="s">
        <v>679</v>
      </c>
      <c r="X47" s="934" t="s">
        <v>679</v>
      </c>
      <c r="Y47" s="934" t="s">
        <v>679</v>
      </c>
      <c r="Z47" s="934" t="s">
        <v>679</v>
      </c>
      <c r="AB47" s="928" t="e">
        <f t="shared" si="5"/>
        <v>#VALUE!</v>
      </c>
      <c r="AE47" s="1">
        <v>72</v>
      </c>
    </row>
    <row r="48" spans="1:33" ht="15" customHeight="1" thickBot="1" x14ac:dyDescent="0.35">
      <c r="A48" s="1413"/>
      <c r="B48" s="1409">
        <v>46286</v>
      </c>
      <c r="C48" s="1410"/>
      <c r="D48" s="451" t="s">
        <v>508</v>
      </c>
      <c r="E48" s="451" t="s">
        <v>663</v>
      </c>
      <c r="F48" s="1033" t="s">
        <v>12</v>
      </c>
      <c r="G48" s="937">
        <v>0.3</v>
      </c>
      <c r="H48" s="934">
        <f>J48-'Au Cal Leaching Tank'!$T$18</f>
        <v>62.911834999999996</v>
      </c>
      <c r="I48" s="934">
        <f t="shared" ref="I48:I54" si="26">H48/((720-R48)/60)</f>
        <v>26.032483448275862</v>
      </c>
      <c r="J48" s="934">
        <f t="shared" ref="J48:J51" si="27">3.14*Z48*((10.7/2)^2)</f>
        <v>170.76183499999999</v>
      </c>
      <c r="K48" s="450">
        <v>1.19</v>
      </c>
      <c r="L48" s="937">
        <v>0.72</v>
      </c>
      <c r="M48" s="1034">
        <f>(J48*K48*G48)-'Au Cal Leaching Tank'!$U$17</f>
        <v>14.721287594999986</v>
      </c>
      <c r="N48" s="1404">
        <f>SUM(M48:M49)</f>
        <v>95.832260473499986</v>
      </c>
      <c r="O48" s="1035">
        <f>IFERROR(M48/P48,"")</f>
        <v>6.0915672806896497</v>
      </c>
      <c r="P48" s="934">
        <f t="shared" ref="P48:P49" si="28">(720-R48)/60</f>
        <v>2.4166666666666665</v>
      </c>
      <c r="Q48" s="934">
        <f t="shared" ref="Q48:Q49" si="29">720-R48</f>
        <v>145</v>
      </c>
      <c r="R48" s="934">
        <f>'Milling Down Time Hours'!G47</f>
        <v>575</v>
      </c>
      <c r="S48" s="1404">
        <f>SUM(M48:M54)</f>
        <v>389.3044488509999</v>
      </c>
      <c r="T48" s="1080">
        <f>AVERAGE('LT Ball Mill'!F100:F102)</f>
        <v>0.9860000000000001</v>
      </c>
      <c r="U48" s="1080">
        <f>AVERAGE('LT Ball Mill'!G100:G102)</f>
        <v>1.99</v>
      </c>
      <c r="V48" s="1080">
        <f>AVERAGE('LT Ball Mill'!H100:H102)</f>
        <v>20.026666666666667</v>
      </c>
      <c r="W48" s="934">
        <f>T48*M48</f>
        <v>14.515189568669987</v>
      </c>
      <c r="X48" s="934">
        <f>U48*M48</f>
        <v>29.295362314049971</v>
      </c>
      <c r="Y48" s="934">
        <f>V48*M48</f>
        <v>294.81831956919973</v>
      </c>
      <c r="Z48" s="980">
        <v>1.9</v>
      </c>
      <c r="AB48" s="928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413"/>
      <c r="B49" s="1411"/>
      <c r="C49" s="1412"/>
      <c r="D49" s="1075" t="s">
        <v>541</v>
      </c>
      <c r="E49" s="1081" t="s">
        <v>681</v>
      </c>
      <c r="F49" s="947" t="s">
        <v>13</v>
      </c>
      <c r="G49" s="937">
        <v>0.28999999999999998</v>
      </c>
      <c r="H49" s="934">
        <f>J49-'Au Cal Leaching Tank'!$T$18-SUM(H48)</f>
        <v>242.66155499999991</v>
      </c>
      <c r="I49" s="934">
        <f t="shared" si="26"/>
        <v>21.101004782608687</v>
      </c>
      <c r="J49" s="934">
        <f t="shared" si="27"/>
        <v>413.42338999999993</v>
      </c>
      <c r="K49" s="450">
        <v>1.1850000000000001</v>
      </c>
      <c r="L49" s="937">
        <v>0.67</v>
      </c>
      <c r="M49" s="1034">
        <f>(J49*K49*G49)-'Au Cal Leaching Tank'!$U$17-SUM(M48)</f>
        <v>81.110972878500007</v>
      </c>
      <c r="N49" s="1405"/>
      <c r="O49" s="1035">
        <f t="shared" si="22"/>
        <v>7.0531280763913049</v>
      </c>
      <c r="P49" s="934">
        <f t="shared" si="28"/>
        <v>11.5</v>
      </c>
      <c r="Q49" s="934">
        <f t="shared" si="29"/>
        <v>690</v>
      </c>
      <c r="R49" s="934">
        <f>'Milling Down Time Hours'!G48</f>
        <v>30</v>
      </c>
      <c r="S49" s="1406"/>
      <c r="T49" s="978">
        <f>AVERAGE('LT Ball Mill'!F103:F105)</f>
        <v>0.55333333333333334</v>
      </c>
      <c r="U49" s="978">
        <f>AVERAGE('LT Ball Mill'!G103:G105)</f>
        <v>1.2133333333333332</v>
      </c>
      <c r="V49" s="978">
        <f>AVERAGE('LT Ball Mill'!H103:H105)</f>
        <v>18.866666666666667</v>
      </c>
      <c r="W49" s="934">
        <f>T49*M49</f>
        <v>44.881404992770008</v>
      </c>
      <c r="X49" s="934">
        <f>U49*M49</f>
        <v>98.414647092579997</v>
      </c>
      <c r="Y49" s="934">
        <f>V49*M49</f>
        <v>1530.2936883077002</v>
      </c>
      <c r="Z49" s="980">
        <v>4.5999999999999996</v>
      </c>
      <c r="AB49" s="928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413"/>
      <c r="B50" s="1409">
        <v>46287</v>
      </c>
      <c r="C50" s="1410"/>
      <c r="D50" s="451" t="s">
        <v>682</v>
      </c>
      <c r="E50" s="451" t="s">
        <v>683</v>
      </c>
      <c r="F50" s="1033" t="s">
        <v>12</v>
      </c>
      <c r="G50" s="937">
        <v>0.35</v>
      </c>
      <c r="H50" s="934">
        <f>J50-'Au Cal Leaching Tank'!$T$18-SUM(H48:H49)</f>
        <v>143.79944</v>
      </c>
      <c r="I50" s="934">
        <f t="shared" si="26"/>
        <v>11.983286666666666</v>
      </c>
      <c r="J50" s="934">
        <f t="shared" si="27"/>
        <v>557.22282999999993</v>
      </c>
      <c r="K50" s="450">
        <v>1.2250000000000001</v>
      </c>
      <c r="L50" s="937">
        <v>0.61</v>
      </c>
      <c r="M50" s="1034">
        <f>(J50*K50*G50)-'Au Cal Leaching Tank'!$U$17-SUM(M48:M49)</f>
        <v>96.836340388999986</v>
      </c>
      <c r="N50" s="1404">
        <f>SUM(M50:M51)</f>
        <v>182.93176135649995</v>
      </c>
      <c r="O50" s="1035">
        <f t="shared" ref="O50:O53" si="30">IFERROR(M50/P50,"")</f>
        <v>8.0696950324166661</v>
      </c>
      <c r="P50" s="960">
        <f t="shared" ref="P50:P58" si="31">(720-R50)/60</f>
        <v>12</v>
      </c>
      <c r="Q50" s="960">
        <f t="shared" ref="Q50:Q51" si="32">720-R50</f>
        <v>720</v>
      </c>
      <c r="R50" s="960">
        <f>'Milling Down Time Hours'!G49</f>
        <v>0</v>
      </c>
      <c r="S50" s="1406"/>
      <c r="T50" s="1105">
        <f>AVERAGE('LT Ball Mill'!F106:F108)</f>
        <v>0.82600000000000007</v>
      </c>
      <c r="U50" s="1105">
        <f>AVERAGE('LT Ball Mill'!G106:G108)</f>
        <v>1.1100000000000001</v>
      </c>
      <c r="V50" s="1105">
        <f>AVERAGE('LT Ball Mill'!H106:H108)</f>
        <v>19.606666666666669</v>
      </c>
      <c r="W50" s="1091">
        <f>T50*M50</f>
        <v>79.986817161313994</v>
      </c>
      <c r="X50" s="960">
        <f>U50*M50</f>
        <v>107.48833783178999</v>
      </c>
      <c r="Y50" s="960">
        <f>V50*M50</f>
        <v>1898.6378472269932</v>
      </c>
      <c r="Z50" s="947">
        <v>6.2</v>
      </c>
      <c r="AE50" s="1">
        <v>72</v>
      </c>
      <c r="AG50" s="1">
        <v>69</v>
      </c>
    </row>
    <row r="51" spans="1:33" ht="15" customHeight="1" thickBot="1" x14ac:dyDescent="0.35">
      <c r="A51" s="1413"/>
      <c r="B51" s="1411"/>
      <c r="C51" s="1412"/>
      <c r="D51" s="1088" t="s">
        <v>509</v>
      </c>
      <c r="E51" s="1088" t="s">
        <v>697</v>
      </c>
      <c r="F51" s="947" t="s">
        <v>13</v>
      </c>
      <c r="G51" s="937">
        <v>0.35</v>
      </c>
      <c r="H51" s="934">
        <f>J51-'Au Cal Leaching Tank'!$T$18-SUM(H48:H50)</f>
        <v>197.72422999999992</v>
      </c>
      <c r="I51" s="934">
        <f t="shared" si="26"/>
        <v>21.375592432432423</v>
      </c>
      <c r="J51" s="934">
        <f t="shared" si="27"/>
        <v>754.94705999999985</v>
      </c>
      <c r="K51" s="450">
        <v>1.23</v>
      </c>
      <c r="L51" s="937">
        <v>0.67</v>
      </c>
      <c r="M51" s="1034">
        <f>(J51*K51*G51)-'Au Cal Leaching Tank'!$U$17-SUM(M48:M50)</f>
        <v>86.095420967499962</v>
      </c>
      <c r="N51" s="1405"/>
      <c r="O51" s="1035">
        <f t="shared" si="30"/>
        <v>9.307613077567563</v>
      </c>
      <c r="P51" s="934">
        <f t="shared" si="31"/>
        <v>9.25</v>
      </c>
      <c r="Q51" s="934">
        <f t="shared" si="32"/>
        <v>555</v>
      </c>
      <c r="R51" s="934">
        <f>'Milling Down Time Hours'!G50</f>
        <v>165</v>
      </c>
      <c r="S51" s="1406"/>
      <c r="T51" s="1117">
        <f>AVERAGE('LT Ball Mill'!F109:F111)</f>
        <v>0.749</v>
      </c>
      <c r="U51" s="1117">
        <f>AVERAGE('LT Ball Mill'!G109:G111)</f>
        <v>1.0666666666666667</v>
      </c>
      <c r="V51" s="1117">
        <f>AVERAGE('LT Ball Mill'!H109:H111)</f>
        <v>15.506666666666668</v>
      </c>
      <c r="W51" s="979">
        <f t="shared" ref="W51:W53" si="33">T51*M51</f>
        <v>64.485470304657468</v>
      </c>
      <c r="X51" s="934">
        <f t="shared" ref="X51:X53" si="34">U51*M51</f>
        <v>91.835115698666627</v>
      </c>
      <c r="Y51" s="934">
        <f t="shared" ref="Y51:Y53" si="35">V51*M51</f>
        <v>1335.0529944693662</v>
      </c>
      <c r="Z51" s="980">
        <v>8.4</v>
      </c>
      <c r="AA51" s="1">
        <f>9*1.2</f>
        <v>10.799999999999999</v>
      </c>
      <c r="AE51" s="1">
        <v>72</v>
      </c>
      <c r="AG51" s="1">
        <v>71</v>
      </c>
    </row>
    <row r="52" spans="1:33" ht="15" thickBot="1" x14ac:dyDescent="0.35">
      <c r="A52" s="1413"/>
      <c r="B52" s="1409">
        <v>46288</v>
      </c>
      <c r="C52" s="1410"/>
      <c r="D52" s="451" t="s">
        <v>508</v>
      </c>
      <c r="E52" s="451" t="s">
        <v>699</v>
      </c>
      <c r="F52" s="1033" t="s">
        <v>12</v>
      </c>
      <c r="G52" s="937">
        <v>0.36</v>
      </c>
      <c r="H52" s="934">
        <f>J52-'Au Cal Leaching Tank'!$T$18-SUM(H48:H51)</f>
        <v>80.887185000000045</v>
      </c>
      <c r="I52" s="934">
        <f t="shared" si="26"/>
        <v>10.784958000000007</v>
      </c>
      <c r="J52" s="934">
        <f>3.14*Z52*((10.7/2)^2)</f>
        <v>835.8342449999999</v>
      </c>
      <c r="K52" s="450">
        <v>1.2350000000000001</v>
      </c>
      <c r="L52" s="937">
        <v>0.64</v>
      </c>
      <c r="M52" s="1034">
        <f>(J52*K52*G52)-'Au Cal Leaching Tank'!$U$17-SUM(M48:M51)</f>
        <v>46.607195997000019</v>
      </c>
      <c r="N52" s="1404">
        <f>SUM(M52:M53)</f>
        <v>69.643866285000001</v>
      </c>
      <c r="O52" s="1035">
        <f t="shared" si="30"/>
        <v>6.2142927996000026</v>
      </c>
      <c r="P52" s="934">
        <f t="shared" si="31"/>
        <v>7.5</v>
      </c>
      <c r="Q52" s="934">
        <f t="shared" ref="Q52:Q53" si="36">720-R52</f>
        <v>450</v>
      </c>
      <c r="R52" s="934">
        <f>'Milling Down Time Hours'!G51</f>
        <v>270</v>
      </c>
      <c r="S52" s="1406"/>
      <c r="T52" s="1118">
        <f>AVERAGE('LT Ball Mill'!F112:F114)</f>
        <v>1.0543333333333333</v>
      </c>
      <c r="U52" s="1118">
        <f>AVERAGE('LT Ball Mill'!G112:G114)</f>
        <v>0.93333333333333324</v>
      </c>
      <c r="V52" s="1118">
        <f>AVERAGE('LT Ball Mill'!H112:H114)</f>
        <v>18.046666666666667</v>
      </c>
      <c r="W52" s="1092">
        <f t="shared" si="33"/>
        <v>49.139520312837021</v>
      </c>
      <c r="X52" s="1035">
        <f t="shared" si="34"/>
        <v>43.500049597200011</v>
      </c>
      <c r="Y52" s="1035">
        <f t="shared" si="35"/>
        <v>841.10453042586039</v>
      </c>
      <c r="Z52" s="1093">
        <v>9.3000000000000007</v>
      </c>
      <c r="AE52" s="1">
        <v>72</v>
      </c>
      <c r="AG52" s="1">
        <v>76</v>
      </c>
    </row>
    <row r="53" spans="1:33" ht="15" thickBot="1" x14ac:dyDescent="0.35">
      <c r="A53" s="1413"/>
      <c r="B53" s="1411"/>
      <c r="C53" s="1412"/>
      <c r="D53" s="1100" t="s">
        <v>509</v>
      </c>
      <c r="E53" s="1104" t="s">
        <v>702</v>
      </c>
      <c r="F53" s="947" t="s">
        <v>13</v>
      </c>
      <c r="G53" s="937">
        <v>0.35</v>
      </c>
      <c r="H53" s="934">
        <f>J53-'Au Cal Leaching Tank'!$T$18-SUM(H48:H52)</f>
        <v>80.887184999999931</v>
      </c>
      <c r="I53" s="934">
        <f t="shared" si="26"/>
        <v>6.740598749999994</v>
      </c>
      <c r="J53" s="934">
        <f>3.14*Z53*((10.7/2)^2)</f>
        <v>916.72142999999983</v>
      </c>
      <c r="K53" s="450">
        <v>1.23</v>
      </c>
      <c r="L53" s="937">
        <v>0.69</v>
      </c>
      <c r="M53" s="1034">
        <f>(J53*K53*G53)-'Au Cal Leaching Tank'!$U$17-SUM(M48:M52)</f>
        <v>23.036670287999982</v>
      </c>
      <c r="N53" s="1405"/>
      <c r="O53" s="1035">
        <f t="shared" si="30"/>
        <v>1.9197225239999984</v>
      </c>
      <c r="P53" s="934">
        <f t="shared" si="31"/>
        <v>12</v>
      </c>
      <c r="Q53" s="934">
        <f t="shared" si="36"/>
        <v>720</v>
      </c>
      <c r="R53" s="934">
        <f>'Milling Down Time Hours'!G52</f>
        <v>0</v>
      </c>
      <c r="S53" s="1406"/>
      <c r="T53" s="978">
        <f>AVERAGE('LT Ball Mill'!F115:F117)</f>
        <v>0.73499999999999999</v>
      </c>
      <c r="U53" s="978">
        <f>AVERAGE('LT Ball Mill'!G115:G117)</f>
        <v>0.64666666666666661</v>
      </c>
      <c r="V53" s="978">
        <f>AVERAGE('LT Ball Mill'!H115:H117)</f>
        <v>16.513333333333332</v>
      </c>
      <c r="W53" s="979">
        <f t="shared" si="33"/>
        <v>16.931952661679986</v>
      </c>
      <c r="X53" s="934">
        <f t="shared" si="34"/>
        <v>14.897046786239986</v>
      </c>
      <c r="Y53" s="934">
        <f t="shared" si="35"/>
        <v>380.41221535583969</v>
      </c>
      <c r="Z53" s="980">
        <v>10.199999999999999</v>
      </c>
      <c r="AE53" s="1">
        <v>72</v>
      </c>
      <c r="AG53" s="1">
        <v>74</v>
      </c>
    </row>
    <row r="54" spans="1:33" ht="15" thickBot="1" x14ac:dyDescent="0.35">
      <c r="B54" s="1388">
        <v>46289</v>
      </c>
      <c r="C54" s="1389"/>
      <c r="D54" s="451" t="s">
        <v>508</v>
      </c>
      <c r="E54" s="451" t="s">
        <v>703</v>
      </c>
      <c r="F54" s="1033" t="s">
        <v>12</v>
      </c>
      <c r="G54" s="937">
        <v>0.36</v>
      </c>
      <c r="H54" s="934">
        <f>J54-'Au Cal Leaching Tank'!$T$18-SUM(H48:H53)</f>
        <v>62.912254999999959</v>
      </c>
      <c r="I54" s="934">
        <f t="shared" si="26"/>
        <v>5.2426879166666636</v>
      </c>
      <c r="J54" s="934">
        <f>3.14*Z54*((10.7/2)^2)</f>
        <v>979.63368499999979</v>
      </c>
      <c r="K54" s="450">
        <v>1.2350000000000001</v>
      </c>
      <c r="L54" s="937">
        <v>0.74</v>
      </c>
      <c r="M54" s="1034">
        <f>(J54*K54*G54)-'Au Cal Leaching Tank'!$U$17-SUM(M48:M53)</f>
        <v>40.896560735999969</v>
      </c>
      <c r="N54" s="1404">
        <f>SUM(M54:M56)</f>
        <v>299.60957198599993</v>
      </c>
      <c r="O54" s="1404">
        <f>(N54)/24</f>
        <v>12.48373216608333</v>
      </c>
      <c r="P54" s="934">
        <f t="shared" si="31"/>
        <v>12</v>
      </c>
      <c r="Q54" s="934">
        <f t="shared" ref="Q54" si="37">720-R54</f>
        <v>720</v>
      </c>
      <c r="R54" s="934">
        <f>'Milling Down Time Hours'!G53</f>
        <v>0</v>
      </c>
      <c r="S54" s="1470"/>
      <c r="T54" s="1080">
        <f>AVERAGE('LT Ball Mill'!F118:F120)</f>
        <v>0.87766666666666671</v>
      </c>
      <c r="U54" s="1080">
        <f>AVERAGE('LT Ball Mill'!G118:G120)</f>
        <v>1.0133333333333334</v>
      </c>
      <c r="V54" s="1080">
        <f>AVERAGE('LT Ball Mill'!H118:H120)</f>
        <v>16.686666666666667</v>
      </c>
      <c r="W54" s="979">
        <f t="shared" ref="W54" si="38">T54*M54</f>
        <v>35.893548139295973</v>
      </c>
      <c r="X54" s="934">
        <f t="shared" ref="X54" si="39">U54*M54</f>
        <v>41.441848212479975</v>
      </c>
      <c r="Y54" s="934">
        <f t="shared" ref="Y54" si="40">V54*M54</f>
        <v>682.42727681471956</v>
      </c>
      <c r="Z54" s="980">
        <v>10.9</v>
      </c>
      <c r="AA54" s="10">
        <f>1.2*6</f>
        <v>7.1999999999999993</v>
      </c>
      <c r="AE54" s="1">
        <v>80</v>
      </c>
      <c r="AG54" s="1">
        <v>60</v>
      </c>
    </row>
    <row r="55" spans="1:33" ht="15" thickBot="1" x14ac:dyDescent="0.35">
      <c r="B55" s="1459"/>
      <c r="C55" s="1460"/>
      <c r="D55" s="667" t="s">
        <v>508</v>
      </c>
      <c r="E55" s="667" t="s">
        <v>748</v>
      </c>
      <c r="F55" s="1144" t="s">
        <v>12</v>
      </c>
      <c r="G55" s="962">
        <v>0.36</v>
      </c>
      <c r="H55" s="965">
        <f>J55-108</f>
        <v>152.63648499999994</v>
      </c>
      <c r="I55" s="965"/>
      <c r="J55" s="965">
        <f>3.14*Z55*((10.7/2)^2)</f>
        <v>260.63648499999994</v>
      </c>
      <c r="K55" s="963">
        <v>1.24</v>
      </c>
      <c r="L55" s="962">
        <v>0.74</v>
      </c>
      <c r="M55" s="964">
        <f>(J55*G55*K55)-'Au Cal Leaching Tank'!$U$18</f>
        <v>76.227926903999972</v>
      </c>
      <c r="N55" s="1406"/>
      <c r="O55" s="1406"/>
      <c r="P55" s="965"/>
      <c r="Q55" s="965"/>
      <c r="R55" s="965"/>
      <c r="S55" s="1145"/>
      <c r="T55" s="1146">
        <f>T54</f>
        <v>0.87766666666666671</v>
      </c>
      <c r="U55" s="1146">
        <f t="shared" ref="U55:V55" si="41">U54</f>
        <v>1.0133333333333334</v>
      </c>
      <c r="V55" s="1146">
        <f t="shared" si="41"/>
        <v>16.686666666666667</v>
      </c>
      <c r="W55" s="965">
        <f>T55*$M$55</f>
        <v>66.90271051274398</v>
      </c>
      <c r="X55" s="965">
        <f t="shared" ref="X55:Y55" si="42">U55*$M$55</f>
        <v>77.244299262719977</v>
      </c>
      <c r="Y55" s="965">
        <f t="shared" si="42"/>
        <v>1271.9900069380797</v>
      </c>
      <c r="Z55" s="968">
        <v>2.9</v>
      </c>
      <c r="AA55" s="10"/>
      <c r="AE55" s="1">
        <v>82</v>
      </c>
    </row>
    <row r="56" spans="1:33" ht="15" thickBot="1" x14ac:dyDescent="0.35">
      <c r="A56" s="1398">
        <v>11</v>
      </c>
      <c r="B56" s="1390"/>
      <c r="C56" s="1391"/>
      <c r="D56" s="1116" t="s">
        <v>541</v>
      </c>
      <c r="E56" s="1122" t="s">
        <v>707</v>
      </c>
      <c r="F56" s="970" t="s">
        <v>13</v>
      </c>
      <c r="G56" s="962">
        <v>0.38</v>
      </c>
      <c r="H56" s="965">
        <f>J56-'Au Cal Leaching Tank'!$T$18</f>
        <v>521.27254999999991</v>
      </c>
      <c r="I56" s="965">
        <f>H56/((720-R56)/60)</f>
        <v>43.439379166666662</v>
      </c>
      <c r="J56" s="965">
        <f>3.14*Z56*((10.7/2)^2)</f>
        <v>629.12254999999993</v>
      </c>
      <c r="K56" s="1121">
        <v>1.25</v>
      </c>
      <c r="L56" s="962">
        <v>0.77</v>
      </c>
      <c r="M56" s="964">
        <f>(J56*G56*K56)-'Au Cal Leaching Tank'!$U$18-SUM(M55)</f>
        <v>182.48508434600001</v>
      </c>
      <c r="N56" s="1405"/>
      <c r="O56" s="1470"/>
      <c r="P56" s="965">
        <f t="shared" si="31"/>
        <v>12</v>
      </c>
      <c r="Q56" s="965">
        <f>720-R56</f>
        <v>720</v>
      </c>
      <c r="R56" s="965">
        <f>'Milling Down Time Hours'!G54</f>
        <v>0</v>
      </c>
      <c r="S56" s="1392">
        <f>SUM(M55:M59)</f>
        <v>354.52837561499985</v>
      </c>
      <c r="T56" s="971">
        <f>AVERAGE('LT Ball Mill'!F121:F123)</f>
        <v>0.57966666666666666</v>
      </c>
      <c r="U56" s="971">
        <f>AVERAGE('LT Ball Mill'!G121:G123)</f>
        <v>1.8533333333333333</v>
      </c>
      <c r="V56" s="971">
        <f>AVERAGE('LT Ball Mill'!H121:H123)</f>
        <v>17.643333333333334</v>
      </c>
      <c r="W56" s="965">
        <f>T56*$M$56</f>
        <v>105.78052055923133</v>
      </c>
      <c r="X56" s="965">
        <f t="shared" ref="X56:Y56" si="43">U56*$M$56</f>
        <v>338.20568965458665</v>
      </c>
      <c r="Y56" s="965">
        <f t="shared" si="43"/>
        <v>3219.6451714779269</v>
      </c>
      <c r="Z56" s="968">
        <v>7</v>
      </c>
      <c r="AA56" s="10">
        <f>(M56-115)*T56</f>
        <v>39.118853892564672</v>
      </c>
      <c r="AE56" s="1">
        <v>80</v>
      </c>
      <c r="AG56" s="1">
        <v>83</v>
      </c>
    </row>
    <row r="57" spans="1:33" ht="15" thickBot="1" x14ac:dyDescent="0.35">
      <c r="A57" s="1398"/>
      <c r="B57" s="1439">
        <v>46290</v>
      </c>
      <c r="C57" s="1440"/>
      <c r="D57" s="667" t="s">
        <v>682</v>
      </c>
      <c r="E57" s="667" t="s">
        <v>708</v>
      </c>
      <c r="F57" s="961" t="s">
        <v>12</v>
      </c>
      <c r="G57" s="962">
        <v>0.35</v>
      </c>
      <c r="H57" s="965">
        <f>J57-'Au Cal Leaching Tank'!$T$18-SUM(H56)</f>
        <v>251.64901999999995</v>
      </c>
      <c r="I57" s="965">
        <f>H57/((720-R57)/60)</f>
        <v>27.010628264758491</v>
      </c>
      <c r="J57" s="965">
        <f t="shared" ref="J57:J64" si="44">3.14*Z57*((10.7/2)^2)</f>
        <v>880.77156999999988</v>
      </c>
      <c r="K57" s="963">
        <v>1.23</v>
      </c>
      <c r="L57" s="962">
        <v>0.77</v>
      </c>
      <c r="M57" s="964">
        <f>(J57*G57*K57)-'Au Cal Leaching Tank'!$U$18-SUM(M55:M56)</f>
        <v>80.338949634999892</v>
      </c>
      <c r="N57" s="1392">
        <f>SUM(M57:M58)</f>
        <v>91.946260682499883</v>
      </c>
      <c r="O57" s="1106"/>
      <c r="P57" s="965">
        <f t="shared" si="31"/>
        <v>9.3166666666666664</v>
      </c>
      <c r="Q57" s="965">
        <f t="shared" ref="Q57:Q58" si="45">720-R57</f>
        <v>559</v>
      </c>
      <c r="R57" s="965">
        <f>'Milling Down Time Hours'!G55</f>
        <v>161</v>
      </c>
      <c r="S57" s="1437"/>
      <c r="T57" s="1001">
        <f>AVERAGE('LT Ball Mill'!F124:F126)</f>
        <v>0.73</v>
      </c>
      <c r="U57" s="1001">
        <f>AVERAGE('LT Ball Mill'!G124:G126)</f>
        <v>1.2166666666666668</v>
      </c>
      <c r="V57" s="1001">
        <f>AVERAGE('LT Ball Mill'!H124:H126)</f>
        <v>20.023333333333337</v>
      </c>
      <c r="W57" s="967">
        <f>T57*$M$57</f>
        <v>58.647433233549918</v>
      </c>
      <c r="X57" s="967">
        <f t="shared" ref="X57:Y57" si="46">U57*$M$57</f>
        <v>97.745722055916545</v>
      </c>
      <c r="Y57" s="967">
        <f t="shared" si="46"/>
        <v>1608.6535681914816</v>
      </c>
      <c r="Z57" s="968">
        <v>9.8000000000000007</v>
      </c>
      <c r="AE57" s="1">
        <v>80</v>
      </c>
      <c r="AG57" s="1">
        <v>82</v>
      </c>
    </row>
    <row r="58" spans="1:33" ht="15" thickBot="1" x14ac:dyDescent="0.35">
      <c r="A58" s="1398"/>
      <c r="B58" s="1441"/>
      <c r="C58" s="1442"/>
      <c r="D58" s="1116" t="s">
        <v>541</v>
      </c>
      <c r="E58" s="1136" t="s">
        <v>746</v>
      </c>
      <c r="F58" s="970" t="s">
        <v>13</v>
      </c>
      <c r="G58" s="962">
        <v>0.35</v>
      </c>
      <c r="H58" s="965">
        <f>J58-'Au Cal Leaching Tank'!$T$18-SUM(H56:H57)</f>
        <v>26.962394999999901</v>
      </c>
      <c r="I58" s="965"/>
      <c r="J58" s="965">
        <f t="shared" si="44"/>
        <v>907.73396499999978</v>
      </c>
      <c r="K58" s="963">
        <v>1.23</v>
      </c>
      <c r="L58" s="962">
        <v>0.77</v>
      </c>
      <c r="M58" s="964">
        <f>(J58*G58*K58)-'Au Cal Leaching Tank'!$U$18-SUM(M55:M57)</f>
        <v>11.607311047499991</v>
      </c>
      <c r="N58" s="1436"/>
      <c r="O58" s="1106"/>
      <c r="P58" s="965">
        <f t="shared" si="31"/>
        <v>0</v>
      </c>
      <c r="Q58" s="965">
        <f t="shared" si="45"/>
        <v>0</v>
      </c>
      <c r="R58" s="965">
        <f>'Milling Down Time Hours'!G56</f>
        <v>720</v>
      </c>
      <c r="S58" s="1393"/>
      <c r="T58" s="971">
        <f>T57</f>
        <v>0.73</v>
      </c>
      <c r="U58" s="971">
        <f t="shared" ref="U58:V59" si="47">U57</f>
        <v>1.2166666666666668</v>
      </c>
      <c r="V58" s="971">
        <f t="shared" si="47"/>
        <v>20.023333333333337</v>
      </c>
      <c r="W58" s="967">
        <f>T58*$M$58</f>
        <v>8.4733370646749933</v>
      </c>
      <c r="X58" s="967">
        <f t="shared" ref="X58:Y58" si="48">U58*$M$58</f>
        <v>14.122228441124991</v>
      </c>
      <c r="Y58" s="967">
        <f t="shared" si="48"/>
        <v>232.41705820777486</v>
      </c>
      <c r="Z58" s="968">
        <v>10.1</v>
      </c>
      <c r="AG58" s="1">
        <v>83</v>
      </c>
    </row>
    <row r="59" spans="1:33" ht="15" thickBot="1" x14ac:dyDescent="0.35">
      <c r="A59" s="1397">
        <v>12</v>
      </c>
      <c r="B59" s="1409">
        <v>46291</v>
      </c>
      <c r="C59" s="1410"/>
      <c r="D59" s="667"/>
      <c r="E59" s="667"/>
      <c r="F59" s="961" t="s">
        <v>12</v>
      </c>
      <c r="G59" s="962">
        <v>0.35</v>
      </c>
      <c r="H59" s="965"/>
      <c r="I59" s="965"/>
      <c r="J59" s="965">
        <f t="shared" si="44"/>
        <v>916.72142999999983</v>
      </c>
      <c r="K59" s="963">
        <v>1.23</v>
      </c>
      <c r="L59" s="963"/>
      <c r="M59" s="964">
        <f>(J59*G59*K59)-'Au Cal Leaching Tank'!$U$18-SUM(M55:M58)</f>
        <v>3.8691036824999969</v>
      </c>
      <c r="N59" s="963"/>
      <c r="O59" s="1106"/>
      <c r="P59" s="965">
        <f t="shared" ref="P59:P61" si="49">(720-R59)/60</f>
        <v>0</v>
      </c>
      <c r="Q59" s="965">
        <f t="shared" ref="Q59:Q61" si="50">720-R59</f>
        <v>0</v>
      </c>
      <c r="R59" s="965">
        <f>'Milling Down Time Hours'!G57</f>
        <v>720</v>
      </c>
      <c r="S59" s="667"/>
      <c r="T59" s="1001">
        <f>T58</f>
        <v>0.73</v>
      </c>
      <c r="U59" s="1001">
        <f t="shared" si="47"/>
        <v>1.2166666666666668</v>
      </c>
      <c r="V59" s="1001">
        <f t="shared" si="47"/>
        <v>20.023333333333337</v>
      </c>
      <c r="W59" s="967">
        <f>T59*$M$59</f>
        <v>2.8244456882249978</v>
      </c>
      <c r="X59" s="967">
        <f t="shared" ref="X59:Y59" si="51">U59*$M$59</f>
        <v>4.7074094803749968</v>
      </c>
      <c r="Y59" s="967">
        <f t="shared" si="51"/>
        <v>77.472352735924957</v>
      </c>
      <c r="Z59" s="968">
        <v>10.199999999999999</v>
      </c>
      <c r="AG59" s="1">
        <v>80</v>
      </c>
    </row>
    <row r="60" spans="1:33" ht="15" thickBot="1" x14ac:dyDescent="0.35">
      <c r="A60" s="1397"/>
      <c r="B60" s="1411"/>
      <c r="C60" s="1412"/>
      <c r="D60" s="910"/>
      <c r="E60" s="910"/>
      <c r="F60" s="947" t="s">
        <v>13</v>
      </c>
      <c r="G60" s="450"/>
      <c r="H60" s="934"/>
      <c r="I60" s="934"/>
      <c r="J60" s="934">
        <f>3.14*Z60*((10.7/2)^2)</f>
        <v>0</v>
      </c>
      <c r="K60" s="450"/>
      <c r="L60" s="450"/>
      <c r="M60" s="1034">
        <f t="shared" si="7"/>
        <v>0</v>
      </c>
      <c r="N60" s="450"/>
      <c r="O60" s="1137"/>
      <c r="P60" s="934">
        <f t="shared" si="49"/>
        <v>0</v>
      </c>
      <c r="Q60" s="934">
        <f t="shared" si="50"/>
        <v>0</v>
      </c>
      <c r="R60" s="934">
        <f>'Milling Down Time Hours'!G58</f>
        <v>720</v>
      </c>
      <c r="S60" s="451"/>
      <c r="T60" s="1138"/>
      <c r="U60" s="1138"/>
      <c r="V60" s="1139"/>
      <c r="W60" s="979"/>
      <c r="X60" s="934"/>
      <c r="Y60" s="934"/>
      <c r="Z60" s="980"/>
      <c r="AG60" s="1">
        <v>80</v>
      </c>
    </row>
    <row r="61" spans="1:33" ht="15" thickBot="1" x14ac:dyDescent="0.35">
      <c r="A61" s="1397"/>
      <c r="B61" s="1409">
        <v>46292</v>
      </c>
      <c r="C61" s="1410"/>
      <c r="D61" s="451" t="s">
        <v>508</v>
      </c>
      <c r="E61" s="451" t="s">
        <v>753</v>
      </c>
      <c r="F61" s="1033" t="s">
        <v>12</v>
      </c>
      <c r="G61" s="937">
        <v>0.34</v>
      </c>
      <c r="H61" s="934">
        <f>J61-'Au Cal Leaching Tank'!$T$19</f>
        <v>17.824509999999975</v>
      </c>
      <c r="I61" s="934">
        <f t="shared" ref="I61:I62" si="52">H61/((720-R61)/60)</f>
        <v>2.2280637499999969</v>
      </c>
      <c r="J61" s="934">
        <f t="shared" si="44"/>
        <v>125.82450999999998</v>
      </c>
      <c r="K61" s="450">
        <v>1.22</v>
      </c>
      <c r="L61" s="937">
        <v>0.75</v>
      </c>
      <c r="M61" s="1034">
        <f>(J61*K61*G61)-'Au Cal Leaching Tank'!$U$19</f>
        <v>5.6980067479999974</v>
      </c>
      <c r="N61" s="1404">
        <f>SUM(M61:M62)</f>
        <v>100.53193993499997</v>
      </c>
      <c r="O61" s="934">
        <f>(M61/P61)</f>
        <v>0.71225084349999968</v>
      </c>
      <c r="P61" s="934">
        <f t="shared" si="49"/>
        <v>8</v>
      </c>
      <c r="Q61" s="934">
        <f t="shared" si="50"/>
        <v>480</v>
      </c>
      <c r="R61" s="934">
        <f>'Milling Down Time Hours'!G59</f>
        <v>240</v>
      </c>
      <c r="S61" s="1394">
        <f>SUM(M61:M65)</f>
        <v>385.05530941200004</v>
      </c>
      <c r="T61" s="1080">
        <f>AVERAGE('LT Ball Mill'!F130:F132)</f>
        <v>0.52033333333333331</v>
      </c>
      <c r="U61" s="1080">
        <f>AVERAGE('LT Ball Mill'!G130:G132)</f>
        <v>1.1033333333333333</v>
      </c>
      <c r="V61" s="1080">
        <f>AVERAGE('LT Ball Mill'!H130:H132)</f>
        <v>13.643333333333333</v>
      </c>
      <c r="W61" s="979">
        <f>M61*T61</f>
        <v>2.9648628445426652</v>
      </c>
      <c r="X61" s="979">
        <f>M61*U61</f>
        <v>6.2868007786266631</v>
      </c>
      <c r="Y61" s="934">
        <f>M61*V61</f>
        <v>77.739805398546622</v>
      </c>
      <c r="Z61" s="980">
        <v>1.4</v>
      </c>
      <c r="AG61" s="1">
        <v>78</v>
      </c>
    </row>
    <row r="62" spans="1:33" ht="15" thickBot="1" x14ac:dyDescent="0.35">
      <c r="A62" s="1397"/>
      <c r="B62" s="1411"/>
      <c r="C62" s="1412"/>
      <c r="D62" s="1166" t="s">
        <v>508</v>
      </c>
      <c r="E62" s="1166" t="s">
        <v>754</v>
      </c>
      <c r="F62" s="947" t="s">
        <v>13</v>
      </c>
      <c r="G62" s="937">
        <v>0.35</v>
      </c>
      <c r="H62" s="934">
        <f>(J62)-'Au Cal Leaching Tank'!$T$19-SUM(H61)</f>
        <v>215.69916000000001</v>
      </c>
      <c r="I62" s="934">
        <f t="shared" si="52"/>
        <v>19.609014545454546</v>
      </c>
      <c r="J62" s="934">
        <f t="shared" si="44"/>
        <v>341.52366999999998</v>
      </c>
      <c r="K62" s="450">
        <v>1.23</v>
      </c>
      <c r="L62" s="937">
        <v>0.72</v>
      </c>
      <c r="M62" s="1034">
        <f>(J62*K62*G62)-'Au Cal Leaching Tank'!$U$19-SUM(M61)</f>
        <v>94.833933186999971</v>
      </c>
      <c r="N62" s="1405"/>
      <c r="O62" s="934">
        <f>(M62/P62)</f>
        <v>8.6212666533636337</v>
      </c>
      <c r="P62" s="934">
        <f t="shared" ref="P62:P63" si="53">(720-R62)/60</f>
        <v>11</v>
      </c>
      <c r="Q62" s="934">
        <f t="shared" ref="Q62:Q63" si="54">720-R62</f>
        <v>660</v>
      </c>
      <c r="R62" s="934">
        <f>'Milling Down Time Hours'!G60</f>
        <v>60.000000000000007</v>
      </c>
      <c r="S62" s="1395"/>
      <c r="T62" s="978">
        <f>AVERAGE('LT Ball Mill'!F133:F135)</f>
        <v>0.74766666666666659</v>
      </c>
      <c r="U62" s="978">
        <f>AVERAGE('LT Ball Mill'!G133:G135)</f>
        <v>1.4400000000000002</v>
      </c>
      <c r="V62" s="978">
        <f>AVERAGE('LT Ball Mill'!H133:H135)</f>
        <v>15.363333333333335</v>
      </c>
      <c r="W62" s="979">
        <f>M62*T62</f>
        <v>70.904170712813638</v>
      </c>
      <c r="X62" s="934">
        <f>M62*U62</f>
        <v>136.56086378927998</v>
      </c>
      <c r="Y62" s="934">
        <f>M62*V62</f>
        <v>1456.9653268629431</v>
      </c>
      <c r="Z62" s="980">
        <v>3.8</v>
      </c>
      <c r="AG62" s="1">
        <v>67</v>
      </c>
    </row>
    <row r="63" spans="1:33" ht="15" thickBot="1" x14ac:dyDescent="0.35">
      <c r="A63" s="1397"/>
      <c r="B63" s="1409">
        <v>46293</v>
      </c>
      <c r="C63" s="1410"/>
      <c r="D63" s="451" t="s">
        <v>541</v>
      </c>
      <c r="E63" s="451" t="s">
        <v>755</v>
      </c>
      <c r="F63" s="1033" t="s">
        <v>12</v>
      </c>
      <c r="G63" s="937">
        <v>0.35</v>
      </c>
      <c r="H63" s="934">
        <f>(J63)-'Au Cal Leaching Tank'!$T$19-SUM(H61:H62)</f>
        <v>188.73676500000005</v>
      </c>
      <c r="I63" s="934">
        <f t="shared" ref="I63" si="55">H63/((720-R63)/60)</f>
        <v>15.728063750000004</v>
      </c>
      <c r="J63" s="934">
        <f t="shared" si="44"/>
        <v>530.26043500000003</v>
      </c>
      <c r="K63" s="450">
        <v>1.23</v>
      </c>
      <c r="L63" s="937">
        <v>0.71</v>
      </c>
      <c r="M63" s="1034">
        <f>(J63*K63*G63)-'Au Cal Leaching Tank'!$U$19-SUM(M61:M62)</f>
        <v>81.251177332500021</v>
      </c>
      <c r="N63" s="1404">
        <f>SUM(M63:M64)</f>
        <v>158.63325098249993</v>
      </c>
      <c r="O63" s="934">
        <f t="shared" ref="O63:O65" si="56">(M63/P63)</f>
        <v>6.7709314443750017</v>
      </c>
      <c r="P63" s="934">
        <f t="shared" si="53"/>
        <v>12</v>
      </c>
      <c r="Q63" s="934">
        <f t="shared" si="54"/>
        <v>720</v>
      </c>
      <c r="R63" s="934">
        <f>'Milling Down Time Hours'!G61</f>
        <v>0</v>
      </c>
      <c r="S63" s="1395"/>
      <c r="T63" s="1080">
        <f>AVERAGE('LT Ball Mill'!F136:F138)</f>
        <v>0.58499999999999996</v>
      </c>
      <c r="U63" s="1080">
        <f>AVERAGE('LT Ball Mill'!G136:G138)</f>
        <v>1.0999999999999999</v>
      </c>
      <c r="V63" s="1080">
        <f>AVERAGE('LT Ball Mill'!H136:H138)</f>
        <v>14.276666666666666</v>
      </c>
      <c r="W63" s="979">
        <f>M63*T63</f>
        <v>47.531938739512512</v>
      </c>
      <c r="X63" s="979">
        <f>M63*U63</f>
        <v>89.376295065750014</v>
      </c>
      <c r="Y63" s="934">
        <f>M63*V63</f>
        <v>1159.9959750503251</v>
      </c>
      <c r="Z63" s="980">
        <v>5.9</v>
      </c>
      <c r="AG63" s="1">
        <v>72</v>
      </c>
    </row>
    <row r="64" spans="1:33" ht="15" thickBot="1" x14ac:dyDescent="0.35">
      <c r="A64" s="1397"/>
      <c r="B64" s="1411"/>
      <c r="C64" s="1412"/>
      <c r="D64" s="1167" t="s">
        <v>756</v>
      </c>
      <c r="E64" s="1167" t="s">
        <v>755</v>
      </c>
      <c r="F64" s="947" t="s">
        <v>13</v>
      </c>
      <c r="G64" s="937">
        <v>0.35</v>
      </c>
      <c r="H64" s="934">
        <f>(J64)-'Au Cal Leaching Tank'!$T$19-SUM(H61:H63)</f>
        <v>179.74929999999983</v>
      </c>
      <c r="I64" s="934">
        <f t="shared" ref="I64:I65" si="57">H64/((720-R64)/60)</f>
        <v>14.97910833333332</v>
      </c>
      <c r="J64" s="934">
        <f t="shared" si="44"/>
        <v>710.00973499999986</v>
      </c>
      <c r="K64" s="450">
        <v>1.23</v>
      </c>
      <c r="L64" s="937">
        <v>0.71</v>
      </c>
      <c r="M64" s="1034">
        <f>(J64*K64*G64)-'Au Cal Leaching Tank'!$U$19-SUM(M61:M63)</f>
        <v>77.38207364999991</v>
      </c>
      <c r="N64" s="1405"/>
      <c r="O64" s="934">
        <f t="shared" si="56"/>
        <v>6.4485061374999928</v>
      </c>
      <c r="P64" s="934">
        <f t="shared" ref="P64" si="58">(720-R64)/60</f>
        <v>12</v>
      </c>
      <c r="Q64" s="934">
        <f t="shared" ref="Q64" si="59">720-R64</f>
        <v>720</v>
      </c>
      <c r="R64" s="934">
        <f>'Milling Down Time Hours'!G62</f>
        <v>0</v>
      </c>
      <c r="S64" s="1395"/>
      <c r="T64" s="978">
        <f>AVERAGE('LT Ball Mill'!F139:F141)</f>
        <v>0.54866666666666664</v>
      </c>
      <c r="U64" s="978">
        <f>AVERAGE('LT Ball Mill'!G139:G141)</f>
        <v>2.0799999999999996</v>
      </c>
      <c r="V64" s="978">
        <f>AVERAGE('LT Ball Mill'!H139:H141)</f>
        <v>17.903333333333336</v>
      </c>
      <c r="W64" s="979">
        <f t="shared" ref="W64:W102" si="60">T64*M64</f>
        <v>42.45696440929995</v>
      </c>
      <c r="X64" s="934">
        <f t="shared" ref="X64:X102" si="61">M64*U64</f>
        <v>160.95471319199979</v>
      </c>
      <c r="Y64" s="934">
        <f t="shared" ref="Y64:Y102" si="62">M64*V64</f>
        <v>1385.3970585804987</v>
      </c>
      <c r="Z64" s="980">
        <v>7.9</v>
      </c>
      <c r="AG64" s="1">
        <v>78</v>
      </c>
    </row>
    <row r="65" spans="1:30" ht="15" thickBot="1" x14ac:dyDescent="0.35">
      <c r="A65" s="676"/>
      <c r="B65" s="1439">
        <v>46294</v>
      </c>
      <c r="C65" s="1440"/>
      <c r="D65" s="451" t="s">
        <v>542</v>
      </c>
      <c r="E65" s="451" t="s">
        <v>760</v>
      </c>
      <c r="F65" s="1033" t="s">
        <v>12</v>
      </c>
      <c r="G65" s="937">
        <v>0.36</v>
      </c>
      <c r="H65" s="934">
        <f>(J65)-'Au Cal Leaching Tank'!$T$19-SUM(H61:H64)</f>
        <v>260.63648500000011</v>
      </c>
      <c r="I65" s="934">
        <f t="shared" si="57"/>
        <v>22.340270142857154</v>
      </c>
      <c r="J65" s="934">
        <f>3.14*Z65*((10.7/2)^2)</f>
        <v>970.64621999999997</v>
      </c>
      <c r="K65" s="450">
        <v>1.2350000000000001</v>
      </c>
      <c r="L65" s="937">
        <v>0.71</v>
      </c>
      <c r="M65" s="1034">
        <f>(J65*K65*G65)-'Au Cal Leaching Tank'!$U$19-SUM(M61:M64)</f>
        <v>125.89011849450014</v>
      </c>
      <c r="N65" s="1392">
        <f>SUM(M65:M66)</f>
        <v>125.89011849450014</v>
      </c>
      <c r="O65" s="934">
        <f t="shared" si="56"/>
        <v>10.790581585242871</v>
      </c>
      <c r="P65" s="934">
        <f t="shared" ref="P65:P66" si="63">(720-R65)/60</f>
        <v>11.666666666666666</v>
      </c>
      <c r="Q65" s="934">
        <f t="shared" ref="Q65:Q66" si="64">720-R65</f>
        <v>700</v>
      </c>
      <c r="R65" s="934">
        <f>'Milling Down Time Hours'!G63</f>
        <v>20</v>
      </c>
      <c r="S65" s="1396"/>
      <c r="T65" s="1080">
        <f>AVERAGE('LT Ball Mill'!F142:F147)</f>
        <v>0.5481666666666668</v>
      </c>
      <c r="U65" s="1080">
        <f>AVERAGE('LT Ball Mill'!G142:G147)</f>
        <v>1.1816666666666669</v>
      </c>
      <c r="V65" s="1080">
        <f>AVERAGE('LT Ball Mill'!H142:H147)</f>
        <v>19.161666666666665</v>
      </c>
      <c r="W65" s="979">
        <f t="shared" si="60"/>
        <v>69.008766621401847</v>
      </c>
      <c r="X65" s="934">
        <f t="shared" si="61"/>
        <v>148.76015668766769</v>
      </c>
      <c r="Y65" s="934">
        <f t="shared" si="62"/>
        <v>2412.2644872187802</v>
      </c>
      <c r="Z65" s="980">
        <v>10.8</v>
      </c>
    </row>
    <row r="66" spans="1:30" ht="15" thickBot="1" x14ac:dyDescent="0.35">
      <c r="A66" s="676"/>
      <c r="B66" s="1441"/>
      <c r="C66" s="1442"/>
      <c r="D66" s="969"/>
      <c r="E66" s="1183" t="s">
        <v>766</v>
      </c>
      <c r="F66" s="970" t="s">
        <v>13</v>
      </c>
      <c r="G66" s="963"/>
      <c r="H66" s="963"/>
      <c r="I66" s="1106"/>
      <c r="J66" s="963"/>
      <c r="K66" s="963"/>
      <c r="L66" s="963"/>
      <c r="M66" s="964">
        <f t="shared" si="7"/>
        <v>0</v>
      </c>
      <c r="N66" s="1393"/>
      <c r="O66" s="965" t="e">
        <f>(M66/P66)</f>
        <v>#DIV/0!</v>
      </c>
      <c r="P66" s="965">
        <f t="shared" si="63"/>
        <v>0</v>
      </c>
      <c r="Q66" s="965">
        <f t="shared" si="64"/>
        <v>0</v>
      </c>
      <c r="R66" s="965">
        <f>'Milling Down Time Hours'!G64</f>
        <v>720</v>
      </c>
      <c r="S66" s="667"/>
      <c r="T66" s="1181"/>
      <c r="U66" s="1181"/>
      <c r="V66" s="1182"/>
      <c r="W66" s="967">
        <f t="shared" si="60"/>
        <v>0</v>
      </c>
      <c r="X66" s="965">
        <f t="shared" si="61"/>
        <v>0</v>
      </c>
      <c r="Y66" s="965">
        <f t="shared" si="62"/>
        <v>0</v>
      </c>
      <c r="Z66" s="968"/>
    </row>
    <row r="67" spans="1:30" ht="15" thickBot="1" x14ac:dyDescent="0.35">
      <c r="B67" s="1388">
        <v>46295</v>
      </c>
      <c r="C67" s="1389"/>
      <c r="D67" s="13"/>
      <c r="E67" s="13"/>
      <c r="F67" s="917" t="s">
        <v>12</v>
      </c>
      <c r="G67" s="233"/>
      <c r="H67" s="233"/>
      <c r="I67" s="872"/>
      <c r="J67" s="233"/>
      <c r="K67" s="233"/>
      <c r="L67" s="233"/>
      <c r="M67" s="885">
        <f t="shared" si="7"/>
        <v>0</v>
      </c>
      <c r="N67" s="233"/>
      <c r="O67" s="872"/>
      <c r="P67" s="889"/>
      <c r="Q67" s="867"/>
      <c r="R67" s="889"/>
      <c r="S67" s="13"/>
      <c r="T67" s="988"/>
      <c r="U67" s="988"/>
      <c r="V67" s="992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</row>
    <row r="68" spans="1:30" ht="15" thickBot="1" x14ac:dyDescent="0.35">
      <c r="B68" s="1390"/>
      <c r="C68" s="1391"/>
      <c r="D68" s="36"/>
      <c r="E68" s="36"/>
      <c r="F68" s="908" t="s">
        <v>13</v>
      </c>
      <c r="G68" s="233"/>
      <c r="H68" s="233"/>
      <c r="I68" s="872"/>
      <c r="J68" s="233"/>
      <c r="K68" s="233"/>
      <c r="L68" s="233"/>
      <c r="M68" s="885">
        <f t="shared" si="7"/>
        <v>0</v>
      </c>
      <c r="N68" s="233"/>
      <c r="O68" s="872"/>
      <c r="P68" s="931"/>
      <c r="Q68" s="890"/>
      <c r="R68" s="1463">
        <f>'Milling Down Time Hours'!L73</f>
        <v>0</v>
      </c>
      <c r="S68" s="13"/>
      <c r="T68" s="987"/>
      <c r="U68" s="987"/>
      <c r="V68" s="991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</row>
    <row r="69" spans="1:30" ht="15" thickBot="1" x14ac:dyDescent="0.35">
      <c r="B69" s="1388">
        <v>46296</v>
      </c>
      <c r="C69" s="1389"/>
      <c r="D69" s="13"/>
      <c r="E69" s="13"/>
      <c r="F69" s="917" t="s">
        <v>12</v>
      </c>
      <c r="G69" s="233"/>
      <c r="H69" s="233"/>
      <c r="I69" s="872"/>
      <c r="J69" s="233"/>
      <c r="K69" s="233"/>
      <c r="L69" s="233"/>
      <c r="M69" s="885">
        <f t="shared" si="7"/>
        <v>0</v>
      </c>
      <c r="N69" s="233"/>
      <c r="O69" s="872"/>
      <c r="P69" s="932"/>
      <c r="Q69" s="891"/>
      <c r="R69" s="1462"/>
      <c r="S69" s="13"/>
      <c r="T69" s="988"/>
      <c r="U69" s="988"/>
      <c r="V69" s="992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</row>
    <row r="70" spans="1:30" ht="15" thickBot="1" x14ac:dyDescent="0.35">
      <c r="B70" s="1390"/>
      <c r="C70" s="1391"/>
      <c r="D70" s="36"/>
      <c r="E70" s="36"/>
      <c r="F70" s="908" t="s">
        <v>13</v>
      </c>
      <c r="G70" s="233"/>
      <c r="H70" s="233"/>
      <c r="I70" s="872"/>
      <c r="J70" s="233"/>
      <c r="K70" s="233"/>
      <c r="L70" s="233"/>
      <c r="M70" s="885">
        <f t="shared" si="7"/>
        <v>0</v>
      </c>
      <c r="N70" s="233"/>
      <c r="O70" s="872"/>
      <c r="P70" s="930"/>
      <c r="Q70" s="866"/>
      <c r="R70" s="1463">
        <f>'Milling Down Time Hours'!L75</f>
        <v>0</v>
      </c>
      <c r="S70" s="13"/>
      <c r="T70" s="987"/>
      <c r="U70" s="987"/>
      <c r="V70" s="989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</row>
    <row r="71" spans="1:30" ht="15" thickBot="1" x14ac:dyDescent="0.35">
      <c r="B71" s="1388">
        <v>46297</v>
      </c>
      <c r="C71" s="1389"/>
      <c r="D71" s="13"/>
      <c r="E71" s="13"/>
      <c r="F71" s="917" t="s">
        <v>12</v>
      </c>
      <c r="G71" s="233"/>
      <c r="H71" s="13"/>
      <c r="I71" s="872"/>
      <c r="J71" s="233"/>
      <c r="K71" s="233"/>
      <c r="L71" s="233"/>
      <c r="M71" s="885">
        <f t="shared" si="7"/>
        <v>0</v>
      </c>
      <c r="N71" s="233"/>
      <c r="O71" s="872"/>
      <c r="P71" s="889"/>
      <c r="Q71" s="867"/>
      <c r="R71" s="1462"/>
      <c r="S71" s="13"/>
      <c r="T71" s="988"/>
      <c r="U71" s="988"/>
      <c r="V71" s="990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</row>
    <row r="72" spans="1:30" ht="15" thickBot="1" x14ac:dyDescent="0.35">
      <c r="B72" s="1390"/>
      <c r="C72" s="1391"/>
      <c r="D72" s="36"/>
      <c r="E72" s="36"/>
      <c r="F72" s="908" t="s">
        <v>13</v>
      </c>
      <c r="G72" s="882"/>
      <c r="H72" s="13"/>
      <c r="I72" s="872"/>
      <c r="J72" s="233"/>
      <c r="K72" s="233"/>
      <c r="L72" s="882"/>
      <c r="M72" s="885">
        <f t="shared" si="7"/>
        <v>0</v>
      </c>
      <c r="N72" s="882"/>
      <c r="O72" s="872"/>
      <c r="P72" s="930"/>
      <c r="Q72" s="866"/>
      <c r="R72" s="1463">
        <f>'Milling Down Time Hours'!L77</f>
        <v>0</v>
      </c>
      <c r="S72" s="13"/>
      <c r="T72" s="987"/>
      <c r="U72" s="987"/>
      <c r="V72" s="989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</row>
    <row r="73" spans="1:30" ht="15" thickBot="1" x14ac:dyDescent="0.35">
      <c r="B73" s="1388">
        <v>46298</v>
      </c>
      <c r="C73" s="1389"/>
      <c r="D73" s="13"/>
      <c r="E73" s="13"/>
      <c r="F73" s="917" t="s">
        <v>12</v>
      </c>
      <c r="G73" s="233"/>
      <c r="H73" s="13"/>
      <c r="I73" s="872"/>
      <c r="J73" s="233"/>
      <c r="K73" s="233"/>
      <c r="L73" s="233"/>
      <c r="M73" s="885">
        <f t="shared" si="7"/>
        <v>0</v>
      </c>
      <c r="N73" s="233"/>
      <c r="O73" s="872"/>
      <c r="P73" s="889"/>
      <c r="Q73" s="867"/>
      <c r="R73" s="1462"/>
      <c r="S73" s="13"/>
      <c r="T73" s="988"/>
      <c r="U73" s="988"/>
      <c r="V73" s="990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</row>
    <row r="74" spans="1:30" ht="15" thickBot="1" x14ac:dyDescent="0.35">
      <c r="B74" s="1390"/>
      <c r="C74" s="1391"/>
      <c r="D74" s="36"/>
      <c r="E74" s="36"/>
      <c r="F74" s="908" t="s">
        <v>13</v>
      </c>
      <c r="G74" s="882"/>
      <c r="H74" s="13"/>
      <c r="I74" s="872"/>
      <c r="J74" s="233"/>
      <c r="K74" s="233"/>
      <c r="L74" s="882"/>
      <c r="M74" s="885">
        <f t="shared" si="7"/>
        <v>0</v>
      </c>
      <c r="N74" s="882"/>
      <c r="O74" s="872"/>
      <c r="P74" s="930"/>
      <c r="Q74" s="866"/>
      <c r="R74" s="930">
        <f>'Milling Down Time Hours'!L79</f>
        <v>0</v>
      </c>
      <c r="S74" s="13"/>
      <c r="T74" s="987"/>
      <c r="U74" s="987"/>
      <c r="V74" s="989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</row>
    <row r="75" spans="1:30" ht="15" thickBot="1" x14ac:dyDescent="0.35">
      <c r="B75" s="1439">
        <v>46299</v>
      </c>
      <c r="C75" s="1440"/>
      <c r="D75" s="667"/>
      <c r="E75" s="667" t="s">
        <v>766</v>
      </c>
      <c r="F75" s="961" t="s">
        <v>12</v>
      </c>
      <c r="G75" s="962">
        <v>0.22</v>
      </c>
      <c r="H75" s="668">
        <f>J75</f>
        <v>539.24789999999996</v>
      </c>
      <c r="I75" s="965">
        <f>H75/P75</f>
        <v>44.937324999999994</v>
      </c>
      <c r="J75" s="965">
        <f>3.14*Z75*((10.7/2)^2)</f>
        <v>539.24789999999996</v>
      </c>
      <c r="K75" s="963">
        <v>1.135</v>
      </c>
      <c r="L75" s="962">
        <v>0.7</v>
      </c>
      <c r="M75" s="964">
        <f>H75*K75*G75</f>
        <v>134.65020063</v>
      </c>
      <c r="N75" s="1392">
        <f>SUM(M75:M76)</f>
        <v>199.82504994374997</v>
      </c>
      <c r="O75" s="965">
        <f>M75/P75</f>
        <v>11.220850052499999</v>
      </c>
      <c r="P75" s="1192">
        <f>(720-R75)/60</f>
        <v>12</v>
      </c>
      <c r="Q75" s="1192">
        <f>720-R75</f>
        <v>720</v>
      </c>
      <c r="R75" s="1191">
        <f>'Milling Down Time Hours'!G73</f>
        <v>0</v>
      </c>
      <c r="S75" s="667"/>
      <c r="T75" s="1193"/>
      <c r="U75" s="1193"/>
      <c r="V75" s="1194"/>
      <c r="W75" s="967">
        <f t="shared" si="60"/>
        <v>0</v>
      </c>
      <c r="X75" s="965">
        <f t="shared" si="61"/>
        <v>0</v>
      </c>
      <c r="Y75" s="965">
        <f t="shared" si="62"/>
        <v>0</v>
      </c>
      <c r="Z75" s="968">
        <v>6</v>
      </c>
    </row>
    <row r="76" spans="1:30" ht="15" thickBot="1" x14ac:dyDescent="0.35">
      <c r="B76" s="1441"/>
      <c r="C76" s="1442"/>
      <c r="D76" s="969"/>
      <c r="E76" s="969"/>
      <c r="F76" s="970" t="s">
        <v>13</v>
      </c>
      <c r="G76" s="962">
        <v>0.25</v>
      </c>
      <c r="H76" s="668">
        <f>J76-H75</f>
        <v>152.78690499999993</v>
      </c>
      <c r="I76" s="965">
        <f>H76/P76</f>
        <v>12.911569436619713</v>
      </c>
      <c r="J76" s="965">
        <f>3.14*Z76*((10.7/2)^2)</f>
        <v>692.03480499999989</v>
      </c>
      <c r="K76" s="963">
        <v>1.155</v>
      </c>
      <c r="L76" s="962">
        <v>0.7</v>
      </c>
      <c r="M76" s="964">
        <f>(J76*K76*G76)-SUM(M75)</f>
        <v>65.174849313749974</v>
      </c>
      <c r="N76" s="1393"/>
      <c r="O76" s="965">
        <f>M76/P76</f>
        <v>5.5077337448239412</v>
      </c>
      <c r="P76" s="1192">
        <f>(720-R76)/60</f>
        <v>11.833333333333334</v>
      </c>
      <c r="Q76" s="1192">
        <f>720-R76</f>
        <v>710</v>
      </c>
      <c r="R76" s="1191">
        <f>'Milling Down Time Hours'!G74</f>
        <v>10</v>
      </c>
      <c r="S76" s="667"/>
      <c r="T76" s="1195"/>
      <c r="U76" s="1195"/>
      <c r="V76" s="1196"/>
      <c r="W76" s="967">
        <f t="shared" si="60"/>
        <v>0</v>
      </c>
      <c r="X76" s="965">
        <f t="shared" si="61"/>
        <v>0</v>
      </c>
      <c r="Y76" s="965">
        <f t="shared" si="62"/>
        <v>0</v>
      </c>
      <c r="Z76" s="968">
        <v>7.7</v>
      </c>
    </row>
    <row r="77" spans="1:30" ht="15" thickBot="1" x14ac:dyDescent="0.35">
      <c r="B77" s="1388">
        <v>46300</v>
      </c>
      <c r="C77" s="1389"/>
      <c r="D77" s="13"/>
      <c r="E77" s="13"/>
      <c r="F77" s="917" t="s">
        <v>12</v>
      </c>
      <c r="G77" s="233"/>
      <c r="H77" s="13"/>
      <c r="I77" s="872"/>
      <c r="J77" s="233"/>
      <c r="K77" s="233"/>
      <c r="L77" s="233"/>
      <c r="M77" s="885">
        <f t="shared" ref="M77:M102" si="65">H77*K77*G77</f>
        <v>0</v>
      </c>
      <c r="N77" s="233"/>
      <c r="O77" s="872"/>
      <c r="P77" s="458"/>
      <c r="Q77" s="458"/>
      <c r="R77" s="458"/>
      <c r="S77" s="13"/>
      <c r="T77" s="237"/>
      <c r="U77" s="237"/>
      <c r="V77" s="238"/>
      <c r="W77" s="159">
        <f t="shared" si="60"/>
        <v>0</v>
      </c>
      <c r="X77" s="154">
        <f t="shared" si="61"/>
        <v>0</v>
      </c>
      <c r="Y77" s="154">
        <f t="shared" si="62"/>
        <v>0</v>
      </c>
      <c r="Z77" s="745"/>
    </row>
    <row r="78" spans="1:30" ht="15" thickBot="1" x14ac:dyDescent="0.35">
      <c r="B78" s="1390"/>
      <c r="C78" s="1391"/>
      <c r="D78" s="36"/>
      <c r="E78" s="36"/>
      <c r="F78" s="908" t="s">
        <v>13</v>
      </c>
      <c r="G78" s="882"/>
      <c r="H78" s="13"/>
      <c r="I78" s="872"/>
      <c r="J78" s="233"/>
      <c r="K78" s="233"/>
      <c r="L78" s="882"/>
      <c r="M78" s="885">
        <f t="shared" si="65"/>
        <v>0</v>
      </c>
      <c r="N78" s="882"/>
      <c r="O78" s="872"/>
      <c r="P78" s="154"/>
      <c r="Q78" s="154"/>
      <c r="R78" s="154">
        <f>'Milling Down Time Hours'!L83</f>
        <v>0</v>
      </c>
      <c r="S78" s="13"/>
      <c r="T78" s="987"/>
      <c r="U78" s="987"/>
      <c r="V78" s="989"/>
      <c r="W78" s="159">
        <f t="shared" si="60"/>
        <v>0</v>
      </c>
      <c r="X78" s="154">
        <f t="shared" si="61"/>
        <v>0</v>
      </c>
      <c r="Y78" s="154">
        <f t="shared" si="62"/>
        <v>0</v>
      </c>
      <c r="Z78" s="745"/>
    </row>
    <row r="79" spans="1:30" ht="15" thickBot="1" x14ac:dyDescent="0.35">
      <c r="B79" s="1388">
        <v>46301</v>
      </c>
      <c r="C79" s="1389"/>
      <c r="D79" s="13"/>
      <c r="E79" s="13"/>
      <c r="F79" s="917" t="s">
        <v>12</v>
      </c>
      <c r="G79" s="233"/>
      <c r="H79" s="13"/>
      <c r="I79" s="872"/>
      <c r="J79" s="233"/>
      <c r="K79" s="233"/>
      <c r="L79" s="233"/>
      <c r="M79" s="885">
        <f t="shared" si="65"/>
        <v>0</v>
      </c>
      <c r="N79" s="233"/>
      <c r="O79" s="872"/>
      <c r="P79" s="154"/>
      <c r="Q79" s="154"/>
      <c r="R79" s="154"/>
      <c r="S79" s="13"/>
      <c r="T79" s="988"/>
      <c r="U79" s="988"/>
      <c r="V79" s="990"/>
      <c r="W79" s="159">
        <f t="shared" si="60"/>
        <v>0</v>
      </c>
      <c r="X79" s="154">
        <f t="shared" si="61"/>
        <v>0</v>
      </c>
      <c r="Y79" s="154">
        <f t="shared" si="62"/>
        <v>0</v>
      </c>
      <c r="Z79" s="745"/>
    </row>
    <row r="80" spans="1:30" ht="14.55" hidden="1" customHeight="1" thickBot="1" x14ac:dyDescent="0.35">
      <c r="B80" s="1459"/>
      <c r="C80" s="1460"/>
      <c r="D80" s="36"/>
      <c r="E80" s="36"/>
      <c r="F80" s="908" t="s">
        <v>13</v>
      </c>
      <c r="G80" s="882"/>
      <c r="H80" s="13"/>
      <c r="I80" s="872"/>
      <c r="J80" s="233"/>
      <c r="K80" s="233"/>
      <c r="L80" s="233"/>
      <c r="M80" s="885">
        <f t="shared" si="65"/>
        <v>0</v>
      </c>
      <c r="N80" s="233"/>
      <c r="O80" s="872"/>
      <c r="P80" s="1461">
        <f>'Milling Down Time Hours'!Q43</f>
        <v>0</v>
      </c>
      <c r="Q80" s="458"/>
      <c r="R80" s="1461">
        <f>'Milling Down Time Hours'!L85</f>
        <v>0</v>
      </c>
      <c r="S80" s="13"/>
      <c r="T80" s="1466">
        <v>0.35699999999999998</v>
      </c>
      <c r="U80" s="1466">
        <v>1.056</v>
      </c>
      <c r="V80" s="1468">
        <v>32.25</v>
      </c>
      <c r="W80" s="159">
        <f t="shared" si="60"/>
        <v>0</v>
      </c>
      <c r="X80" s="154">
        <f t="shared" si="61"/>
        <v>0</v>
      </c>
      <c r="Y80" s="154">
        <f t="shared" si="62"/>
        <v>0</v>
      </c>
      <c r="Z80" s="745"/>
      <c r="AD80" s="1">
        <v>0.51600000000000001</v>
      </c>
    </row>
    <row r="81" spans="2:30" ht="15" hidden="1" customHeight="1" thickBot="1" x14ac:dyDescent="0.35">
      <c r="B81" s="1459"/>
      <c r="C81" s="1460"/>
      <c r="D81" s="13"/>
      <c r="E81" s="13"/>
      <c r="F81" s="917" t="s">
        <v>12</v>
      </c>
      <c r="G81" s="233"/>
      <c r="H81" s="13"/>
      <c r="I81" s="872"/>
      <c r="J81" s="233"/>
      <c r="K81" s="233"/>
      <c r="L81" s="233"/>
      <c r="M81" s="885">
        <f t="shared" si="65"/>
        <v>0</v>
      </c>
      <c r="N81" s="233"/>
      <c r="O81" s="872"/>
      <c r="P81" s="1462"/>
      <c r="Q81" s="867"/>
      <c r="R81" s="1462"/>
      <c r="S81" s="13"/>
      <c r="T81" s="1467"/>
      <c r="U81" s="1467"/>
      <c r="V81" s="1469"/>
      <c r="W81" s="159">
        <f t="shared" si="60"/>
        <v>0</v>
      </c>
      <c r="X81" s="154">
        <f t="shared" si="61"/>
        <v>0</v>
      </c>
      <c r="Y81" s="154">
        <f t="shared" si="62"/>
        <v>0</v>
      </c>
      <c r="Z81" s="745"/>
      <c r="AD81" s="117">
        <f>AVERAGE(AD75:AD80)</f>
        <v>0.51600000000000001</v>
      </c>
    </row>
    <row r="82" spans="2:30" ht="14.55" hidden="1" customHeight="1" thickBot="1" x14ac:dyDescent="0.35">
      <c r="B82" s="1459"/>
      <c r="C82" s="1460"/>
      <c r="D82" s="36"/>
      <c r="E82" s="36"/>
      <c r="F82" s="908" t="s">
        <v>13</v>
      </c>
      <c r="G82" s="233"/>
      <c r="H82" s="13"/>
      <c r="I82" s="872"/>
      <c r="J82" s="233"/>
      <c r="K82" s="233"/>
      <c r="L82" s="233"/>
      <c r="M82" s="885">
        <f t="shared" si="65"/>
        <v>0</v>
      </c>
      <c r="N82" s="233"/>
      <c r="O82" s="872"/>
      <c r="P82" s="1463">
        <f>'Milling Down Time Hours'!M87</f>
        <v>0</v>
      </c>
      <c r="Q82" s="866"/>
      <c r="R82" s="1463">
        <f>'Milling Down Time Hours'!L87</f>
        <v>0</v>
      </c>
      <c r="S82" s="13"/>
      <c r="T82" s="1464" t="e">
        <f>SUM(#REF!)</f>
        <v>#REF!</v>
      </c>
      <c r="U82" s="1464" t="e">
        <f t="shared" ref="U82:V82" si="66">SUM(T82:T84)</f>
        <v>#REF!</v>
      </c>
      <c r="V82" s="1471" t="e">
        <f t="shared" si="66"/>
        <v>#REF!</v>
      </c>
      <c r="W82" s="159" t="e">
        <f t="shared" si="60"/>
        <v>#REF!</v>
      </c>
      <c r="X82" s="154" t="e">
        <f t="shared" si="61"/>
        <v>#REF!</v>
      </c>
      <c r="Y82" s="154" t="e">
        <f t="shared" si="62"/>
        <v>#REF!</v>
      </c>
      <c r="Z82" s="745"/>
    </row>
    <row r="83" spans="2:30" ht="15" hidden="1" customHeight="1" thickBot="1" x14ac:dyDescent="0.35">
      <c r="B83" s="1459"/>
      <c r="C83" s="1460"/>
      <c r="D83" s="13"/>
      <c r="E83" s="13"/>
      <c r="F83" s="917" t="s">
        <v>12</v>
      </c>
      <c r="G83" s="233"/>
      <c r="H83" s="13"/>
      <c r="I83" s="872"/>
      <c r="J83" s="233"/>
      <c r="K83" s="233"/>
      <c r="L83" s="233"/>
      <c r="M83" s="885">
        <f t="shared" si="65"/>
        <v>0</v>
      </c>
      <c r="N83" s="233"/>
      <c r="O83" s="872"/>
      <c r="P83" s="1462"/>
      <c r="Q83" s="867"/>
      <c r="R83" s="1462"/>
      <c r="S83" s="13"/>
      <c r="T83" s="1465"/>
      <c r="U83" s="1465"/>
      <c r="V83" s="1472"/>
      <c r="W83" s="159">
        <f t="shared" si="60"/>
        <v>0</v>
      </c>
      <c r="X83" s="154">
        <f t="shared" si="61"/>
        <v>0</v>
      </c>
      <c r="Y83" s="154">
        <f t="shared" si="62"/>
        <v>0</v>
      </c>
      <c r="Z83" s="745"/>
    </row>
    <row r="84" spans="2:30" ht="14.55" hidden="1" customHeight="1" thickBot="1" x14ac:dyDescent="0.35">
      <c r="B84" s="1459"/>
      <c r="C84" s="1460"/>
      <c r="D84" s="36"/>
      <c r="E84" s="36"/>
      <c r="F84" s="908" t="s">
        <v>13</v>
      </c>
      <c r="G84" s="233"/>
      <c r="H84" s="13"/>
      <c r="I84" s="872"/>
      <c r="J84" s="233"/>
      <c r="K84" s="233"/>
      <c r="L84" s="233"/>
      <c r="M84" s="885">
        <f t="shared" si="65"/>
        <v>0</v>
      </c>
      <c r="N84" s="233"/>
      <c r="O84" s="872"/>
      <c r="P84" s="1463">
        <f>'Milling Down Time Hours'!M89</f>
        <v>0</v>
      </c>
      <c r="Q84" s="866"/>
      <c r="R84" s="1463">
        <f>'Milling Down Time Hours'!L89</f>
        <v>0</v>
      </c>
      <c r="S84" s="13"/>
      <c r="T84" s="1464" t="e">
        <f>SUM(#REF!)</f>
        <v>#REF!</v>
      </c>
      <c r="U84" s="1464" t="e">
        <f t="shared" ref="U84:V84" si="67">SUM(T84:T86)</f>
        <v>#REF!</v>
      </c>
      <c r="V84" s="1471" t="e">
        <f t="shared" si="67"/>
        <v>#REF!</v>
      </c>
      <c r="W84" s="159" t="e">
        <f t="shared" si="60"/>
        <v>#REF!</v>
      </c>
      <c r="X84" s="154" t="e">
        <f t="shared" si="61"/>
        <v>#REF!</v>
      </c>
      <c r="Y84" s="154" t="e">
        <f t="shared" si="62"/>
        <v>#REF!</v>
      </c>
      <c r="Z84" s="745"/>
    </row>
    <row r="85" spans="2:30" ht="15" hidden="1" customHeight="1" thickBot="1" x14ac:dyDescent="0.35">
      <c r="B85" s="1459"/>
      <c r="C85" s="1460"/>
      <c r="D85" s="13"/>
      <c r="E85" s="13"/>
      <c r="F85" s="917" t="s">
        <v>12</v>
      </c>
      <c r="G85" s="233"/>
      <c r="H85" s="13"/>
      <c r="I85" s="872"/>
      <c r="J85" s="233"/>
      <c r="K85" s="233"/>
      <c r="L85" s="233"/>
      <c r="M85" s="885">
        <f t="shared" si="65"/>
        <v>0</v>
      </c>
      <c r="N85" s="233"/>
      <c r="O85" s="872"/>
      <c r="P85" s="1462"/>
      <c r="Q85" s="867"/>
      <c r="R85" s="1462"/>
      <c r="S85" s="13"/>
      <c r="T85" s="1465"/>
      <c r="U85" s="1465"/>
      <c r="V85" s="1472"/>
      <c r="W85" s="159">
        <f t="shared" si="60"/>
        <v>0</v>
      </c>
      <c r="X85" s="154">
        <f t="shared" si="61"/>
        <v>0</v>
      </c>
      <c r="Y85" s="154">
        <f t="shared" si="62"/>
        <v>0</v>
      </c>
      <c r="Z85" s="745"/>
    </row>
    <row r="86" spans="2:30" ht="14.55" hidden="1" customHeight="1" thickBot="1" x14ac:dyDescent="0.35">
      <c r="B86" s="1459"/>
      <c r="C86" s="1460"/>
      <c r="D86" s="36"/>
      <c r="E86" s="36"/>
      <c r="F86" s="908" t="s">
        <v>13</v>
      </c>
      <c r="G86" s="233"/>
      <c r="H86" s="13"/>
      <c r="I86" s="872"/>
      <c r="J86" s="233"/>
      <c r="K86" s="233"/>
      <c r="L86" s="233"/>
      <c r="M86" s="885">
        <f t="shared" si="65"/>
        <v>0</v>
      </c>
      <c r="N86" s="233"/>
      <c r="O86" s="872"/>
      <c r="P86" s="1463">
        <f>'Milling Down Time Hours'!M91</f>
        <v>0</v>
      </c>
      <c r="Q86" s="866"/>
      <c r="R86" s="1463">
        <f>'Milling Down Time Hours'!L91</f>
        <v>0</v>
      </c>
      <c r="S86" s="13"/>
      <c r="T86" s="1464" t="e">
        <f>SUM(#REF!)</f>
        <v>#REF!</v>
      </c>
      <c r="U86" s="1464" t="e">
        <f t="shared" ref="U86:V86" si="68">SUM(T86:T88)</f>
        <v>#REF!</v>
      </c>
      <c r="V86" s="1471" t="e">
        <f t="shared" si="68"/>
        <v>#REF!</v>
      </c>
      <c r="W86" s="159" t="e">
        <f t="shared" si="60"/>
        <v>#REF!</v>
      </c>
      <c r="X86" s="154" t="e">
        <f t="shared" si="61"/>
        <v>#REF!</v>
      </c>
      <c r="Y86" s="154" t="e">
        <f t="shared" si="62"/>
        <v>#REF!</v>
      </c>
      <c r="Z86" s="745"/>
    </row>
    <row r="87" spans="2:30" ht="15" hidden="1" customHeight="1" thickBot="1" x14ac:dyDescent="0.35">
      <c r="B87" s="1459"/>
      <c r="C87" s="1460"/>
      <c r="D87" s="13"/>
      <c r="E87" s="13"/>
      <c r="F87" s="917" t="s">
        <v>12</v>
      </c>
      <c r="G87" s="233"/>
      <c r="H87" s="13"/>
      <c r="I87" s="872"/>
      <c r="J87" s="233"/>
      <c r="K87" s="233"/>
      <c r="L87" s="233"/>
      <c r="M87" s="885">
        <f t="shared" si="65"/>
        <v>0</v>
      </c>
      <c r="N87" s="233"/>
      <c r="O87" s="872"/>
      <c r="P87" s="1462"/>
      <c r="Q87" s="867"/>
      <c r="R87" s="1462"/>
      <c r="S87" s="13"/>
      <c r="T87" s="1465"/>
      <c r="U87" s="1465"/>
      <c r="V87" s="1472"/>
      <c r="W87" s="159">
        <f t="shared" si="60"/>
        <v>0</v>
      </c>
      <c r="X87" s="154">
        <f t="shared" si="61"/>
        <v>0</v>
      </c>
      <c r="Y87" s="154">
        <f t="shared" si="62"/>
        <v>0</v>
      </c>
      <c r="Z87" s="745"/>
    </row>
    <row r="88" spans="2:30" ht="14.55" hidden="1" customHeight="1" thickBot="1" x14ac:dyDescent="0.35">
      <c r="B88" s="1459"/>
      <c r="C88" s="1460"/>
      <c r="D88" s="36"/>
      <c r="E88" s="36"/>
      <c r="F88" s="908" t="s">
        <v>13</v>
      </c>
      <c r="G88" s="233"/>
      <c r="H88" s="13"/>
      <c r="I88" s="872"/>
      <c r="J88" s="233"/>
      <c r="K88" s="233"/>
      <c r="L88" s="233"/>
      <c r="M88" s="885">
        <f t="shared" si="65"/>
        <v>0</v>
      </c>
      <c r="N88" s="233"/>
      <c r="O88" s="872"/>
      <c r="P88" s="1463">
        <f>'Milling Down Time Hours'!M93</f>
        <v>0</v>
      </c>
      <c r="Q88" s="866"/>
      <c r="R88" s="1463">
        <f>'Milling Down Time Hours'!L93</f>
        <v>0</v>
      </c>
      <c r="S88" s="13"/>
      <c r="T88" s="1464" t="e">
        <f>SUM(#REF!)</f>
        <v>#REF!</v>
      </c>
      <c r="U88" s="1464" t="e">
        <f t="shared" ref="U88:V88" si="69">SUM(T88:T90)</f>
        <v>#REF!</v>
      </c>
      <c r="V88" s="1471" t="e">
        <f t="shared" si="69"/>
        <v>#REF!</v>
      </c>
      <c r="W88" s="159" t="e">
        <f t="shared" si="60"/>
        <v>#REF!</v>
      </c>
      <c r="X88" s="154" t="e">
        <f t="shared" si="61"/>
        <v>#REF!</v>
      </c>
      <c r="Y88" s="154" t="e">
        <f t="shared" si="62"/>
        <v>#REF!</v>
      </c>
      <c r="Z88" s="745"/>
    </row>
    <row r="89" spans="2:30" ht="15" hidden="1" customHeight="1" thickBot="1" x14ac:dyDescent="0.35">
      <c r="B89" s="1459"/>
      <c r="C89" s="1460"/>
      <c r="D89" s="13"/>
      <c r="E89" s="13"/>
      <c r="F89" s="917" t="s">
        <v>12</v>
      </c>
      <c r="G89" s="233"/>
      <c r="H89" s="13"/>
      <c r="I89" s="872"/>
      <c r="J89" s="233"/>
      <c r="K89" s="233"/>
      <c r="L89" s="233"/>
      <c r="M89" s="885">
        <f t="shared" si="65"/>
        <v>0</v>
      </c>
      <c r="N89" s="233"/>
      <c r="O89" s="872"/>
      <c r="P89" s="1462"/>
      <c r="Q89" s="867"/>
      <c r="R89" s="1462"/>
      <c r="S89" s="13"/>
      <c r="T89" s="1465"/>
      <c r="U89" s="1465"/>
      <c r="V89" s="1472"/>
      <c r="W89" s="159">
        <f t="shared" si="60"/>
        <v>0</v>
      </c>
      <c r="X89" s="154">
        <f t="shared" si="61"/>
        <v>0</v>
      </c>
      <c r="Y89" s="154">
        <f t="shared" si="62"/>
        <v>0</v>
      </c>
      <c r="Z89" s="745"/>
    </row>
    <row r="90" spans="2:30" ht="14.55" hidden="1" customHeight="1" thickBot="1" x14ac:dyDescent="0.35">
      <c r="B90" s="1459"/>
      <c r="C90" s="1460"/>
      <c r="D90" s="36"/>
      <c r="E90" s="36"/>
      <c r="F90" s="908" t="s">
        <v>13</v>
      </c>
      <c r="G90" s="233"/>
      <c r="H90" s="13"/>
      <c r="I90" s="872"/>
      <c r="J90" s="233"/>
      <c r="K90" s="233"/>
      <c r="L90" s="233"/>
      <c r="M90" s="885">
        <f t="shared" si="65"/>
        <v>0</v>
      </c>
      <c r="N90" s="233"/>
      <c r="O90" s="872"/>
      <c r="P90" s="1463">
        <f>'Milling Down Time Hours'!M95</f>
        <v>0</v>
      </c>
      <c r="Q90" s="866"/>
      <c r="R90" s="1463">
        <f>'Milling Down Time Hours'!L95</f>
        <v>0</v>
      </c>
      <c r="S90" s="13"/>
      <c r="T90" s="1464" t="e">
        <f>SUM(#REF!)</f>
        <v>#REF!</v>
      </c>
      <c r="U90" s="1464" t="e">
        <f t="shared" ref="U90:V90" si="70">SUM(T90:T92)</f>
        <v>#REF!</v>
      </c>
      <c r="V90" s="1471" t="e">
        <f t="shared" si="70"/>
        <v>#REF!</v>
      </c>
      <c r="W90" s="159" t="e">
        <f t="shared" si="60"/>
        <v>#REF!</v>
      </c>
      <c r="X90" s="154" t="e">
        <f t="shared" si="61"/>
        <v>#REF!</v>
      </c>
      <c r="Y90" s="154" t="e">
        <f t="shared" si="62"/>
        <v>#REF!</v>
      </c>
      <c r="Z90" s="745"/>
    </row>
    <row r="91" spans="2:30" ht="15" hidden="1" customHeight="1" thickBot="1" x14ac:dyDescent="0.35">
      <c r="B91" s="1459"/>
      <c r="C91" s="1460"/>
      <c r="D91" s="13"/>
      <c r="E91" s="13"/>
      <c r="F91" s="917" t="s">
        <v>12</v>
      </c>
      <c r="G91" s="233"/>
      <c r="H91" s="13"/>
      <c r="I91" s="872"/>
      <c r="J91" s="233"/>
      <c r="K91" s="233"/>
      <c r="L91" s="233"/>
      <c r="M91" s="885">
        <f t="shared" si="65"/>
        <v>0</v>
      </c>
      <c r="N91" s="233"/>
      <c r="O91" s="872"/>
      <c r="P91" s="1462"/>
      <c r="Q91" s="867"/>
      <c r="R91" s="1462"/>
      <c r="S91" s="13"/>
      <c r="T91" s="1465"/>
      <c r="U91" s="1465"/>
      <c r="V91" s="1472"/>
      <c r="W91" s="159">
        <f t="shared" si="60"/>
        <v>0</v>
      </c>
      <c r="X91" s="154">
        <f t="shared" si="61"/>
        <v>0</v>
      </c>
      <c r="Y91" s="154">
        <f t="shared" si="62"/>
        <v>0</v>
      </c>
      <c r="Z91" s="745"/>
    </row>
    <row r="92" spans="2:30" ht="14.55" hidden="1" customHeight="1" thickBot="1" x14ac:dyDescent="0.35">
      <c r="B92" s="1459"/>
      <c r="C92" s="1460"/>
      <c r="D92" s="36"/>
      <c r="E92" s="36"/>
      <c r="F92" s="908" t="s">
        <v>13</v>
      </c>
      <c r="G92" s="233"/>
      <c r="H92" s="13"/>
      <c r="I92" s="872"/>
      <c r="J92" s="233"/>
      <c r="K92" s="233"/>
      <c r="L92" s="233"/>
      <c r="M92" s="885">
        <f t="shared" si="65"/>
        <v>0</v>
      </c>
      <c r="N92" s="233"/>
      <c r="O92" s="872"/>
      <c r="P92" s="1463">
        <f>'Milling Down Time Hours'!M97</f>
        <v>0</v>
      </c>
      <c r="Q92" s="866"/>
      <c r="R92" s="1463">
        <f>'Milling Down Time Hours'!L97</f>
        <v>0</v>
      </c>
      <c r="S92" s="13"/>
      <c r="T92" s="1464" t="e">
        <f>SUM(#REF!)</f>
        <v>#REF!</v>
      </c>
      <c r="U92" s="1464" t="e">
        <f t="shared" ref="U92:V92" si="71">SUM(T92:T94)</f>
        <v>#REF!</v>
      </c>
      <c r="V92" s="1471" t="e">
        <f t="shared" si="71"/>
        <v>#REF!</v>
      </c>
      <c r="W92" s="159" t="e">
        <f t="shared" si="60"/>
        <v>#REF!</v>
      </c>
      <c r="X92" s="154" t="e">
        <f t="shared" si="61"/>
        <v>#REF!</v>
      </c>
      <c r="Y92" s="154" t="e">
        <f t="shared" si="62"/>
        <v>#REF!</v>
      </c>
      <c r="Z92" s="745"/>
    </row>
    <row r="93" spans="2:30" ht="15" hidden="1" customHeight="1" thickBot="1" x14ac:dyDescent="0.35">
      <c r="B93" s="1459"/>
      <c r="C93" s="1460"/>
      <c r="D93" s="13"/>
      <c r="E93" s="13"/>
      <c r="F93" s="917" t="s">
        <v>12</v>
      </c>
      <c r="G93" s="233"/>
      <c r="H93" s="13"/>
      <c r="I93" s="872"/>
      <c r="J93" s="233"/>
      <c r="K93" s="233"/>
      <c r="L93" s="233"/>
      <c r="M93" s="885">
        <f t="shared" si="65"/>
        <v>0</v>
      </c>
      <c r="N93" s="233"/>
      <c r="O93" s="872"/>
      <c r="P93" s="1462"/>
      <c r="Q93" s="867"/>
      <c r="R93" s="1462"/>
      <c r="S93" s="13"/>
      <c r="T93" s="1465"/>
      <c r="U93" s="1465"/>
      <c r="V93" s="1472"/>
      <c r="W93" s="159">
        <f t="shared" si="60"/>
        <v>0</v>
      </c>
      <c r="X93" s="154">
        <f t="shared" si="61"/>
        <v>0</v>
      </c>
      <c r="Y93" s="154">
        <f t="shared" si="62"/>
        <v>0</v>
      </c>
      <c r="Z93" s="745"/>
    </row>
    <row r="94" spans="2:30" ht="14.55" hidden="1" customHeight="1" thickBot="1" x14ac:dyDescent="0.35">
      <c r="B94" s="1459"/>
      <c r="C94" s="1460"/>
      <c r="D94" s="36"/>
      <c r="E94" s="36"/>
      <c r="F94" s="908" t="s">
        <v>13</v>
      </c>
      <c r="G94" s="233"/>
      <c r="H94" s="13"/>
      <c r="I94" s="872"/>
      <c r="J94" s="233"/>
      <c r="K94" s="233"/>
      <c r="L94" s="233"/>
      <c r="M94" s="885">
        <f t="shared" si="65"/>
        <v>0</v>
      </c>
      <c r="N94" s="233"/>
      <c r="O94" s="872"/>
      <c r="P94" s="1463">
        <f>'Milling Down Time Hours'!M99</f>
        <v>0</v>
      </c>
      <c r="Q94" s="866"/>
      <c r="R94" s="1463">
        <f>'Milling Down Time Hours'!L99</f>
        <v>0</v>
      </c>
      <c r="S94" s="13"/>
      <c r="T94" s="1464" t="e">
        <f>SUM(#REF!)</f>
        <v>#REF!</v>
      </c>
      <c r="U94" s="1464" t="e">
        <f t="shared" ref="U94:V94" si="72">SUM(T94:T96)</f>
        <v>#REF!</v>
      </c>
      <c r="V94" s="1471" t="e">
        <f t="shared" si="72"/>
        <v>#REF!</v>
      </c>
      <c r="W94" s="159" t="e">
        <f t="shared" si="60"/>
        <v>#REF!</v>
      </c>
      <c r="X94" s="154" t="e">
        <f t="shared" si="61"/>
        <v>#REF!</v>
      </c>
      <c r="Y94" s="154" t="e">
        <f t="shared" si="62"/>
        <v>#REF!</v>
      </c>
      <c r="Z94" s="745"/>
    </row>
    <row r="95" spans="2:30" ht="15" hidden="1" customHeight="1" thickBot="1" x14ac:dyDescent="0.35">
      <c r="B95" s="1459"/>
      <c r="C95" s="1460"/>
      <c r="D95" s="13"/>
      <c r="E95" s="13"/>
      <c r="F95" s="917" t="s">
        <v>12</v>
      </c>
      <c r="G95" s="233"/>
      <c r="H95" s="13"/>
      <c r="I95" s="872"/>
      <c r="J95" s="233"/>
      <c r="K95" s="233"/>
      <c r="L95" s="233"/>
      <c r="M95" s="885">
        <f t="shared" si="65"/>
        <v>0</v>
      </c>
      <c r="N95" s="233"/>
      <c r="O95" s="872"/>
      <c r="P95" s="1462"/>
      <c r="Q95" s="867"/>
      <c r="R95" s="1462"/>
      <c r="S95" s="13"/>
      <c r="T95" s="1465"/>
      <c r="U95" s="1465"/>
      <c r="V95" s="1472"/>
      <c r="W95" s="159">
        <f t="shared" si="60"/>
        <v>0</v>
      </c>
      <c r="X95" s="154">
        <f t="shared" si="61"/>
        <v>0</v>
      </c>
      <c r="Y95" s="154">
        <f t="shared" si="62"/>
        <v>0</v>
      </c>
      <c r="Z95" s="745"/>
    </row>
    <row r="96" spans="2:30" ht="14.55" hidden="1" customHeight="1" thickBot="1" x14ac:dyDescent="0.35">
      <c r="B96" s="1459"/>
      <c r="C96" s="1460"/>
      <c r="D96" s="36"/>
      <c r="E96" s="36"/>
      <c r="F96" s="908" t="s">
        <v>13</v>
      </c>
      <c r="G96" s="233"/>
      <c r="H96" s="13"/>
      <c r="I96" s="872"/>
      <c r="J96" s="233"/>
      <c r="K96" s="233"/>
      <c r="L96" s="233"/>
      <c r="M96" s="885">
        <f t="shared" si="65"/>
        <v>0</v>
      </c>
      <c r="N96" s="233"/>
      <c r="O96" s="872"/>
      <c r="P96" s="1463">
        <f>'Milling Down Time Hours'!M101</f>
        <v>0</v>
      </c>
      <c r="Q96" s="866"/>
      <c r="R96" s="1463">
        <f>'Milling Down Time Hours'!L101</f>
        <v>0</v>
      </c>
      <c r="S96" s="13"/>
      <c r="T96" s="1464" t="e">
        <f>SUM(#REF!)</f>
        <v>#REF!</v>
      </c>
      <c r="U96" s="1464" t="e">
        <f>SUM(T96:T107)</f>
        <v>#REF!</v>
      </c>
      <c r="V96" s="1471" t="e">
        <f>SUM(U96:U107)</f>
        <v>#REF!</v>
      </c>
      <c r="W96" s="159" t="e">
        <f t="shared" si="60"/>
        <v>#REF!</v>
      </c>
      <c r="X96" s="154" t="e">
        <f t="shared" si="61"/>
        <v>#REF!</v>
      </c>
      <c r="Y96" s="154" t="e">
        <f t="shared" si="62"/>
        <v>#REF!</v>
      </c>
      <c r="Z96" s="745"/>
    </row>
    <row r="97" spans="2:27" ht="14.55" hidden="1" customHeight="1" thickBot="1" x14ac:dyDescent="0.35">
      <c r="B97" s="1459"/>
      <c r="C97" s="1460"/>
      <c r="D97" s="95"/>
      <c r="E97" s="95"/>
      <c r="F97" s="917" t="s">
        <v>12</v>
      </c>
      <c r="G97" s="864"/>
      <c r="H97" s="95"/>
      <c r="I97" s="873"/>
      <c r="J97" s="864"/>
      <c r="K97" s="864"/>
      <c r="L97" s="864"/>
      <c r="M97" s="885">
        <f t="shared" si="65"/>
        <v>0</v>
      </c>
      <c r="N97" s="864"/>
      <c r="O97" s="873"/>
      <c r="P97" s="1461"/>
      <c r="Q97" s="458"/>
      <c r="R97" s="1473"/>
      <c r="S97" s="95"/>
      <c r="T97" s="1474"/>
      <c r="U97" s="1474"/>
      <c r="V97" s="1475"/>
      <c r="W97" s="159">
        <f t="shared" si="60"/>
        <v>0</v>
      </c>
      <c r="X97" s="154">
        <f t="shared" si="61"/>
        <v>0</v>
      </c>
      <c r="Y97" s="154">
        <f t="shared" si="62"/>
        <v>0</v>
      </c>
      <c r="Z97" s="745"/>
    </row>
    <row r="98" spans="2:27" ht="15" thickBot="1" x14ac:dyDescent="0.35">
      <c r="B98" s="1390"/>
      <c r="C98" s="1391"/>
      <c r="D98" s="13"/>
      <c r="E98" s="13"/>
      <c r="F98" s="745" t="s">
        <v>13</v>
      </c>
      <c r="G98" s="882"/>
      <c r="H98" s="13"/>
      <c r="I98" s="872"/>
      <c r="J98" s="233"/>
      <c r="K98" s="233"/>
      <c r="L98" s="882"/>
      <c r="M98" s="885">
        <f t="shared" si="65"/>
        <v>0</v>
      </c>
      <c r="N98" s="882"/>
      <c r="O98" s="872"/>
      <c r="P98" s="154"/>
      <c r="Q98" s="154"/>
      <c r="R98" s="154"/>
      <c r="S98" s="13"/>
      <c r="T98" s="154"/>
      <c r="U98" s="154"/>
      <c r="V98" s="418"/>
      <c r="W98" s="159">
        <f t="shared" si="60"/>
        <v>0</v>
      </c>
      <c r="X98" s="154">
        <f t="shared" si="61"/>
        <v>0</v>
      </c>
      <c r="Y98" s="154">
        <f t="shared" si="62"/>
        <v>0</v>
      </c>
      <c r="Z98" s="745"/>
    </row>
    <row r="99" spans="2:27" ht="15" thickBot="1" x14ac:dyDescent="0.35">
      <c r="B99" s="1388">
        <v>46302</v>
      </c>
      <c r="C99" s="1389"/>
      <c r="D99" s="13"/>
      <c r="E99" s="13"/>
      <c r="F99" s="917" t="s">
        <v>12</v>
      </c>
      <c r="G99" s="882"/>
      <c r="H99" s="13"/>
      <c r="I99" s="872"/>
      <c r="J99" s="233"/>
      <c r="K99" s="233"/>
      <c r="L99" s="882"/>
      <c r="M99" s="885"/>
      <c r="N99" s="882"/>
      <c r="O99" s="872"/>
      <c r="P99" s="154"/>
      <c r="Q99" s="154"/>
      <c r="R99" s="154"/>
      <c r="S99" s="13"/>
      <c r="T99" s="154"/>
      <c r="U99" s="154"/>
      <c r="V99" s="418"/>
      <c r="W99" s="159"/>
      <c r="X99" s="154"/>
      <c r="Y99" s="154"/>
      <c r="Z99" s="745"/>
    </row>
    <row r="100" spans="2:27" ht="15" thickBot="1" x14ac:dyDescent="0.35">
      <c r="B100" s="1390"/>
      <c r="C100" s="1391"/>
      <c r="D100" s="13"/>
      <c r="E100" s="13"/>
      <c r="F100" s="908" t="s">
        <v>13</v>
      </c>
      <c r="G100" s="882"/>
      <c r="H100" s="13"/>
      <c r="I100" s="872"/>
      <c r="J100" s="233"/>
      <c r="K100" s="233"/>
      <c r="L100" s="882"/>
      <c r="M100" s="885"/>
      <c r="N100" s="882"/>
      <c r="O100" s="872"/>
      <c r="P100" s="154"/>
      <c r="Q100" s="154"/>
      <c r="R100" s="154"/>
      <c r="S100" s="13"/>
      <c r="T100" s="154"/>
      <c r="U100" s="154"/>
      <c r="V100" s="418"/>
      <c r="W100" s="159"/>
      <c r="X100" s="154"/>
      <c r="Y100" s="154"/>
      <c r="Z100" s="745"/>
    </row>
    <row r="101" spans="2:27" ht="15" thickBot="1" x14ac:dyDescent="0.35">
      <c r="B101" s="1388">
        <v>46303</v>
      </c>
      <c r="C101" s="1389"/>
      <c r="D101" s="13"/>
      <c r="E101" s="13"/>
      <c r="F101" s="917" t="s">
        <v>12</v>
      </c>
      <c r="G101" s="882"/>
      <c r="H101" s="13"/>
      <c r="I101" s="872"/>
      <c r="J101" s="233"/>
      <c r="K101" s="233"/>
      <c r="L101" s="882"/>
      <c r="M101" s="885"/>
      <c r="N101" s="882"/>
      <c r="O101" s="872"/>
      <c r="P101" s="154"/>
      <c r="Q101" s="154"/>
      <c r="R101" s="154"/>
      <c r="S101" s="13"/>
      <c r="T101" s="154"/>
      <c r="U101" s="154"/>
      <c r="V101" s="418"/>
      <c r="W101" s="159"/>
      <c r="X101" s="154"/>
      <c r="Y101" s="154"/>
      <c r="Z101" s="745"/>
    </row>
    <row r="102" spans="2:27" ht="15" thickBot="1" x14ac:dyDescent="0.35">
      <c r="B102" s="1390"/>
      <c r="C102" s="1391"/>
      <c r="D102" s="13"/>
      <c r="E102" s="13"/>
      <c r="F102" s="908" t="s">
        <v>13</v>
      </c>
      <c r="G102" s="233"/>
      <c r="H102" s="13"/>
      <c r="I102" s="872"/>
      <c r="J102" s="233"/>
      <c r="K102" s="233"/>
      <c r="L102" s="233"/>
      <c r="M102" s="885">
        <f t="shared" si="65"/>
        <v>0</v>
      </c>
      <c r="N102" s="233"/>
      <c r="O102" s="872"/>
      <c r="P102" s="154"/>
      <c r="Q102" s="154"/>
      <c r="R102" s="154"/>
      <c r="S102" s="13"/>
      <c r="T102" s="154"/>
      <c r="U102" s="154"/>
      <c r="V102" s="418"/>
      <c r="W102" s="159">
        <f t="shared" si="60"/>
        <v>0</v>
      </c>
      <c r="X102" s="154">
        <f t="shared" si="61"/>
        <v>0</v>
      </c>
      <c r="Y102" s="154">
        <f t="shared" si="62"/>
        <v>0</v>
      </c>
      <c r="Z102" s="745"/>
      <c r="AA102" s="446">
        <f>SUM(AB5:AB17)</f>
        <v>1186273883.9705083</v>
      </c>
    </row>
    <row r="103" spans="2:27" ht="15" thickBot="1" x14ac:dyDescent="0.35">
      <c r="B103" s="1388">
        <v>46304</v>
      </c>
      <c r="C103" s="1389"/>
      <c r="D103" s="13"/>
      <c r="E103" s="13"/>
      <c r="F103" s="917" t="s">
        <v>12</v>
      </c>
      <c r="G103" s="882"/>
      <c r="H103" s="13"/>
      <c r="I103" s="872"/>
      <c r="J103" s="233"/>
      <c r="K103" s="233"/>
      <c r="L103" s="882"/>
      <c r="M103" s="885"/>
      <c r="N103" s="882"/>
      <c r="O103" s="872"/>
      <c r="P103" s="154"/>
      <c r="Q103" s="154"/>
      <c r="R103" s="154"/>
      <c r="S103" s="13"/>
      <c r="T103" s="154"/>
      <c r="U103" s="154"/>
      <c r="V103" s="418"/>
      <c r="W103" s="159"/>
      <c r="X103" s="154"/>
      <c r="Y103" s="154"/>
      <c r="Z103" s="745"/>
      <c r="AA103" s="446"/>
    </row>
    <row r="104" spans="2:27" ht="15" thickBot="1" x14ac:dyDescent="0.35">
      <c r="B104" s="1390"/>
      <c r="C104" s="1391"/>
      <c r="D104" s="13"/>
      <c r="E104" s="13"/>
      <c r="F104" s="908" t="s">
        <v>13</v>
      </c>
      <c r="G104" s="233"/>
      <c r="H104" s="13"/>
      <c r="I104" s="872"/>
      <c r="J104" s="233"/>
      <c r="K104" s="233"/>
      <c r="L104" s="233"/>
      <c r="M104" s="885">
        <f t="shared" ref="M104" si="73">H104*K104*G104</f>
        <v>0</v>
      </c>
      <c r="N104" s="233"/>
      <c r="O104" s="872"/>
      <c r="P104" s="154"/>
      <c r="Q104" s="154"/>
      <c r="R104" s="154"/>
      <c r="S104" s="13"/>
      <c r="T104" s="154"/>
      <c r="U104" s="154"/>
      <c r="V104" s="418"/>
      <c r="W104" s="159">
        <f t="shared" ref="W104" si="74">T104*M104</f>
        <v>0</v>
      </c>
      <c r="X104" s="154">
        <f t="shared" ref="X104" si="75">M104*U104</f>
        <v>0</v>
      </c>
      <c r="Y104" s="154">
        <f t="shared" ref="Y104" si="76">M104*V104</f>
        <v>0</v>
      </c>
      <c r="Z104" s="745"/>
      <c r="AA104" s="446"/>
    </row>
    <row r="105" spans="2:27" ht="15" thickBot="1" x14ac:dyDescent="0.35">
      <c r="B105" s="1388">
        <v>46305</v>
      </c>
      <c r="C105" s="1389"/>
      <c r="D105" s="13"/>
      <c r="E105" s="13"/>
      <c r="F105" s="917" t="s">
        <v>12</v>
      </c>
      <c r="G105" s="882"/>
      <c r="H105" s="13"/>
      <c r="I105" s="872"/>
      <c r="J105" s="233"/>
      <c r="K105" s="233"/>
      <c r="L105" s="882"/>
      <c r="M105" s="885"/>
      <c r="N105" s="882"/>
      <c r="O105" s="872"/>
      <c r="P105" s="154"/>
      <c r="Q105" s="154"/>
      <c r="R105" s="154"/>
      <c r="S105" s="13"/>
      <c r="T105" s="154"/>
      <c r="U105" s="154"/>
      <c r="V105" s="418"/>
      <c r="W105" s="159"/>
      <c r="X105" s="154"/>
      <c r="Y105" s="154"/>
      <c r="Z105" s="745"/>
      <c r="AA105" s="446"/>
    </row>
    <row r="106" spans="2:27" ht="15" thickBot="1" x14ac:dyDescent="0.35">
      <c r="B106" s="1390"/>
      <c r="C106" s="1391"/>
      <c r="D106" s="13"/>
      <c r="E106" s="13"/>
      <c r="F106" s="908" t="s">
        <v>13</v>
      </c>
      <c r="G106" s="233"/>
      <c r="H106" s="13"/>
      <c r="I106" s="872"/>
      <c r="J106" s="233"/>
      <c r="K106" s="233"/>
      <c r="L106" s="233"/>
      <c r="M106" s="885">
        <f t="shared" ref="M106" si="77">H106*K106*G106</f>
        <v>0</v>
      </c>
      <c r="N106" s="233"/>
      <c r="O106" s="872"/>
      <c r="P106" s="154"/>
      <c r="Q106" s="154"/>
      <c r="R106" s="154"/>
      <c r="S106" s="13"/>
      <c r="T106" s="154"/>
      <c r="U106" s="154"/>
      <c r="V106" s="418"/>
      <c r="W106" s="159">
        <f t="shared" ref="W106" si="78">T106*M106</f>
        <v>0</v>
      </c>
      <c r="X106" s="154">
        <f t="shared" ref="X106" si="79">M106*U106</f>
        <v>0</v>
      </c>
      <c r="Y106" s="154">
        <f t="shared" ref="Y106" si="80">M106*V106</f>
        <v>0</v>
      </c>
      <c r="Z106" s="745"/>
      <c r="AA106" s="446"/>
    </row>
    <row r="107" spans="2:27" ht="18" x14ac:dyDescent="0.35">
      <c r="B107" s="125" t="s">
        <v>121</v>
      </c>
      <c r="C107" s="126"/>
      <c r="D107" s="465"/>
      <c r="E107" s="465"/>
      <c r="F107" s="875"/>
      <c r="G107" s="875"/>
      <c r="H107" s="465"/>
      <c r="I107" s="874"/>
      <c r="J107" s="875"/>
      <c r="K107" s="875"/>
      <c r="L107" s="883">
        <f>AVERAGE(L5:L102)</f>
        <v>0.72372549019607846</v>
      </c>
      <c r="M107" s="886">
        <f>SUM(M5:M106)</f>
        <v>4193.7638381947509</v>
      </c>
      <c r="N107" s="883"/>
      <c r="O107" s="933" t="e">
        <f>AVERAGE(O5:O106)</f>
        <v>#DIV/0!</v>
      </c>
      <c r="P107" s="933">
        <f>SUM(P5:P106)</f>
        <v>490.23333333333329</v>
      </c>
      <c r="Q107" s="933">
        <f>SUM(Q5:Q106)</f>
        <v>29414</v>
      </c>
      <c r="R107" s="933">
        <f>SUM(R5:R106)</f>
        <v>13126</v>
      </c>
      <c r="S107" s="1096">
        <f>SUM(S5:S106)</f>
        <v>3993.9387882509996</v>
      </c>
      <c r="T107" s="118">
        <f>AVERAGE(T5:T43)</f>
        <v>0.65487096774193554</v>
      </c>
      <c r="U107" s="118">
        <f>AVERAGE(U5:U43)</f>
        <v>0.6632580645161289</v>
      </c>
      <c r="V107" s="118">
        <f>AVERAGE(V5:V43)</f>
        <v>8.9542903225806452</v>
      </c>
      <c r="W107" s="119" t="e">
        <f>SUM(W5:W102)</f>
        <v>#VALUE!</v>
      </c>
      <c r="X107" s="119">
        <f>SUM(X5:X16)</f>
        <v>421.51466277143334</v>
      </c>
      <c r="Y107" s="119">
        <f>SUM(Y5:Y16)</f>
        <v>5120.844159414587</v>
      </c>
      <c r="Z107" s="745"/>
    </row>
    <row r="109" spans="2:27" x14ac:dyDescent="0.3">
      <c r="Z109" s="584" t="s">
        <v>203</v>
      </c>
      <c r="AA109" s="1">
        <f>MIN(Z5:Z102)</f>
        <v>0</v>
      </c>
    </row>
    <row r="110" spans="2:27" x14ac:dyDescent="0.3">
      <c r="N110" s="887"/>
      <c r="Z110" s="584" t="s">
        <v>202</v>
      </c>
      <c r="AA110" s="136">
        <f>MAX(Z5:Z102)</f>
        <v>11.3</v>
      </c>
    </row>
    <row r="111" spans="2:27" x14ac:dyDescent="0.3">
      <c r="W111" s="136"/>
    </row>
  </sheetData>
  <mergeCells count="155">
    <mergeCell ref="V94:V95"/>
    <mergeCell ref="P96:P97"/>
    <mergeCell ref="R96:R97"/>
    <mergeCell ref="T96:T97"/>
    <mergeCell ref="U96:U97"/>
    <mergeCell ref="V96:V97"/>
    <mergeCell ref="P86:P87"/>
    <mergeCell ref="P90:P91"/>
    <mergeCell ref="R90:R91"/>
    <mergeCell ref="T90:T91"/>
    <mergeCell ref="U90:U91"/>
    <mergeCell ref="V90:V91"/>
    <mergeCell ref="P92:P93"/>
    <mergeCell ref="R92:R93"/>
    <mergeCell ref="T92:T93"/>
    <mergeCell ref="U92:U93"/>
    <mergeCell ref="V92:V93"/>
    <mergeCell ref="U86:U87"/>
    <mergeCell ref="V86:V87"/>
    <mergeCell ref="P88:P89"/>
    <mergeCell ref="R88:R89"/>
    <mergeCell ref="T88:T89"/>
    <mergeCell ref="N48:N49"/>
    <mergeCell ref="N61:N62"/>
    <mergeCell ref="N57:N58"/>
    <mergeCell ref="N50:N51"/>
    <mergeCell ref="N63:N64"/>
    <mergeCell ref="N65:N66"/>
    <mergeCell ref="O54:O56"/>
    <mergeCell ref="U88:U89"/>
    <mergeCell ref="V88:V89"/>
    <mergeCell ref="U82:U83"/>
    <mergeCell ref="V82:V83"/>
    <mergeCell ref="P84:P85"/>
    <mergeCell ref="R84:R85"/>
    <mergeCell ref="T84:T85"/>
    <mergeCell ref="U84:U85"/>
    <mergeCell ref="V84:V85"/>
    <mergeCell ref="S56:S58"/>
    <mergeCell ref="S48:S54"/>
    <mergeCell ref="B75:C76"/>
    <mergeCell ref="B48:C49"/>
    <mergeCell ref="B50:C51"/>
    <mergeCell ref="B52:C53"/>
    <mergeCell ref="B54:C56"/>
    <mergeCell ref="B57:C58"/>
    <mergeCell ref="B59:C60"/>
    <mergeCell ref="B61:C62"/>
    <mergeCell ref="B63:C64"/>
    <mergeCell ref="B65:C66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R68:R69"/>
    <mergeCell ref="B69:C70"/>
    <mergeCell ref="R70:R71"/>
    <mergeCell ref="B71:C72"/>
    <mergeCell ref="R72:R73"/>
    <mergeCell ref="B73:C74"/>
    <mergeCell ref="S38:S41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P11:P12"/>
    <mergeCell ref="B13:C14"/>
    <mergeCell ref="N9:N10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B99:C100"/>
    <mergeCell ref="B101:C102"/>
    <mergeCell ref="N75:N76"/>
    <mergeCell ref="B103:C104"/>
    <mergeCell ref="B105:C106"/>
    <mergeCell ref="S61:S65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</mergeCells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47"/>
  <sheetViews>
    <sheetView topLeftCell="A11" zoomScale="77" zoomScaleNormal="55" workbookViewId="0">
      <selection activeCell="E33" sqref="E33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2"/>
    <col min="32" max="16384" width="8.88671875" style="1"/>
  </cols>
  <sheetData>
    <row r="1" spans="2:31" ht="15" thickBot="1" x14ac:dyDescent="0.35">
      <c r="AD1" s="13">
        <v>1</v>
      </c>
      <c r="AE1" s="13">
        <v>4.7E-2</v>
      </c>
    </row>
    <row r="2" spans="2:31" ht="15" thickBot="1" x14ac:dyDescent="0.35">
      <c r="B2" s="1476" t="s">
        <v>664</v>
      </c>
      <c r="C2" s="1477"/>
      <c r="D2" s="1477"/>
      <c r="E2" s="1477"/>
      <c r="F2" s="1477"/>
      <c r="G2" s="1477"/>
      <c r="H2" s="1477"/>
      <c r="I2" s="1477"/>
      <c r="J2" s="1477"/>
      <c r="K2" s="1477"/>
      <c r="L2" s="1477"/>
      <c r="M2" s="1478"/>
      <c r="AD2" s="13">
        <v>2</v>
      </c>
      <c r="AE2" s="13">
        <v>9.9000000000000005E-2</v>
      </c>
    </row>
    <row r="3" spans="2:31" ht="15" thickBot="1" x14ac:dyDescent="0.35">
      <c r="B3" s="1476" t="s">
        <v>197</v>
      </c>
      <c r="C3" s="1477"/>
      <c r="D3" s="1477"/>
      <c r="E3" s="1477"/>
      <c r="F3" s="1477"/>
      <c r="G3" s="1477"/>
      <c r="H3" s="1477"/>
      <c r="I3" s="1477"/>
      <c r="J3" s="1477"/>
      <c r="K3" s="1477"/>
      <c r="L3" s="1477"/>
      <c r="M3" s="1478"/>
      <c r="AD3" s="13">
        <v>3</v>
      </c>
      <c r="AE3" s="13">
        <v>0.16</v>
      </c>
    </row>
    <row r="4" spans="2:31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D4" s="13">
        <v>4</v>
      </c>
      <c r="AE4" s="13">
        <v>0.16700000000000001</v>
      </c>
    </row>
    <row r="5" spans="2:31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D5" s="13">
        <v>5</v>
      </c>
      <c r="AE5" s="6">
        <v>0.17799999999999999</v>
      </c>
    </row>
    <row r="6" spans="2:31" x14ac:dyDescent="0.3">
      <c r="AD6" s="13">
        <v>6</v>
      </c>
      <c r="AE6" s="6">
        <v>0.17899999999999999</v>
      </c>
    </row>
    <row r="7" spans="2:31" ht="41.4" x14ac:dyDescent="0.3">
      <c r="B7" s="1119" t="s">
        <v>70</v>
      </c>
      <c r="C7" s="1119" t="s">
        <v>0</v>
      </c>
      <c r="D7" s="1120" t="s">
        <v>178</v>
      </c>
      <c r="E7" s="1120" t="s">
        <v>179</v>
      </c>
      <c r="F7" s="1120" t="s">
        <v>180</v>
      </c>
      <c r="G7" s="1120" t="s">
        <v>181</v>
      </c>
      <c r="H7" s="1120" t="s">
        <v>182</v>
      </c>
      <c r="I7" s="1120" t="s">
        <v>183</v>
      </c>
      <c r="J7" s="1120" t="s">
        <v>662</v>
      </c>
      <c r="K7" s="1120" t="s">
        <v>371</v>
      </c>
      <c r="L7" s="1120" t="s">
        <v>185</v>
      </c>
      <c r="M7" s="1120" t="s">
        <v>195</v>
      </c>
      <c r="Q7" s="1220" t="s">
        <v>337</v>
      </c>
      <c r="R7" s="1220"/>
      <c r="S7" s="1220"/>
      <c r="T7" s="1220"/>
      <c r="U7" s="1220"/>
      <c r="V7" s="1220"/>
      <c r="AD7" s="13">
        <v>7</v>
      </c>
      <c r="AE7" s="6">
        <v>0.21</v>
      </c>
    </row>
    <row r="8" spans="2:31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334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 t="shared" ref="M8:M30" si="0">L8*J8</f>
        <v>56.844449999999995</v>
      </c>
      <c r="Q8" s="251" t="s">
        <v>70</v>
      </c>
      <c r="R8" s="251" t="s">
        <v>338</v>
      </c>
      <c r="S8" s="251" t="s">
        <v>0</v>
      </c>
      <c r="T8" s="251" t="s">
        <v>339</v>
      </c>
      <c r="U8" s="251" t="s">
        <v>340</v>
      </c>
      <c r="V8" s="251" t="s">
        <v>341</v>
      </c>
      <c r="AD8" s="13">
        <v>8</v>
      </c>
      <c r="AE8" s="13">
        <v>0.21199999999999999</v>
      </c>
    </row>
    <row r="9" spans="2:31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335</v>
      </c>
      <c r="G9" s="13"/>
      <c r="H9" s="359">
        <v>16</v>
      </c>
      <c r="I9" s="359">
        <v>1.35</v>
      </c>
      <c r="J9" s="363">
        <f t="shared" ref="J9:J12" si="1">H9*I9</f>
        <v>21.6</v>
      </c>
      <c r="K9" s="363">
        <f t="shared" ref="K9:K12" si="2">I9*G9</f>
        <v>0</v>
      </c>
      <c r="L9" s="359">
        <v>1.228</v>
      </c>
      <c r="M9" s="363">
        <f t="shared" si="0"/>
        <v>26.524800000000003</v>
      </c>
      <c r="N9" s="29"/>
      <c r="O9" s="117"/>
      <c r="Q9" s="13">
        <v>1</v>
      </c>
      <c r="R9" s="6" t="s">
        <v>342</v>
      </c>
      <c r="S9" s="62">
        <v>46197</v>
      </c>
      <c r="T9" s="6">
        <v>0.54600000000000004</v>
      </c>
      <c r="U9" s="6"/>
      <c r="V9" s="6"/>
      <c r="Y9" s="252" t="s">
        <v>268</v>
      </c>
      <c r="Z9" s="133">
        <f>AVERAGE(T9:T255)</f>
        <v>0.77330198019801932</v>
      </c>
      <c r="AA9" s="117"/>
      <c r="AD9" s="13">
        <v>9</v>
      </c>
      <c r="AE9" s="13">
        <v>0.23100000000000001</v>
      </c>
    </row>
    <row r="10" spans="2:31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336</v>
      </c>
      <c r="G10" s="13"/>
      <c r="H10" s="359">
        <v>93</v>
      </c>
      <c r="I10" s="359">
        <v>1.35</v>
      </c>
      <c r="J10" s="363">
        <f t="shared" si="1"/>
        <v>125.55000000000001</v>
      </c>
      <c r="K10" s="363">
        <f t="shared" si="2"/>
        <v>0</v>
      </c>
      <c r="L10" s="365">
        <v>0.6</v>
      </c>
      <c r="M10" s="363">
        <f t="shared" si="0"/>
        <v>75.33</v>
      </c>
      <c r="Q10" s="13">
        <v>2</v>
      </c>
      <c r="R10" s="6" t="s">
        <v>343</v>
      </c>
      <c r="S10" s="62">
        <v>46197</v>
      </c>
      <c r="T10" s="6">
        <v>0.57599999999999996</v>
      </c>
      <c r="U10" s="6"/>
      <c r="V10" s="6"/>
      <c r="Y10" s="252" t="s">
        <v>205</v>
      </c>
      <c r="Z10" s="133">
        <f>MEDIAN(T9:T324)</f>
        <v>0.61299999999999999</v>
      </c>
      <c r="AD10" s="13">
        <v>10</v>
      </c>
      <c r="AE10" s="13">
        <v>0.24</v>
      </c>
    </row>
    <row r="11" spans="2:31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334</v>
      </c>
      <c r="G11" s="13"/>
      <c r="H11" s="359">
        <v>40</v>
      </c>
      <c r="I11" s="359">
        <v>1.35</v>
      </c>
      <c r="J11" s="363">
        <f t="shared" si="1"/>
        <v>54</v>
      </c>
      <c r="K11" s="363">
        <f t="shared" si="2"/>
        <v>0</v>
      </c>
      <c r="L11" s="359">
        <v>1.0269999999999999</v>
      </c>
      <c r="M11" s="363">
        <f t="shared" si="0"/>
        <v>55.457999999999998</v>
      </c>
      <c r="O11" s="29"/>
      <c r="Q11" s="13">
        <v>3</v>
      </c>
      <c r="R11" s="6" t="s">
        <v>344</v>
      </c>
      <c r="S11" s="62">
        <v>46197</v>
      </c>
      <c r="T11" s="6">
        <v>0.83899999999999997</v>
      </c>
      <c r="U11" s="6"/>
      <c r="V11" s="6"/>
      <c r="Y11" s="252" t="s">
        <v>203</v>
      </c>
      <c r="Z11" s="133">
        <f>MIN(T9:T347)</f>
        <v>4.7E-2</v>
      </c>
      <c r="AD11" s="13">
        <v>11</v>
      </c>
      <c r="AE11" s="13">
        <v>0.24199999999999999</v>
      </c>
    </row>
    <row r="12" spans="2:31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335</v>
      </c>
      <c r="G12" s="13"/>
      <c r="H12" s="359">
        <v>13</v>
      </c>
      <c r="I12" s="359">
        <v>1.35</v>
      </c>
      <c r="J12" s="363">
        <f t="shared" si="1"/>
        <v>17.55</v>
      </c>
      <c r="K12" s="363">
        <f t="shared" si="2"/>
        <v>0</v>
      </c>
      <c r="L12" s="359">
        <v>1.228</v>
      </c>
      <c r="M12" s="363">
        <f t="shared" si="0"/>
        <v>21.551400000000001</v>
      </c>
      <c r="Q12" s="13">
        <v>4</v>
      </c>
      <c r="R12" s="6" t="s">
        <v>345</v>
      </c>
      <c r="S12" s="62">
        <v>46197</v>
      </c>
      <c r="T12" s="6">
        <v>2.0110000000000001</v>
      </c>
      <c r="U12" s="6"/>
      <c r="V12" s="6"/>
      <c r="Y12" s="252" t="s">
        <v>202</v>
      </c>
      <c r="Z12" s="133">
        <f>MAX(T9:T236)</f>
        <v>3.8769999999999998</v>
      </c>
      <c r="AD12" s="13">
        <v>12</v>
      </c>
      <c r="AE12" s="13">
        <v>0.252</v>
      </c>
    </row>
    <row r="13" spans="2:31" x14ac:dyDescent="0.3">
      <c r="B13" s="13">
        <v>6</v>
      </c>
      <c r="C13" s="73">
        <v>46249</v>
      </c>
      <c r="D13" s="13"/>
      <c r="E13" s="13" t="s">
        <v>372</v>
      </c>
      <c r="F13" s="13" t="s">
        <v>372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0"/>
        <v>483.46980000000002</v>
      </c>
      <c r="Q13" s="13">
        <v>5</v>
      </c>
      <c r="R13" s="6" t="s">
        <v>346</v>
      </c>
      <c r="S13" s="62">
        <v>46197</v>
      </c>
      <c r="T13" s="6">
        <v>0.94399999999999995</v>
      </c>
      <c r="U13" s="6"/>
      <c r="V13" s="6"/>
      <c r="Y13" s="253" t="s">
        <v>367</v>
      </c>
      <c r="Z13" s="38">
        <f>((Z9-Z10)/(Z9+Z10)/2)</f>
        <v>5.7816400209975111E-2</v>
      </c>
      <c r="AA13" s="117"/>
      <c r="AD13" s="13">
        <v>13</v>
      </c>
      <c r="AE13" s="13">
        <v>0.253</v>
      </c>
    </row>
    <row r="14" spans="2:31" x14ac:dyDescent="0.3">
      <c r="B14" s="13">
        <v>7</v>
      </c>
      <c r="C14" s="73">
        <v>46250</v>
      </c>
      <c r="D14" s="13"/>
      <c r="E14" s="13" t="s">
        <v>373</v>
      </c>
      <c r="F14" s="13" t="s">
        <v>373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0"/>
        <v>296.3202</v>
      </c>
      <c r="Q14" s="13">
        <v>6</v>
      </c>
      <c r="R14" s="6" t="s">
        <v>347</v>
      </c>
      <c r="S14" s="62">
        <v>46197</v>
      </c>
      <c r="T14" s="6">
        <v>0.70199999999999996</v>
      </c>
      <c r="U14" s="6"/>
      <c r="V14" s="6"/>
      <c r="Y14" s="253" t="s">
        <v>269</v>
      </c>
      <c r="Z14" s="133">
        <f>Z9-Z10</f>
        <v>0.16030198019801933</v>
      </c>
      <c r="AD14" s="13">
        <v>14</v>
      </c>
      <c r="AE14" s="13">
        <v>0.30399999999999999</v>
      </c>
    </row>
    <row r="15" spans="2:31" x14ac:dyDescent="0.3">
      <c r="B15" s="13">
        <v>8</v>
      </c>
      <c r="C15" s="73">
        <v>46251</v>
      </c>
      <c r="D15" s="13"/>
      <c r="E15" s="13"/>
      <c r="F15" s="13" t="s">
        <v>334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0"/>
        <v>48.205199999999998</v>
      </c>
      <c r="N15" s="117"/>
      <c r="Q15" s="13">
        <v>7</v>
      </c>
      <c r="R15" s="6" t="s">
        <v>348</v>
      </c>
      <c r="S15" s="62">
        <v>46197</v>
      </c>
      <c r="T15" s="6">
        <v>3.2160000000000002</v>
      </c>
      <c r="U15" s="6"/>
      <c r="V15" s="6"/>
      <c r="Z15" s="222">
        <f>_xlfn.STDEV.P(T9:T206)</f>
        <v>0.55606769341991147</v>
      </c>
      <c r="AD15" s="13">
        <v>15</v>
      </c>
      <c r="AE15" s="13">
        <v>0.308</v>
      </c>
    </row>
    <row r="16" spans="2:31" x14ac:dyDescent="0.3">
      <c r="B16" s="13">
        <v>9</v>
      </c>
      <c r="C16" s="73">
        <v>46252</v>
      </c>
      <c r="D16" s="359"/>
      <c r="E16" s="13"/>
      <c r="F16" s="13" t="s">
        <v>334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0"/>
        <v>90.739199999999997</v>
      </c>
      <c r="Q16" s="13">
        <v>8</v>
      </c>
      <c r="R16" s="6" t="s">
        <v>349</v>
      </c>
      <c r="S16" s="62">
        <v>46197</v>
      </c>
      <c r="T16" s="6">
        <v>0.56200000000000006</v>
      </c>
      <c r="U16" s="6"/>
      <c r="V16" s="6"/>
      <c r="AD16" s="13">
        <v>16</v>
      </c>
      <c r="AE16" s="13">
        <v>0.31</v>
      </c>
    </row>
    <row r="17" spans="2:31" x14ac:dyDescent="0.3">
      <c r="B17" s="13">
        <v>10</v>
      </c>
      <c r="C17" s="73">
        <v>46253</v>
      </c>
      <c r="D17" s="13"/>
      <c r="E17" s="13"/>
      <c r="F17" s="13" t="s">
        <v>334</v>
      </c>
      <c r="G17" s="13">
        <v>60</v>
      </c>
      <c r="H17" s="359">
        <v>62</v>
      </c>
      <c r="I17" s="359">
        <v>1.39</v>
      </c>
      <c r="J17" s="363">
        <f t="shared" ref="J17:J33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0"/>
        <v>80.578299999999999</v>
      </c>
      <c r="Q17" s="13">
        <v>9</v>
      </c>
      <c r="R17" s="6" t="s">
        <v>350</v>
      </c>
      <c r="S17" s="62">
        <v>46197</v>
      </c>
      <c r="T17" s="6">
        <v>0.79</v>
      </c>
      <c r="U17" s="6"/>
      <c r="V17" s="6"/>
      <c r="Z17" s="117"/>
      <c r="AD17" s="13">
        <v>17</v>
      </c>
      <c r="AE17" s="13">
        <v>0.318</v>
      </c>
    </row>
    <row r="18" spans="2:31" x14ac:dyDescent="0.3">
      <c r="B18" s="13">
        <v>11</v>
      </c>
      <c r="C18" s="73">
        <v>46254</v>
      </c>
      <c r="D18" s="13"/>
      <c r="E18" s="13"/>
      <c r="F18" s="13" t="s">
        <v>334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0"/>
        <v>166.63319999999999</v>
      </c>
      <c r="Q18" s="13">
        <v>10</v>
      </c>
      <c r="R18" s="6" t="s">
        <v>351</v>
      </c>
      <c r="S18" s="62">
        <v>46197</v>
      </c>
      <c r="T18" s="6">
        <v>1.583</v>
      </c>
      <c r="U18" s="6"/>
      <c r="V18" s="6"/>
      <c r="AD18" s="13">
        <v>18</v>
      </c>
      <c r="AE18" s="13">
        <v>0.32300000000000001</v>
      </c>
    </row>
    <row r="19" spans="2:31" x14ac:dyDescent="0.3">
      <c r="B19" s="13">
        <v>12</v>
      </c>
      <c r="C19" s="73">
        <v>46255</v>
      </c>
      <c r="D19" s="13"/>
      <c r="E19" s="13"/>
      <c r="F19" s="13" t="s">
        <v>334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0"/>
        <v>2224.2362999999996</v>
      </c>
      <c r="Q19" s="13">
        <v>11</v>
      </c>
      <c r="R19" s="6" t="s">
        <v>352</v>
      </c>
      <c r="S19" s="62">
        <v>46181</v>
      </c>
      <c r="T19" s="6">
        <v>1.9630000000000001</v>
      </c>
      <c r="U19" s="6"/>
      <c r="V19" s="6"/>
      <c r="AD19" s="13">
        <v>19</v>
      </c>
      <c r="AE19" s="13">
        <v>0.32600000000000001</v>
      </c>
    </row>
    <row r="20" spans="2:31" x14ac:dyDescent="0.3">
      <c r="B20" s="13">
        <v>13</v>
      </c>
      <c r="C20" s="73">
        <v>46257</v>
      </c>
      <c r="D20" s="13"/>
      <c r="E20" s="13"/>
      <c r="F20" s="13" t="s">
        <v>334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0"/>
        <v>112.3676</v>
      </c>
      <c r="Q20" s="13">
        <v>12</v>
      </c>
      <c r="R20" s="6" t="s">
        <v>353</v>
      </c>
      <c r="S20" s="62">
        <v>46181</v>
      </c>
      <c r="T20" s="6">
        <v>0.73499999999999999</v>
      </c>
      <c r="U20" s="6"/>
      <c r="V20" s="6"/>
      <c r="AD20" s="13">
        <v>20</v>
      </c>
      <c r="AE20" s="6">
        <v>0.33600000000000002</v>
      </c>
    </row>
    <row r="21" spans="2:31" x14ac:dyDescent="0.3">
      <c r="B21" s="13">
        <v>14</v>
      </c>
      <c r="C21" s="73">
        <v>46261</v>
      </c>
      <c r="D21" s="13"/>
      <c r="E21" s="13"/>
      <c r="F21" s="13" t="s">
        <v>334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0"/>
        <v>522.69099999999992</v>
      </c>
      <c r="Q21" s="13">
        <v>13</v>
      </c>
      <c r="R21" s="6" t="s">
        <v>354</v>
      </c>
      <c r="S21" s="62">
        <v>46181</v>
      </c>
      <c r="T21" s="6">
        <v>0.34799999999999998</v>
      </c>
      <c r="U21" s="6"/>
      <c r="V21" s="6"/>
      <c r="AD21" s="13">
        <v>21</v>
      </c>
      <c r="AE21" s="13">
        <v>0.33700000000000002</v>
      </c>
    </row>
    <row r="22" spans="2:31" x14ac:dyDescent="0.3">
      <c r="B22" s="13">
        <v>15</v>
      </c>
      <c r="C22" s="62">
        <v>46262</v>
      </c>
      <c r="D22" s="6"/>
      <c r="E22" s="6"/>
      <c r="F22" s="13" t="s">
        <v>334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0"/>
        <v>108.9816</v>
      </c>
      <c r="Q22" s="13">
        <v>14</v>
      </c>
      <c r="R22" s="6" t="s">
        <v>355</v>
      </c>
      <c r="S22" s="62">
        <v>46181</v>
      </c>
      <c r="T22" s="6">
        <v>1.2929999999999999</v>
      </c>
      <c r="U22" s="6"/>
      <c r="V22" s="6"/>
      <c r="AD22" s="13">
        <v>22</v>
      </c>
      <c r="AE22" s="13">
        <v>0.34</v>
      </c>
    </row>
    <row r="23" spans="2:31" ht="16.2" customHeight="1" x14ac:dyDescent="0.3">
      <c r="B23" s="13">
        <v>18</v>
      </c>
      <c r="C23" s="397">
        <v>46265</v>
      </c>
      <c r="D23" s="6"/>
      <c r="E23" s="6"/>
      <c r="F23" s="13" t="s">
        <v>334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0"/>
        <v>36.777000000000001</v>
      </c>
      <c r="Q23" s="13">
        <v>17</v>
      </c>
      <c r="R23" s="6" t="s">
        <v>358</v>
      </c>
      <c r="S23" s="62">
        <v>46180</v>
      </c>
      <c r="T23" s="6">
        <v>0.60399999999999998</v>
      </c>
      <c r="U23" s="6"/>
      <c r="V23" s="6"/>
      <c r="AD23" s="13">
        <v>25</v>
      </c>
      <c r="AE23" s="13">
        <v>0.35099999999999998</v>
      </c>
    </row>
    <row r="24" spans="2:31" x14ac:dyDescent="0.3">
      <c r="B24" s="13">
        <v>22</v>
      </c>
      <c r="C24" s="397">
        <v>46269</v>
      </c>
      <c r="D24" s="6"/>
      <c r="E24" s="6"/>
      <c r="F24" s="13" t="s">
        <v>334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0"/>
        <v>93.600000000000009</v>
      </c>
      <c r="Q24" s="13">
        <v>21</v>
      </c>
      <c r="R24" s="6" t="s">
        <v>362</v>
      </c>
      <c r="S24" s="62">
        <v>46180</v>
      </c>
      <c r="T24" s="6">
        <v>1.2390000000000001</v>
      </c>
      <c r="U24" s="6"/>
      <c r="V24" s="6"/>
      <c r="AD24" s="13">
        <v>29</v>
      </c>
      <c r="AE24" s="13">
        <v>0.35699999999999998</v>
      </c>
    </row>
    <row r="25" spans="2:31" x14ac:dyDescent="0.3">
      <c r="B25" s="13">
        <v>28</v>
      </c>
      <c r="C25" s="397">
        <v>46275</v>
      </c>
      <c r="D25" s="6"/>
      <c r="E25" s="6"/>
      <c r="F25" s="13" t="s">
        <v>334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0"/>
        <v>527.28000000000009</v>
      </c>
      <c r="Q25" s="13">
        <v>27</v>
      </c>
      <c r="R25" s="6" t="s">
        <v>361</v>
      </c>
      <c r="S25" s="62">
        <v>46176</v>
      </c>
      <c r="T25" s="6">
        <v>0.79700000000000004</v>
      </c>
      <c r="U25" s="6"/>
      <c r="V25" s="6"/>
      <c r="AD25" s="13">
        <v>35</v>
      </c>
      <c r="AE25" s="13">
        <v>0.42199999999999999</v>
      </c>
    </row>
    <row r="26" spans="2:31" x14ac:dyDescent="0.3">
      <c r="B26" s="13">
        <v>29</v>
      </c>
      <c r="C26" s="397">
        <v>46282</v>
      </c>
      <c r="D26" s="6"/>
      <c r="E26" s="6"/>
      <c r="F26" s="13" t="s">
        <v>660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0"/>
        <v>2382.6400000000003</v>
      </c>
      <c r="Q26" s="13">
        <v>28</v>
      </c>
      <c r="R26" s="6" t="s">
        <v>362</v>
      </c>
      <c r="S26" s="62">
        <v>46176</v>
      </c>
      <c r="T26" s="6">
        <v>1.3919999999999999</v>
      </c>
      <c r="U26" s="6"/>
      <c r="V26" s="6"/>
      <c r="AD26" s="13">
        <v>36</v>
      </c>
      <c r="AE26" s="13">
        <v>0.43</v>
      </c>
    </row>
    <row r="27" spans="2:31" x14ac:dyDescent="0.3">
      <c r="B27" s="13">
        <v>30</v>
      </c>
      <c r="C27" s="397">
        <v>46286</v>
      </c>
      <c r="D27" s="6"/>
      <c r="E27" s="6"/>
      <c r="F27" s="13" t="s">
        <v>372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0"/>
        <v>111.22800000000001</v>
      </c>
      <c r="Q27" s="13">
        <v>29</v>
      </c>
      <c r="R27" s="6" t="s">
        <v>363</v>
      </c>
      <c r="S27" s="62">
        <v>46176</v>
      </c>
      <c r="T27" s="6">
        <v>0.70699999999999996</v>
      </c>
      <c r="U27" s="6"/>
      <c r="V27" s="6"/>
      <c r="AD27" s="13">
        <v>37</v>
      </c>
      <c r="AE27" s="13">
        <v>0.438</v>
      </c>
    </row>
    <row r="28" spans="2:31" x14ac:dyDescent="0.3">
      <c r="B28" s="13">
        <v>31</v>
      </c>
      <c r="C28" s="397">
        <v>46288</v>
      </c>
      <c r="D28" s="6"/>
      <c r="E28" s="6"/>
      <c r="F28" s="13" t="s">
        <v>747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0"/>
        <v>624.66300000000001</v>
      </c>
      <c r="N28" s="10"/>
      <c r="Q28" s="13">
        <v>32</v>
      </c>
      <c r="R28" s="6" t="s">
        <v>366</v>
      </c>
      <c r="S28" s="62">
        <v>46176</v>
      </c>
      <c r="T28" s="6">
        <v>1.2350000000000001</v>
      </c>
      <c r="U28" s="6"/>
      <c r="V28" s="6"/>
      <c r="AD28" s="13"/>
      <c r="AE28" s="13"/>
    </row>
    <row r="29" spans="2:31" x14ac:dyDescent="0.3">
      <c r="B29" s="13">
        <v>32</v>
      </c>
      <c r="C29" s="397">
        <v>46289</v>
      </c>
      <c r="D29" s="6"/>
      <c r="E29" s="6"/>
      <c r="F29" s="13" t="s">
        <v>372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0"/>
        <v>99.501999999999995</v>
      </c>
      <c r="N29" s="10"/>
      <c r="O29" s="10"/>
      <c r="Q29" s="208">
        <v>33</v>
      </c>
      <c r="R29" s="208" t="s">
        <v>374</v>
      </c>
      <c r="S29" s="73">
        <v>46251</v>
      </c>
      <c r="T29" s="13">
        <v>1.0349999999999999</v>
      </c>
      <c r="U29" s="6"/>
      <c r="V29" s="6"/>
      <c r="AD29" s="13"/>
      <c r="AE29" s="13"/>
    </row>
    <row r="30" spans="2:31" x14ac:dyDescent="0.3">
      <c r="B30" s="13">
        <v>33</v>
      </c>
      <c r="C30" s="397">
        <v>46290</v>
      </c>
      <c r="D30" s="6"/>
      <c r="E30" s="6"/>
      <c r="F30" s="13" t="s">
        <v>372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0"/>
        <v>76.544000000000011</v>
      </c>
      <c r="O30" s="244"/>
      <c r="Q30" s="208">
        <v>34</v>
      </c>
      <c r="R30" s="208" t="s">
        <v>375</v>
      </c>
      <c r="S30" s="73">
        <v>46251</v>
      </c>
      <c r="T30" s="13">
        <v>0.52600000000000002</v>
      </c>
      <c r="U30" s="6"/>
      <c r="V30" s="6"/>
      <c r="AD30" s="13"/>
      <c r="AE30" s="13"/>
    </row>
    <row r="31" spans="2:31" x14ac:dyDescent="0.3">
      <c r="B31" s="13">
        <v>34</v>
      </c>
      <c r="C31" s="397">
        <v>46291</v>
      </c>
      <c r="D31" s="6"/>
      <c r="E31" s="6"/>
      <c r="F31" s="13" t="s">
        <v>769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208">
        <v>35</v>
      </c>
      <c r="R31" s="208" t="s">
        <v>376</v>
      </c>
      <c r="S31" s="73">
        <v>46251</v>
      </c>
      <c r="T31" s="13">
        <v>0.81599999999999995</v>
      </c>
      <c r="U31" s="6"/>
      <c r="V31" s="6"/>
      <c r="AD31" s="13"/>
      <c r="AE31" s="13"/>
    </row>
    <row r="32" spans="2:31" x14ac:dyDescent="0.3">
      <c r="B32" s="13">
        <v>35</v>
      </c>
      <c r="C32" s="397">
        <v>46292</v>
      </c>
      <c r="D32" s="6"/>
      <c r="E32" s="6"/>
      <c r="F32" s="6" t="s">
        <v>334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208">
        <v>36</v>
      </c>
      <c r="R32" s="208" t="s">
        <v>377</v>
      </c>
      <c r="S32" s="73">
        <v>46251</v>
      </c>
      <c r="T32" s="13">
        <v>0.34399999999999997</v>
      </c>
      <c r="U32" s="6"/>
      <c r="V32" s="6"/>
      <c r="AD32" s="13"/>
      <c r="AE32" s="13"/>
    </row>
    <row r="33" spans="2:38" x14ac:dyDescent="0.3">
      <c r="B33" s="13">
        <v>36</v>
      </c>
      <c r="C33" s="397">
        <v>46294</v>
      </c>
      <c r="D33" s="6"/>
      <c r="E33" s="6"/>
      <c r="F33" s="6" t="s">
        <v>769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208">
        <v>37</v>
      </c>
      <c r="R33" s="208" t="s">
        <v>378</v>
      </c>
      <c r="S33" s="73">
        <v>46251</v>
      </c>
      <c r="T33" s="13">
        <v>0.30399999999999999</v>
      </c>
      <c r="U33" s="6"/>
      <c r="V33" s="6"/>
      <c r="AD33" s="13"/>
      <c r="AE33" s="13"/>
    </row>
    <row r="34" spans="2:38" x14ac:dyDescent="0.3">
      <c r="B34" s="131" t="s">
        <v>121</v>
      </c>
      <c r="C34" s="1072"/>
      <c r="D34" s="131"/>
      <c r="E34" s="131"/>
      <c r="F34" s="131"/>
      <c r="G34" s="131"/>
      <c r="H34" s="361"/>
      <c r="I34" s="396">
        <f>AVERAGE(I8:I33)</f>
        <v>1.3373076923076925</v>
      </c>
      <c r="J34" s="361"/>
      <c r="K34" s="361"/>
      <c r="L34" s="396">
        <f>AVERAGE(L8:L22)</f>
        <v>1.8267999999999998</v>
      </c>
      <c r="M34" s="367">
        <f>SUM(M8:M33)</f>
        <v>8322.1650500000014</v>
      </c>
      <c r="N34" s="244"/>
      <c r="O34" s="1115"/>
      <c r="Q34" s="208">
        <v>38</v>
      </c>
      <c r="R34" s="208" t="s">
        <v>379</v>
      </c>
      <c r="S34" s="73">
        <v>46251</v>
      </c>
      <c r="T34" s="13">
        <v>0.74399999999999999</v>
      </c>
      <c r="U34" s="6"/>
      <c r="V34" s="6"/>
      <c r="AD34" s="13">
        <v>40</v>
      </c>
      <c r="AE34" s="13">
        <v>0.45800000000000002</v>
      </c>
      <c r="AG34" s="1479"/>
      <c r="AH34" s="1399"/>
      <c r="AI34" s="1399"/>
      <c r="AJ34" s="1399"/>
      <c r="AK34" s="1399"/>
      <c r="AL34" s="1480"/>
    </row>
    <row r="35" spans="2:38" x14ac:dyDescent="0.3">
      <c r="B35" s="131" t="s">
        <v>17</v>
      </c>
      <c r="C35" s="131"/>
      <c r="D35" s="134"/>
      <c r="E35" s="134"/>
      <c r="F35" s="134"/>
      <c r="G35" s="131">
        <f>SUM(G8:G27)</f>
        <v>1533</v>
      </c>
      <c r="H35" s="361">
        <f>SUM(H8:H33)</f>
        <v>5061</v>
      </c>
      <c r="I35" s="361"/>
      <c r="J35" s="367">
        <f>SUM(J8:J33)</f>
        <v>6678.7300000000014</v>
      </c>
      <c r="K35" s="367">
        <f>SUM(K8:K30)</f>
        <v>2581.8000000000002</v>
      </c>
      <c r="L35" s="396">
        <f>MEDIAN(L8:L22)</f>
        <v>1.1100000000000001</v>
      </c>
      <c r="M35" s="367">
        <f>L35*J35</f>
        <v>7413.3903000000018</v>
      </c>
      <c r="N35" s="1110"/>
      <c r="O35" s="1115"/>
      <c r="Q35" s="208">
        <v>39</v>
      </c>
      <c r="R35" s="208" t="s">
        <v>380</v>
      </c>
      <c r="S35" s="73">
        <v>46251</v>
      </c>
      <c r="T35" s="13">
        <v>0.56299999999999994</v>
      </c>
      <c r="U35" s="208"/>
      <c r="V35" s="208"/>
      <c r="AD35" s="13">
        <v>41</v>
      </c>
      <c r="AE35" s="6">
        <v>0.48799999999999999</v>
      </c>
      <c r="AG35" s="368">
        <v>1</v>
      </c>
      <c r="AH35" s="29">
        <v>0.81</v>
      </c>
      <c r="AJ35" s="1">
        <v>1</v>
      </c>
      <c r="AK35" s="174">
        <v>1.6</v>
      </c>
      <c r="AL35" s="369"/>
    </row>
    <row r="36" spans="2:38" x14ac:dyDescent="0.3">
      <c r="J36" s="362">
        <f>J35-Crushing!N115</f>
        <v>342.08790000000135</v>
      </c>
      <c r="L36" s="366"/>
      <c r="O36" s="29"/>
      <c r="Q36" s="208">
        <v>40</v>
      </c>
      <c r="R36" s="208" t="s">
        <v>381</v>
      </c>
      <c r="S36" s="73">
        <v>46251</v>
      </c>
      <c r="T36" s="13">
        <v>0.438</v>
      </c>
      <c r="U36" s="208"/>
      <c r="V36" s="208"/>
      <c r="Y36" s="2"/>
      <c r="AD36" s="13">
        <v>42</v>
      </c>
      <c r="AE36" s="13">
        <v>0.48899999999999999</v>
      </c>
      <c r="AG36" s="368">
        <v>2</v>
      </c>
      <c r="AH36" s="29">
        <v>0.81</v>
      </c>
      <c r="AJ36" s="1">
        <v>2</v>
      </c>
      <c r="AK36" s="174">
        <v>1.6</v>
      </c>
      <c r="AL36" s="369"/>
    </row>
    <row r="37" spans="2:38" ht="43.2" x14ac:dyDescent="0.3">
      <c r="I37" s="362"/>
      <c r="J37" s="362"/>
      <c r="L37" s="383" t="s">
        <v>427</v>
      </c>
      <c r="M37" s="1061">
        <f>M34/J35</f>
        <v>1.2460699938461355</v>
      </c>
      <c r="N37" s="222"/>
      <c r="Q37" s="208">
        <v>41</v>
      </c>
      <c r="R37" s="208" t="s">
        <v>382</v>
      </c>
      <c r="S37" s="73">
        <v>46251</v>
      </c>
      <c r="T37" s="13">
        <v>0.45800000000000002</v>
      </c>
      <c r="U37" s="208"/>
      <c r="V37" s="208"/>
      <c r="AD37" s="13">
        <v>43</v>
      </c>
      <c r="AE37" s="13">
        <v>0.501</v>
      </c>
      <c r="AG37" s="368">
        <v>3</v>
      </c>
      <c r="AH37" s="29">
        <v>0.81</v>
      </c>
      <c r="AJ37" s="1">
        <v>3</v>
      </c>
      <c r="AK37" s="174">
        <v>1.6</v>
      </c>
      <c r="AL37" s="369"/>
    </row>
    <row r="38" spans="2:38" x14ac:dyDescent="0.3">
      <c r="I38" s="362"/>
      <c r="J38" s="362"/>
      <c r="K38" s="362"/>
      <c r="L38" s="366"/>
      <c r="Q38" s="208">
        <v>42</v>
      </c>
      <c r="R38" s="208" t="s">
        <v>383</v>
      </c>
      <c r="S38" s="73">
        <v>46252</v>
      </c>
      <c r="T38" s="13">
        <v>0.55800000000000005</v>
      </c>
      <c r="U38" s="208"/>
      <c r="V38" s="208"/>
      <c r="AD38" s="13">
        <v>44</v>
      </c>
      <c r="AE38" s="13">
        <v>0.502</v>
      </c>
      <c r="AG38" s="368">
        <v>4</v>
      </c>
      <c r="AH38" s="29">
        <v>0.81</v>
      </c>
      <c r="AJ38" s="1">
        <v>4</v>
      </c>
      <c r="AK38" s="174">
        <v>1.6</v>
      </c>
      <c r="AL38" s="369"/>
    </row>
    <row r="39" spans="2:38" x14ac:dyDescent="0.3">
      <c r="I39" s="362"/>
      <c r="Q39" s="208">
        <v>43</v>
      </c>
      <c r="R39" s="208" t="s">
        <v>384</v>
      </c>
      <c r="S39" s="73">
        <v>46252</v>
      </c>
      <c r="T39" s="13">
        <v>0.501</v>
      </c>
      <c r="U39" s="208"/>
      <c r="V39" s="208"/>
      <c r="AD39" s="13">
        <v>45</v>
      </c>
      <c r="AE39" s="13">
        <v>0.50600000000000001</v>
      </c>
      <c r="AG39" s="368">
        <v>5</v>
      </c>
      <c r="AH39" s="29">
        <v>0.81</v>
      </c>
      <c r="AJ39" s="1">
        <v>5</v>
      </c>
      <c r="AK39" s="174">
        <v>1.6</v>
      </c>
      <c r="AL39" s="369"/>
    </row>
    <row r="40" spans="2:38" x14ac:dyDescent="0.3">
      <c r="J40" s="362"/>
      <c r="Q40" s="208">
        <v>44</v>
      </c>
      <c r="R40" s="208" t="s">
        <v>385</v>
      </c>
      <c r="S40" s="73">
        <v>46252</v>
      </c>
      <c r="T40" s="13">
        <v>1.25</v>
      </c>
      <c r="U40" s="208"/>
      <c r="V40" s="208"/>
      <c r="AD40" s="13">
        <v>46</v>
      </c>
      <c r="AE40" s="13">
        <v>0.52600000000000002</v>
      </c>
      <c r="AG40" s="368">
        <v>6</v>
      </c>
      <c r="AH40" s="29">
        <v>0.81</v>
      </c>
      <c r="AJ40" s="1">
        <v>6</v>
      </c>
      <c r="AK40" s="174">
        <v>1.6</v>
      </c>
      <c r="AL40" s="369"/>
    </row>
    <row r="41" spans="2:38" x14ac:dyDescent="0.3">
      <c r="B41" s="1" t="s">
        <v>370</v>
      </c>
      <c r="C41" s="73">
        <v>46245</v>
      </c>
      <c r="D41" s="13" t="s">
        <v>368</v>
      </c>
      <c r="E41" s="13" t="s">
        <v>369</v>
      </c>
      <c r="F41" s="13"/>
      <c r="G41" s="13"/>
      <c r="H41" s="359">
        <v>271</v>
      </c>
      <c r="I41" s="359">
        <v>1.35</v>
      </c>
      <c r="J41" s="363">
        <f>H41*I41</f>
        <v>365.85</v>
      </c>
      <c r="K41" s="364"/>
      <c r="M41" s="362"/>
      <c r="Q41" s="208">
        <v>45</v>
      </c>
      <c r="R41" s="208" t="s">
        <v>389</v>
      </c>
      <c r="S41" s="262">
        <v>46253</v>
      </c>
      <c r="T41" s="208">
        <v>0.35099999999999998</v>
      </c>
      <c r="U41" s="208"/>
      <c r="V41" s="208"/>
      <c r="AD41" s="13">
        <v>47</v>
      </c>
      <c r="AE41" s="6">
        <v>0.53800000000000003</v>
      </c>
      <c r="AG41" s="368">
        <v>7</v>
      </c>
      <c r="AH41" s="29">
        <v>0.81</v>
      </c>
      <c r="AJ41" s="1">
        <v>7</v>
      </c>
      <c r="AK41" s="174">
        <v>1.6</v>
      </c>
      <c r="AL41" s="369"/>
    </row>
    <row r="42" spans="2:38" x14ac:dyDescent="0.3">
      <c r="J42" s="362"/>
      <c r="Q42" s="208">
        <v>46</v>
      </c>
      <c r="R42" s="208" t="s">
        <v>390</v>
      </c>
      <c r="S42" s="262">
        <v>46253</v>
      </c>
      <c r="T42" s="208">
        <v>2.028</v>
      </c>
      <c r="U42" s="208"/>
      <c r="V42" s="208"/>
      <c r="AD42" s="13">
        <v>48</v>
      </c>
      <c r="AE42" s="13">
        <v>0.54600000000000004</v>
      </c>
      <c r="AG42" s="368">
        <v>8</v>
      </c>
      <c r="AH42" s="29">
        <v>0.81</v>
      </c>
      <c r="AJ42" s="1">
        <v>8</v>
      </c>
      <c r="AK42" s="174">
        <v>1.6</v>
      </c>
      <c r="AL42" s="369"/>
    </row>
    <row r="43" spans="2:38" x14ac:dyDescent="0.3">
      <c r="Q43" s="208">
        <v>47</v>
      </c>
      <c r="R43" s="208" t="s">
        <v>391</v>
      </c>
      <c r="S43" s="262">
        <v>46253</v>
      </c>
      <c r="T43" s="208">
        <v>1.8380000000000001</v>
      </c>
      <c r="U43" s="208"/>
      <c r="V43" s="208"/>
      <c r="AD43" s="13">
        <v>49</v>
      </c>
      <c r="AE43" s="13">
        <v>0.55500000000000005</v>
      </c>
      <c r="AG43" s="368">
        <v>9</v>
      </c>
      <c r="AH43" s="29">
        <v>0.81</v>
      </c>
      <c r="AJ43" s="1">
        <v>9</v>
      </c>
      <c r="AK43" s="174">
        <v>1.6</v>
      </c>
      <c r="AL43" s="369"/>
    </row>
    <row r="44" spans="2:38" x14ac:dyDescent="0.3">
      <c r="G44" s="13">
        <v>41</v>
      </c>
      <c r="J44" s="362"/>
      <c r="Q44" s="208">
        <v>48</v>
      </c>
      <c r="R44" s="208" t="s">
        <v>392</v>
      </c>
      <c r="S44" s="262">
        <v>46253</v>
      </c>
      <c r="T44" s="208">
        <v>1.3220000000000001</v>
      </c>
      <c r="U44" s="208"/>
      <c r="V44" s="208"/>
      <c r="AD44" s="13">
        <v>50</v>
      </c>
      <c r="AE44" s="13">
        <v>0.55600000000000005</v>
      </c>
      <c r="AG44" s="368">
        <v>10</v>
      </c>
      <c r="AH44" s="29">
        <v>0.81</v>
      </c>
      <c r="AJ44" s="1">
        <v>10</v>
      </c>
      <c r="AK44" s="174">
        <v>1.6</v>
      </c>
      <c r="AL44" s="369"/>
    </row>
    <row r="45" spans="2:38" x14ac:dyDescent="0.3">
      <c r="G45" s="13">
        <v>16</v>
      </c>
      <c r="Q45" s="208">
        <v>49</v>
      </c>
      <c r="R45" s="208" t="s">
        <v>393</v>
      </c>
      <c r="S45" s="262">
        <v>46253</v>
      </c>
      <c r="T45" s="208">
        <v>0.65100000000000002</v>
      </c>
      <c r="U45" s="208"/>
      <c r="V45" s="208"/>
      <c r="AD45" s="13">
        <v>51</v>
      </c>
      <c r="AE45" s="13">
        <v>0.55800000000000005</v>
      </c>
      <c r="AG45" s="368">
        <v>11</v>
      </c>
      <c r="AH45" s="29">
        <v>0.81</v>
      </c>
      <c r="AJ45" s="1">
        <v>11</v>
      </c>
      <c r="AK45" s="174">
        <v>1.6</v>
      </c>
      <c r="AL45" s="369"/>
    </row>
    <row r="46" spans="2:38" x14ac:dyDescent="0.3">
      <c r="G46" s="13">
        <v>93</v>
      </c>
      <c r="I46" s="362"/>
      <c r="Q46" s="208">
        <v>50</v>
      </c>
      <c r="R46" s="208" t="s">
        <v>394</v>
      </c>
      <c r="S46" s="262">
        <v>46253</v>
      </c>
      <c r="T46" s="208">
        <v>0.50600000000000001</v>
      </c>
      <c r="U46" s="208"/>
      <c r="V46" s="208"/>
      <c r="AD46" s="13">
        <v>52</v>
      </c>
      <c r="AE46" s="13">
        <v>0.55800000000000005</v>
      </c>
      <c r="AG46" s="368">
        <v>12</v>
      </c>
      <c r="AH46" s="29">
        <v>0.81</v>
      </c>
      <c r="AJ46" s="1">
        <v>12</v>
      </c>
      <c r="AK46" s="174">
        <v>1.6</v>
      </c>
      <c r="AL46" s="369"/>
    </row>
    <row r="47" spans="2:38" x14ac:dyDescent="0.3">
      <c r="G47" s="13">
        <v>40</v>
      </c>
      <c r="H47" s="357">
        <f>1800+1000</f>
        <v>2800</v>
      </c>
      <c r="Q47" s="208">
        <v>51</v>
      </c>
      <c r="R47" s="208" t="s">
        <v>395</v>
      </c>
      <c r="S47" s="262">
        <v>46253</v>
      </c>
      <c r="T47" s="208">
        <v>0.67300000000000004</v>
      </c>
      <c r="U47" s="208"/>
      <c r="V47" s="208"/>
      <c r="AD47" s="13">
        <v>53</v>
      </c>
      <c r="AE47" s="13">
        <v>0.56200000000000006</v>
      </c>
      <c r="AG47" s="368">
        <v>13</v>
      </c>
      <c r="AH47" s="29">
        <v>0.81</v>
      </c>
      <c r="AJ47" s="1">
        <v>13</v>
      </c>
      <c r="AK47" s="174">
        <v>1.6</v>
      </c>
      <c r="AL47" s="369"/>
    </row>
    <row r="48" spans="2:38" x14ac:dyDescent="0.3">
      <c r="G48" s="13">
        <v>13</v>
      </c>
      <c r="Q48" s="208">
        <v>52</v>
      </c>
      <c r="R48" s="208" t="s">
        <v>396</v>
      </c>
      <c r="S48" s="262">
        <v>46253</v>
      </c>
      <c r="T48" s="208">
        <v>0.66200000000000003</v>
      </c>
      <c r="U48" s="208"/>
      <c r="V48" s="208"/>
      <c r="AD48" s="13">
        <v>54</v>
      </c>
      <c r="AE48" s="13">
        <v>0.56299999999999994</v>
      </c>
      <c r="AG48" s="368">
        <v>14</v>
      </c>
      <c r="AH48" s="29">
        <v>0.81</v>
      </c>
      <c r="AJ48" s="1">
        <v>14</v>
      </c>
      <c r="AK48" s="174">
        <v>1.6</v>
      </c>
      <c r="AL48" s="369"/>
    </row>
    <row r="49" spans="7:38" x14ac:dyDescent="0.3">
      <c r="G49" s="13">
        <v>190</v>
      </c>
      <c r="Q49" s="208">
        <v>53</v>
      </c>
      <c r="R49" s="208" t="s">
        <v>397</v>
      </c>
      <c r="S49" s="262">
        <v>46253</v>
      </c>
      <c r="T49" s="208">
        <v>0.55500000000000005</v>
      </c>
      <c r="U49" s="208"/>
      <c r="V49" s="208"/>
      <c r="AD49" s="13">
        <v>55</v>
      </c>
      <c r="AE49" s="13">
        <v>0.57399999999999995</v>
      </c>
      <c r="AG49" s="368">
        <v>15</v>
      </c>
      <c r="AH49" s="29">
        <v>0.81</v>
      </c>
      <c r="AJ49" s="1">
        <v>15</v>
      </c>
      <c r="AK49" s="174">
        <v>1.6</v>
      </c>
      <c r="AL49" s="369"/>
    </row>
    <row r="50" spans="7:38" x14ac:dyDescent="0.3">
      <c r="G50" s="13">
        <v>220</v>
      </c>
      <c r="Q50" s="208">
        <v>54</v>
      </c>
      <c r="R50" s="208" t="s">
        <v>398</v>
      </c>
      <c r="S50" s="262">
        <v>46253</v>
      </c>
      <c r="T50" s="208">
        <v>0.81299999999999994</v>
      </c>
      <c r="U50" s="208"/>
      <c r="V50" s="208"/>
      <c r="AD50" s="13">
        <v>56</v>
      </c>
      <c r="AE50" s="13">
        <v>0.57599999999999996</v>
      </c>
      <c r="AG50" s="368">
        <v>16</v>
      </c>
      <c r="AH50" s="29">
        <v>0.81</v>
      </c>
      <c r="AJ50" s="1">
        <v>16</v>
      </c>
      <c r="AK50" s="174">
        <v>1.6</v>
      </c>
      <c r="AL50" s="369"/>
    </row>
    <row r="51" spans="7:38" x14ac:dyDescent="0.3">
      <c r="Q51" s="208">
        <v>55</v>
      </c>
      <c r="R51" s="208" t="s">
        <v>399</v>
      </c>
      <c r="S51" s="262">
        <v>46253</v>
      </c>
      <c r="T51" s="208">
        <v>1.147</v>
      </c>
      <c r="U51" s="208"/>
      <c r="V51" s="208"/>
      <c r="AD51" s="13">
        <v>57</v>
      </c>
      <c r="AE51" s="13">
        <v>0.57599999999999996</v>
      </c>
      <c r="AG51" s="368">
        <v>17</v>
      </c>
      <c r="AH51" s="29">
        <v>0.81</v>
      </c>
      <c r="AJ51" s="1">
        <v>17</v>
      </c>
      <c r="AK51" s="174">
        <v>1.6</v>
      </c>
      <c r="AL51" s="369"/>
    </row>
    <row r="52" spans="7:38" x14ac:dyDescent="0.3">
      <c r="Q52" s="208">
        <v>56</v>
      </c>
      <c r="R52" s="208" t="s">
        <v>400</v>
      </c>
      <c r="S52" s="262">
        <v>46253</v>
      </c>
      <c r="T52" s="208">
        <v>1.9410000000000001</v>
      </c>
      <c r="U52" s="208"/>
      <c r="V52" s="208"/>
      <c r="AD52" s="13">
        <v>58</v>
      </c>
      <c r="AE52" s="13">
        <v>0.60399999999999998</v>
      </c>
      <c r="AG52" s="368">
        <v>18</v>
      </c>
      <c r="AH52" s="29">
        <v>0.81</v>
      </c>
      <c r="AJ52" s="1">
        <v>18</v>
      </c>
      <c r="AK52" s="174">
        <v>1.6</v>
      </c>
      <c r="AL52" s="369"/>
    </row>
    <row r="53" spans="7:38" x14ac:dyDescent="0.3">
      <c r="Q53" s="208">
        <v>57</v>
      </c>
      <c r="R53" s="208" t="s">
        <v>401</v>
      </c>
      <c r="S53" s="262">
        <v>46253</v>
      </c>
      <c r="T53" s="208">
        <v>0.48899999999999999</v>
      </c>
      <c r="U53" s="208"/>
      <c r="V53" s="208"/>
      <c r="AD53" s="13">
        <v>59</v>
      </c>
      <c r="AE53" s="13">
        <v>0.60399999999999998</v>
      </c>
      <c r="AG53" s="368">
        <v>19</v>
      </c>
      <c r="AH53" s="29">
        <v>0.81</v>
      </c>
      <c r="AJ53" s="1">
        <v>19</v>
      </c>
      <c r="AK53" s="174">
        <v>1.6</v>
      </c>
      <c r="AL53" s="369"/>
    </row>
    <row r="54" spans="7:38" x14ac:dyDescent="0.3">
      <c r="Q54" s="208">
        <v>58</v>
      </c>
      <c r="R54" s="208" t="s">
        <v>402</v>
      </c>
      <c r="S54" s="262">
        <v>46253</v>
      </c>
      <c r="T54" s="208">
        <v>0.55600000000000005</v>
      </c>
      <c r="U54" s="208"/>
      <c r="V54" s="208"/>
      <c r="AD54" s="13">
        <v>60</v>
      </c>
      <c r="AE54" s="6">
        <v>0.61099999999999999</v>
      </c>
      <c r="AG54" s="368">
        <v>20</v>
      </c>
      <c r="AH54" s="29">
        <v>0.81</v>
      </c>
      <c r="AJ54" s="1">
        <v>20</v>
      </c>
      <c r="AK54" s="174">
        <v>1.6</v>
      </c>
      <c r="AL54" s="369"/>
    </row>
    <row r="55" spans="7:38" x14ac:dyDescent="0.3">
      <c r="Q55" s="208">
        <v>59</v>
      </c>
      <c r="R55" s="208" t="s">
        <v>403</v>
      </c>
      <c r="S55" s="262">
        <v>46253</v>
      </c>
      <c r="T55" s="6">
        <v>3.032</v>
      </c>
      <c r="U55" s="208"/>
      <c r="V55" s="208"/>
      <c r="AD55" s="13">
        <v>61</v>
      </c>
      <c r="AE55" s="6">
        <v>0.61299999999999999</v>
      </c>
      <c r="AG55" s="368">
        <v>21</v>
      </c>
      <c r="AH55" s="29">
        <v>0.81</v>
      </c>
      <c r="AJ55" s="1">
        <v>21</v>
      </c>
      <c r="AK55" s="174">
        <v>1.6</v>
      </c>
      <c r="AL55" s="369"/>
    </row>
    <row r="56" spans="7:38" x14ac:dyDescent="0.3">
      <c r="Q56" s="208">
        <v>60</v>
      </c>
      <c r="R56" s="208" t="s">
        <v>383</v>
      </c>
      <c r="S56" s="262">
        <v>46253</v>
      </c>
      <c r="T56" s="6">
        <v>0.63200000000000001</v>
      </c>
      <c r="U56" s="208"/>
      <c r="V56" s="208"/>
      <c r="AD56" s="13">
        <v>62</v>
      </c>
      <c r="AE56" s="6">
        <v>0.61299999999999999</v>
      </c>
      <c r="AG56" s="368">
        <v>22</v>
      </c>
      <c r="AH56" s="29">
        <v>0.81</v>
      </c>
      <c r="AJ56" s="1">
        <v>22</v>
      </c>
      <c r="AK56" s="174">
        <v>1.6</v>
      </c>
      <c r="AL56" s="369"/>
    </row>
    <row r="57" spans="7:38" x14ac:dyDescent="0.3">
      <c r="Q57" s="208">
        <v>61</v>
      </c>
      <c r="R57" s="208" t="s">
        <v>384</v>
      </c>
      <c r="S57" s="262">
        <v>46253</v>
      </c>
      <c r="T57" s="6">
        <v>1.0429999999999999</v>
      </c>
      <c r="U57" s="208"/>
      <c r="V57" s="208"/>
      <c r="AD57" s="13">
        <v>63</v>
      </c>
      <c r="AE57" s="13">
        <v>0.61599999999999999</v>
      </c>
      <c r="AG57" s="368">
        <v>23</v>
      </c>
      <c r="AH57" s="29">
        <v>0.81</v>
      </c>
      <c r="AJ57" s="1">
        <v>23</v>
      </c>
      <c r="AK57" s="174">
        <v>1.6</v>
      </c>
      <c r="AL57" s="369"/>
    </row>
    <row r="58" spans="7:38" x14ac:dyDescent="0.3">
      <c r="Q58" s="208">
        <v>62</v>
      </c>
      <c r="R58" s="208" t="s">
        <v>385</v>
      </c>
      <c r="S58" s="262">
        <v>46253</v>
      </c>
      <c r="T58" s="6">
        <v>1.59</v>
      </c>
      <c r="U58" s="208"/>
      <c r="V58" s="208"/>
      <c r="AD58" s="13">
        <v>64</v>
      </c>
      <c r="AE58" s="13">
        <v>0.63200000000000001</v>
      </c>
      <c r="AG58" s="368">
        <v>24</v>
      </c>
      <c r="AH58" s="29">
        <v>0.81</v>
      </c>
      <c r="AJ58" s="1">
        <v>24</v>
      </c>
      <c r="AK58" s="174">
        <v>1.6</v>
      </c>
      <c r="AL58" s="369"/>
    </row>
    <row r="59" spans="7:38" x14ac:dyDescent="0.3">
      <c r="Q59" s="208">
        <v>63</v>
      </c>
      <c r="R59" s="208" t="s">
        <v>404</v>
      </c>
      <c r="S59" s="262">
        <v>46253</v>
      </c>
      <c r="T59" s="6">
        <v>0.33700000000000002</v>
      </c>
      <c r="U59" s="208"/>
      <c r="V59" s="208"/>
      <c r="AD59" s="13">
        <v>65</v>
      </c>
      <c r="AE59" s="13">
        <v>0.63500000000000001</v>
      </c>
      <c r="AG59" s="368">
        <v>25</v>
      </c>
      <c r="AH59" s="29">
        <v>0.81</v>
      </c>
      <c r="AJ59" s="1">
        <v>25</v>
      </c>
      <c r="AK59" s="174">
        <v>1.6</v>
      </c>
      <c r="AL59" s="369"/>
    </row>
    <row r="60" spans="7:38" x14ac:dyDescent="0.3">
      <c r="Q60" s="208">
        <v>64</v>
      </c>
      <c r="R60" s="208" t="s">
        <v>405</v>
      </c>
      <c r="S60" s="262">
        <v>46253</v>
      </c>
      <c r="T60" s="6">
        <v>0.252</v>
      </c>
      <c r="U60" s="208"/>
      <c r="V60" s="208"/>
      <c r="AD60" s="13">
        <v>66</v>
      </c>
      <c r="AE60" s="13">
        <v>0.65100000000000002</v>
      </c>
      <c r="AG60" s="368">
        <v>26</v>
      </c>
      <c r="AH60" s="29">
        <v>0.81</v>
      </c>
      <c r="AJ60" s="1">
        <v>26</v>
      </c>
      <c r="AK60" s="174">
        <v>1.6</v>
      </c>
      <c r="AL60" s="369"/>
    </row>
    <row r="61" spans="7:38" x14ac:dyDescent="0.3">
      <c r="Q61" s="208">
        <v>65</v>
      </c>
      <c r="R61" s="208" t="s">
        <v>389</v>
      </c>
      <c r="S61" s="262">
        <v>46254</v>
      </c>
      <c r="T61" s="6">
        <v>0.90500000000000003</v>
      </c>
      <c r="U61" s="6"/>
      <c r="V61" s="6"/>
      <c r="AD61" s="13">
        <v>67</v>
      </c>
      <c r="AE61" s="13">
        <v>0.66200000000000003</v>
      </c>
      <c r="AG61" s="368">
        <v>27</v>
      </c>
      <c r="AH61" s="29">
        <v>0.81</v>
      </c>
      <c r="AJ61" s="1">
        <v>27</v>
      </c>
      <c r="AK61" s="174">
        <v>1.6</v>
      </c>
      <c r="AL61" s="369"/>
    </row>
    <row r="62" spans="7:38" x14ac:dyDescent="0.3">
      <c r="Q62" s="208">
        <v>66</v>
      </c>
      <c r="R62" s="208" t="s">
        <v>391</v>
      </c>
      <c r="S62" s="262">
        <v>46254</v>
      </c>
      <c r="T62" s="6">
        <v>0.91200000000000003</v>
      </c>
      <c r="U62" s="6"/>
      <c r="V62" s="6"/>
      <c r="AD62" s="13">
        <v>68</v>
      </c>
      <c r="AE62" s="13">
        <v>0.66300000000000003</v>
      </c>
      <c r="AG62" s="368">
        <v>28</v>
      </c>
      <c r="AH62" s="29">
        <v>0.81</v>
      </c>
      <c r="AJ62" s="1">
        <v>28</v>
      </c>
      <c r="AK62" s="174">
        <v>1.6</v>
      </c>
      <c r="AL62" s="369"/>
    </row>
    <row r="63" spans="7:38" x14ac:dyDescent="0.3">
      <c r="Q63" s="208">
        <v>67</v>
      </c>
      <c r="R63" s="208" t="s">
        <v>393</v>
      </c>
      <c r="S63" s="262">
        <v>46254</v>
      </c>
      <c r="T63" s="6">
        <v>0.21199999999999999</v>
      </c>
      <c r="U63" s="6"/>
      <c r="V63" s="6"/>
      <c r="AD63" s="13">
        <v>69</v>
      </c>
      <c r="AE63" s="13">
        <v>0.67300000000000004</v>
      </c>
      <c r="AG63" s="368">
        <v>29</v>
      </c>
      <c r="AH63" s="29">
        <v>0.81</v>
      </c>
      <c r="AJ63" s="1">
        <v>29</v>
      </c>
      <c r="AK63" s="174">
        <v>1.6</v>
      </c>
      <c r="AL63" s="369"/>
    </row>
    <row r="64" spans="7:38" x14ac:dyDescent="0.3">
      <c r="Q64" s="208">
        <v>68</v>
      </c>
      <c r="R64" s="208" t="s">
        <v>395</v>
      </c>
      <c r="S64" s="262">
        <v>46254</v>
      </c>
      <c r="T64" s="6">
        <v>0.32300000000000001</v>
      </c>
      <c r="U64" s="6"/>
      <c r="V64" s="6"/>
      <c r="AD64" s="13">
        <v>70</v>
      </c>
      <c r="AE64" s="13">
        <v>0.69599999999999995</v>
      </c>
      <c r="AG64" s="368">
        <v>30</v>
      </c>
      <c r="AH64" s="29">
        <v>0.81</v>
      </c>
      <c r="AJ64" s="1">
        <v>30</v>
      </c>
      <c r="AK64" s="174">
        <v>1.6</v>
      </c>
      <c r="AL64" s="369"/>
    </row>
    <row r="65" spans="17:38" x14ac:dyDescent="0.3">
      <c r="Q65" s="208">
        <v>69</v>
      </c>
      <c r="R65" s="208" t="s">
        <v>397</v>
      </c>
      <c r="S65" s="262">
        <v>46254</v>
      </c>
      <c r="T65" s="6">
        <v>0.63500000000000001</v>
      </c>
      <c r="U65" s="6"/>
      <c r="V65" s="6"/>
      <c r="AD65" s="13">
        <v>71</v>
      </c>
      <c r="AE65" s="13">
        <v>0.70199999999999996</v>
      </c>
      <c r="AG65" s="368">
        <v>31</v>
      </c>
      <c r="AH65" s="29">
        <v>0.81</v>
      </c>
      <c r="AJ65" s="1">
        <v>31</v>
      </c>
      <c r="AK65" s="174">
        <v>1.6</v>
      </c>
      <c r="AL65" s="369"/>
    </row>
    <row r="66" spans="17:38" x14ac:dyDescent="0.3">
      <c r="Q66" s="208">
        <v>70</v>
      </c>
      <c r="R66" s="208" t="s">
        <v>399</v>
      </c>
      <c r="S66" s="262">
        <v>46254</v>
      </c>
      <c r="T66" s="6">
        <v>0.45500000000000002</v>
      </c>
      <c r="U66" s="6"/>
      <c r="V66" s="6"/>
      <c r="AD66" s="13">
        <v>72</v>
      </c>
      <c r="AE66" s="13">
        <v>0.70699999999999996</v>
      </c>
      <c r="AG66" s="368">
        <v>32</v>
      </c>
      <c r="AH66" s="29">
        <v>0.81</v>
      </c>
      <c r="AJ66" s="1">
        <v>32</v>
      </c>
      <c r="AK66" s="174">
        <v>1.6</v>
      </c>
      <c r="AL66" s="369"/>
    </row>
    <row r="67" spans="17:38" x14ac:dyDescent="0.3">
      <c r="Q67" s="208">
        <v>71</v>
      </c>
      <c r="R67" s="208" t="s">
        <v>401</v>
      </c>
      <c r="S67" s="262">
        <v>46254</v>
      </c>
      <c r="T67" s="6">
        <v>9.9000000000000005E-2</v>
      </c>
      <c r="U67" s="6"/>
      <c r="V67" s="6"/>
      <c r="AD67" s="13">
        <v>73</v>
      </c>
      <c r="AE67" s="13">
        <v>0.73199999999999998</v>
      </c>
      <c r="AG67" s="368">
        <v>33</v>
      </c>
      <c r="AH67" s="29">
        <v>0.81</v>
      </c>
      <c r="AJ67" s="1">
        <v>33</v>
      </c>
      <c r="AK67" s="174">
        <v>1.6</v>
      </c>
      <c r="AL67" s="369"/>
    </row>
    <row r="68" spans="17:38" x14ac:dyDescent="0.3">
      <c r="Q68" s="208">
        <v>72</v>
      </c>
      <c r="R68" s="208" t="s">
        <v>403</v>
      </c>
      <c r="S68" s="262">
        <v>46254</v>
      </c>
      <c r="T68" s="6">
        <v>0.69599999999999995</v>
      </c>
      <c r="U68" s="6"/>
      <c r="V68" s="6"/>
      <c r="AD68" s="13">
        <v>74</v>
      </c>
      <c r="AE68" s="13">
        <v>0.73499999999999999</v>
      </c>
      <c r="AG68" s="368">
        <v>34</v>
      </c>
      <c r="AH68" s="29">
        <v>0.81</v>
      </c>
      <c r="AJ68" s="1">
        <v>34</v>
      </c>
      <c r="AK68" s="174">
        <v>1.6</v>
      </c>
      <c r="AL68" s="369"/>
    </row>
    <row r="69" spans="17:38" x14ac:dyDescent="0.3">
      <c r="Q69" s="208">
        <v>73</v>
      </c>
      <c r="R69" s="208" t="s">
        <v>384</v>
      </c>
      <c r="S69" s="262">
        <v>46254</v>
      </c>
      <c r="T69" s="6">
        <v>0.34</v>
      </c>
      <c r="U69" s="6"/>
      <c r="V69" s="6"/>
      <c r="AD69" s="13">
        <v>75</v>
      </c>
      <c r="AE69" s="13">
        <v>0.74399999999999999</v>
      </c>
      <c r="AG69" s="368">
        <v>35</v>
      </c>
      <c r="AH69" s="29">
        <v>0.81</v>
      </c>
      <c r="AJ69" s="1">
        <v>35</v>
      </c>
      <c r="AK69" s="174">
        <v>1.6</v>
      </c>
      <c r="AL69" s="369"/>
    </row>
    <row r="70" spans="17:38" x14ac:dyDescent="0.3">
      <c r="Q70" s="208">
        <v>74</v>
      </c>
      <c r="R70" s="208" t="s">
        <v>404</v>
      </c>
      <c r="S70" s="262">
        <v>46254</v>
      </c>
      <c r="T70" s="6">
        <v>0.98199999999999998</v>
      </c>
      <c r="U70" s="6"/>
      <c r="V70" s="6"/>
      <c r="AD70" s="13">
        <v>76</v>
      </c>
      <c r="AE70" s="13">
        <v>0.751</v>
      </c>
      <c r="AG70" s="368">
        <v>36</v>
      </c>
      <c r="AH70" s="29">
        <v>0.81</v>
      </c>
      <c r="AJ70" s="1">
        <v>36</v>
      </c>
      <c r="AK70" s="174">
        <v>1.6</v>
      </c>
      <c r="AL70" s="369"/>
    </row>
    <row r="71" spans="17:38" x14ac:dyDescent="0.3">
      <c r="Q71" s="208">
        <v>75</v>
      </c>
      <c r="R71" s="208" t="s">
        <v>406</v>
      </c>
      <c r="S71" s="262">
        <v>46254</v>
      </c>
      <c r="T71" s="6">
        <v>1.0880000000000001</v>
      </c>
      <c r="U71" s="6"/>
      <c r="V71" s="6"/>
      <c r="AD71" s="13">
        <v>77</v>
      </c>
      <c r="AE71" s="13">
        <v>0.76500000000000001</v>
      </c>
      <c r="AG71" s="368">
        <v>37</v>
      </c>
      <c r="AH71" s="29">
        <v>0.81</v>
      </c>
      <c r="AJ71" s="1">
        <v>37</v>
      </c>
      <c r="AK71" s="174">
        <v>1.6</v>
      </c>
      <c r="AL71" s="369"/>
    </row>
    <row r="72" spans="17:38" x14ac:dyDescent="0.3">
      <c r="Q72" s="208">
        <v>76</v>
      </c>
      <c r="R72" s="208" t="s">
        <v>389</v>
      </c>
      <c r="S72" s="262">
        <v>46255</v>
      </c>
      <c r="T72" s="6">
        <v>0.57399999999999995</v>
      </c>
      <c r="U72" s="6"/>
      <c r="V72" s="6"/>
      <c r="AD72" s="13">
        <v>78</v>
      </c>
      <c r="AE72" s="13">
        <v>0.79</v>
      </c>
      <c r="AG72" s="368">
        <v>38</v>
      </c>
      <c r="AH72" s="29">
        <v>0.81</v>
      </c>
      <c r="AJ72" s="1">
        <v>38</v>
      </c>
      <c r="AK72" s="174">
        <v>1.6</v>
      </c>
      <c r="AL72" s="369"/>
    </row>
    <row r="73" spans="17:38" x14ac:dyDescent="0.3">
      <c r="Q73" s="208">
        <v>77</v>
      </c>
      <c r="R73" s="208" t="s">
        <v>391</v>
      </c>
      <c r="S73" s="262">
        <v>46255</v>
      </c>
      <c r="T73" s="6">
        <v>0.35399999999999998</v>
      </c>
      <c r="U73" s="6"/>
      <c r="V73" s="6"/>
      <c r="AD73" s="13">
        <v>79</v>
      </c>
      <c r="AE73" s="13">
        <v>0.79700000000000004</v>
      </c>
      <c r="AG73" s="368">
        <v>39</v>
      </c>
      <c r="AH73" s="29">
        <v>0.81</v>
      </c>
      <c r="AJ73" s="1">
        <v>39</v>
      </c>
      <c r="AK73" s="174">
        <v>1.6</v>
      </c>
      <c r="AL73" s="369"/>
    </row>
    <row r="74" spans="17:38" x14ac:dyDescent="0.3">
      <c r="Q74" s="208">
        <v>78</v>
      </c>
      <c r="R74" s="208" t="s">
        <v>393</v>
      </c>
      <c r="S74" s="262">
        <v>46255</v>
      </c>
      <c r="T74" s="6">
        <v>0.80200000000000005</v>
      </c>
      <c r="U74" s="6"/>
      <c r="V74" s="6"/>
      <c r="AD74" s="13">
        <v>80</v>
      </c>
      <c r="AE74" s="13">
        <v>0.80200000000000005</v>
      </c>
      <c r="AG74" s="368">
        <v>40</v>
      </c>
      <c r="AH74" s="29">
        <v>0.81</v>
      </c>
      <c r="AJ74" s="1">
        <v>40</v>
      </c>
      <c r="AK74" s="174">
        <v>1.6</v>
      </c>
      <c r="AL74" s="369"/>
    </row>
    <row r="75" spans="17:38" x14ac:dyDescent="0.3">
      <c r="Q75" s="208">
        <v>79</v>
      </c>
      <c r="R75" s="208" t="s">
        <v>395</v>
      </c>
      <c r="S75" s="262">
        <v>46255</v>
      </c>
      <c r="T75" s="6">
        <v>0.16</v>
      </c>
      <c r="U75" s="6"/>
      <c r="V75" s="6"/>
      <c r="AD75" s="13">
        <v>81</v>
      </c>
      <c r="AE75" s="13">
        <v>0.81299999999999994</v>
      </c>
      <c r="AG75" s="368">
        <v>41</v>
      </c>
      <c r="AH75" s="29">
        <v>0.81</v>
      </c>
      <c r="AJ75" s="1">
        <v>41</v>
      </c>
      <c r="AK75" s="174">
        <v>1.6</v>
      </c>
      <c r="AL75" s="369"/>
    </row>
    <row r="76" spans="17:38" x14ac:dyDescent="0.3">
      <c r="Q76" s="208">
        <v>80</v>
      </c>
      <c r="R76" s="208" t="s">
        <v>397</v>
      </c>
      <c r="S76" s="262">
        <v>46255</v>
      </c>
      <c r="T76" s="6">
        <v>0.96199999999999997</v>
      </c>
      <c r="U76" s="6"/>
      <c r="V76" s="6"/>
      <c r="AD76" s="13">
        <v>82</v>
      </c>
      <c r="AE76" s="13">
        <v>0.81599999999999995</v>
      </c>
      <c r="AG76" s="368">
        <v>42</v>
      </c>
      <c r="AH76" s="29">
        <v>0.81</v>
      </c>
      <c r="AJ76" s="1">
        <v>42</v>
      </c>
      <c r="AK76" s="174">
        <v>1.6</v>
      </c>
      <c r="AL76" s="369"/>
    </row>
    <row r="77" spans="17:38" x14ac:dyDescent="0.3">
      <c r="Q77" s="208">
        <v>81</v>
      </c>
      <c r="R77" s="208" t="s">
        <v>399</v>
      </c>
      <c r="S77" s="262">
        <v>46255</v>
      </c>
      <c r="T77" s="6">
        <v>0.42199999999999999</v>
      </c>
      <c r="U77" s="6"/>
      <c r="V77" s="6"/>
      <c r="AD77" s="13">
        <v>83</v>
      </c>
      <c r="AE77" s="6">
        <v>0.83599999999999997</v>
      </c>
      <c r="AG77" s="368">
        <v>43</v>
      </c>
      <c r="AH77" s="29">
        <v>0.81</v>
      </c>
      <c r="AJ77" s="1">
        <v>43</v>
      </c>
      <c r="AK77" s="174">
        <v>1.6</v>
      </c>
      <c r="AL77" s="369"/>
    </row>
    <row r="78" spans="17:38" x14ac:dyDescent="0.3">
      <c r="Q78" s="208">
        <v>82</v>
      </c>
      <c r="R78" s="208" t="s">
        <v>401</v>
      </c>
      <c r="S78" s="262">
        <v>46255</v>
      </c>
      <c r="T78" s="6">
        <v>0.16700000000000001</v>
      </c>
      <c r="U78" s="6"/>
      <c r="V78" s="6"/>
      <c r="AD78" s="13">
        <v>84</v>
      </c>
      <c r="AE78" s="13">
        <v>0.83899999999999997</v>
      </c>
      <c r="AG78" s="368">
        <v>44</v>
      </c>
      <c r="AH78" s="29">
        <v>0.81</v>
      </c>
      <c r="AJ78" s="1">
        <v>44</v>
      </c>
      <c r="AK78" s="174">
        <v>1.6</v>
      </c>
      <c r="AL78" s="369"/>
    </row>
    <row r="79" spans="17:38" x14ac:dyDescent="0.3">
      <c r="Q79" s="208">
        <v>83</v>
      </c>
      <c r="R79" s="208" t="s">
        <v>403</v>
      </c>
      <c r="S79" s="262">
        <v>46255</v>
      </c>
      <c r="T79" s="6">
        <v>0.31</v>
      </c>
      <c r="U79" s="6"/>
      <c r="V79" s="6"/>
      <c r="AD79" s="13">
        <v>85</v>
      </c>
      <c r="AE79" s="13">
        <v>0.84699999999999998</v>
      </c>
      <c r="AG79" s="368">
        <v>45</v>
      </c>
      <c r="AH79" s="29">
        <v>0.81</v>
      </c>
      <c r="AJ79" s="1">
        <v>45</v>
      </c>
      <c r="AK79" s="174">
        <v>1.6</v>
      </c>
      <c r="AL79" s="369"/>
    </row>
    <row r="80" spans="17:38" x14ac:dyDescent="0.3">
      <c r="Q80" s="208">
        <v>84</v>
      </c>
      <c r="R80" s="208" t="s">
        <v>384</v>
      </c>
      <c r="S80" s="262">
        <v>46255</v>
      </c>
      <c r="T80" s="6">
        <v>0.23100000000000001</v>
      </c>
      <c r="U80" s="6"/>
      <c r="V80" s="6"/>
      <c r="AD80" s="13">
        <v>86</v>
      </c>
      <c r="AE80" s="13">
        <v>0.86299999999999999</v>
      </c>
      <c r="AG80" s="368">
        <v>46</v>
      </c>
      <c r="AH80" s="29">
        <v>0.81</v>
      </c>
      <c r="AJ80" s="1">
        <v>46</v>
      </c>
      <c r="AK80" s="174">
        <v>1.6</v>
      </c>
      <c r="AL80" s="369"/>
    </row>
    <row r="81" spans="17:38" x14ac:dyDescent="0.3">
      <c r="Q81" s="208">
        <v>85</v>
      </c>
      <c r="R81" s="208" t="s">
        <v>391</v>
      </c>
      <c r="S81" s="262">
        <v>46256</v>
      </c>
      <c r="T81" s="6">
        <v>2.5209999999999999</v>
      </c>
      <c r="U81" s="6"/>
      <c r="V81" s="6"/>
      <c r="AD81" s="13">
        <v>87</v>
      </c>
      <c r="AE81" s="13">
        <v>0.90500000000000003</v>
      </c>
      <c r="AG81" s="368">
        <v>47</v>
      </c>
      <c r="AH81" s="29">
        <v>0.81</v>
      </c>
      <c r="AJ81" s="1">
        <v>47</v>
      </c>
      <c r="AK81" s="174">
        <v>1.6</v>
      </c>
      <c r="AL81" s="369"/>
    </row>
    <row r="82" spans="17:38" x14ac:dyDescent="0.3">
      <c r="Q82" s="208">
        <v>86</v>
      </c>
      <c r="R82" s="208" t="s">
        <v>393</v>
      </c>
      <c r="S82" s="262">
        <v>46256</v>
      </c>
      <c r="T82" s="6">
        <v>0.308</v>
      </c>
      <c r="U82" s="6"/>
      <c r="V82" s="6"/>
      <c r="AD82" s="13">
        <v>88</v>
      </c>
      <c r="AE82" s="13">
        <v>0.91200000000000003</v>
      </c>
      <c r="AG82" s="368">
        <v>48</v>
      </c>
      <c r="AH82" s="29">
        <v>0.81</v>
      </c>
      <c r="AJ82" s="1">
        <v>48</v>
      </c>
      <c r="AK82" s="174">
        <v>1.6</v>
      </c>
      <c r="AL82" s="369"/>
    </row>
    <row r="83" spans="17:38" x14ac:dyDescent="0.3">
      <c r="Q83" s="208">
        <v>87</v>
      </c>
      <c r="R83" s="208" t="s">
        <v>395</v>
      </c>
      <c r="S83" s="262">
        <v>46256</v>
      </c>
      <c r="T83" s="6">
        <v>0.35099999999999998</v>
      </c>
      <c r="U83" s="6"/>
      <c r="V83" s="6"/>
      <c r="AD83" s="13">
        <v>89</v>
      </c>
      <c r="AE83" s="6">
        <v>0.91700000000000004</v>
      </c>
      <c r="AG83" s="368">
        <v>49</v>
      </c>
      <c r="AH83" s="29">
        <v>0.81</v>
      </c>
      <c r="AJ83" s="1">
        <v>49</v>
      </c>
      <c r="AK83" s="174">
        <v>1.6</v>
      </c>
      <c r="AL83" s="369"/>
    </row>
    <row r="84" spans="17:38" x14ac:dyDescent="0.3">
      <c r="Q84" s="208">
        <v>88</v>
      </c>
      <c r="R84" s="208" t="s">
        <v>397</v>
      </c>
      <c r="S84" s="262">
        <v>46256</v>
      </c>
      <c r="T84" s="6">
        <v>0.751</v>
      </c>
      <c r="U84" s="6"/>
      <c r="V84" s="6"/>
      <c r="AD84" s="13">
        <v>90</v>
      </c>
      <c r="AE84" s="13">
        <v>0.94399999999999995</v>
      </c>
      <c r="AG84" s="368">
        <v>50</v>
      </c>
      <c r="AH84" s="29">
        <v>0.81</v>
      </c>
      <c r="AJ84" s="1">
        <v>50</v>
      </c>
      <c r="AK84" s="174">
        <v>1.6</v>
      </c>
      <c r="AL84" s="369"/>
    </row>
    <row r="85" spans="17:38" x14ac:dyDescent="0.3">
      <c r="Q85" s="208">
        <v>89</v>
      </c>
      <c r="R85" s="208" t="s">
        <v>399</v>
      </c>
      <c r="S85" s="262">
        <v>46256</v>
      </c>
      <c r="T85" s="6">
        <v>0.60399999999999998</v>
      </c>
      <c r="U85" s="6"/>
      <c r="V85" s="6"/>
      <c r="AD85" s="13">
        <v>91</v>
      </c>
      <c r="AE85" s="13">
        <v>0.96199999999999997</v>
      </c>
      <c r="AG85" s="368">
        <v>51</v>
      </c>
      <c r="AH85" s="29">
        <v>0.81</v>
      </c>
      <c r="AJ85" s="1">
        <v>51</v>
      </c>
      <c r="AK85" s="174">
        <v>1.6</v>
      </c>
      <c r="AL85" s="369"/>
    </row>
    <row r="86" spans="17:38" x14ac:dyDescent="0.3">
      <c r="Q86" s="208">
        <v>90</v>
      </c>
      <c r="R86" s="208" t="s">
        <v>401</v>
      </c>
      <c r="S86" s="262">
        <v>46256</v>
      </c>
      <c r="T86" s="6">
        <v>4.7E-2</v>
      </c>
      <c r="U86" s="6"/>
      <c r="V86" s="6"/>
      <c r="AD86" s="13">
        <v>92</v>
      </c>
      <c r="AE86" s="13">
        <v>0.98199999999999998</v>
      </c>
      <c r="AG86" s="368">
        <v>52</v>
      </c>
      <c r="AH86" s="29">
        <v>0.81</v>
      </c>
      <c r="AJ86" s="1">
        <v>52</v>
      </c>
      <c r="AK86" s="174">
        <v>1.6</v>
      </c>
      <c r="AL86" s="369"/>
    </row>
    <row r="87" spans="17:38" x14ac:dyDescent="0.3">
      <c r="Q87" s="208">
        <v>91</v>
      </c>
      <c r="R87" s="208" t="s">
        <v>403</v>
      </c>
      <c r="S87" s="262">
        <v>46256</v>
      </c>
      <c r="T87" s="6">
        <v>0.35699999999999998</v>
      </c>
      <c r="U87" s="6">
        <f>T87*18</f>
        <v>6.4260000000000002</v>
      </c>
      <c r="V87" s="6"/>
      <c r="AD87" s="13">
        <v>93</v>
      </c>
      <c r="AE87" s="6">
        <v>0.98599999999999999</v>
      </c>
      <c r="AG87" s="368">
        <v>53</v>
      </c>
      <c r="AH87" s="29">
        <v>0.81</v>
      </c>
      <c r="AJ87" s="1">
        <v>53</v>
      </c>
      <c r="AK87" s="174">
        <v>1.6</v>
      </c>
      <c r="AL87" s="369"/>
    </row>
    <row r="88" spans="17:38" x14ac:dyDescent="0.3">
      <c r="Q88" s="208">
        <v>92</v>
      </c>
      <c r="R88" s="208" t="s">
        <v>384</v>
      </c>
      <c r="S88" s="262">
        <v>46256</v>
      </c>
      <c r="T88" s="6">
        <v>0.40699999999999997</v>
      </c>
      <c r="U88" s="6">
        <f t="shared" ref="U88:U95" si="5">T88*18</f>
        <v>7.3259999999999996</v>
      </c>
      <c r="V88" s="6"/>
      <c r="AD88" s="13">
        <v>94</v>
      </c>
      <c r="AE88" s="13">
        <v>1.0349999999999999</v>
      </c>
      <c r="AG88" s="368">
        <v>54</v>
      </c>
      <c r="AH88" s="29">
        <v>0.81</v>
      </c>
      <c r="AJ88" s="1">
        <v>54</v>
      </c>
      <c r="AK88" s="174">
        <v>1.6</v>
      </c>
      <c r="AL88" s="369"/>
    </row>
    <row r="89" spans="17:38" x14ac:dyDescent="0.3">
      <c r="Q89" s="208">
        <v>93</v>
      </c>
      <c r="R89" s="208" t="s">
        <v>404</v>
      </c>
      <c r="S89" s="262">
        <v>46256</v>
      </c>
      <c r="T89" s="6">
        <v>0.318</v>
      </c>
      <c r="U89" s="6">
        <f t="shared" si="5"/>
        <v>5.7240000000000002</v>
      </c>
      <c r="V89" s="6"/>
      <c r="AD89" s="13">
        <v>95</v>
      </c>
      <c r="AE89" s="13">
        <v>1.0409999999999999</v>
      </c>
      <c r="AG89" s="368">
        <v>55</v>
      </c>
      <c r="AH89" s="29">
        <v>0.81</v>
      </c>
      <c r="AJ89" s="1">
        <v>55</v>
      </c>
      <c r="AK89" s="174">
        <v>1.6</v>
      </c>
      <c r="AL89" s="369"/>
    </row>
    <row r="90" spans="17:38" x14ac:dyDescent="0.3">
      <c r="Q90" s="208">
        <v>94</v>
      </c>
      <c r="R90" s="208" t="s">
        <v>389</v>
      </c>
      <c r="S90" s="262">
        <v>46258</v>
      </c>
      <c r="T90" s="6">
        <v>0.502</v>
      </c>
      <c r="U90" s="6">
        <f t="shared" si="5"/>
        <v>9.0359999999999996</v>
      </c>
      <c r="V90" s="6"/>
      <c r="AD90" s="13">
        <v>96</v>
      </c>
      <c r="AE90" s="13">
        <v>1.0429999999999999</v>
      </c>
      <c r="AG90" s="368">
        <v>56</v>
      </c>
      <c r="AH90" s="29">
        <v>0.81</v>
      </c>
      <c r="AJ90" s="1">
        <v>56</v>
      </c>
      <c r="AK90" s="174">
        <v>1.6</v>
      </c>
      <c r="AL90" s="369"/>
    </row>
    <row r="91" spans="17:38" x14ac:dyDescent="0.3">
      <c r="Q91" s="208">
        <v>95</v>
      </c>
      <c r="R91" s="208" t="s">
        <v>391</v>
      </c>
      <c r="S91" s="262">
        <v>46258</v>
      </c>
      <c r="T91" s="6">
        <v>0.38800000000000001</v>
      </c>
      <c r="U91" s="6">
        <f t="shared" si="5"/>
        <v>6.984</v>
      </c>
      <c r="V91" s="6"/>
      <c r="AD91" s="13">
        <v>97</v>
      </c>
      <c r="AE91" s="6">
        <v>1.044</v>
      </c>
      <c r="AG91" s="368">
        <v>57</v>
      </c>
      <c r="AH91" s="29">
        <v>0.81</v>
      </c>
      <c r="AJ91" s="1">
        <v>57</v>
      </c>
      <c r="AK91" s="174">
        <v>1.6</v>
      </c>
      <c r="AL91" s="369"/>
    </row>
    <row r="92" spans="17:38" x14ac:dyDescent="0.3">
      <c r="Q92" s="208">
        <v>96</v>
      </c>
      <c r="R92" s="208" t="s">
        <v>393</v>
      </c>
      <c r="S92" s="262">
        <v>46258</v>
      </c>
      <c r="T92" s="6">
        <v>1.0409999999999999</v>
      </c>
      <c r="U92" s="6">
        <f t="shared" si="5"/>
        <v>18.738</v>
      </c>
      <c r="V92" s="6"/>
      <c r="AD92" s="13">
        <v>98</v>
      </c>
      <c r="AE92" s="13">
        <v>1.077</v>
      </c>
      <c r="AG92" s="368">
        <v>58</v>
      </c>
      <c r="AH92" s="29">
        <v>0.81</v>
      </c>
      <c r="AJ92" s="1">
        <v>58</v>
      </c>
      <c r="AK92" s="174">
        <v>1.6</v>
      </c>
      <c r="AL92" s="369"/>
    </row>
    <row r="93" spans="17:38" x14ac:dyDescent="0.3">
      <c r="Q93" s="208">
        <v>97</v>
      </c>
      <c r="R93" s="208" t="s">
        <v>395</v>
      </c>
      <c r="S93" s="262">
        <v>46258</v>
      </c>
      <c r="T93" s="6">
        <v>1.47</v>
      </c>
      <c r="U93" s="6">
        <f t="shared" si="5"/>
        <v>26.46</v>
      </c>
      <c r="V93" s="6"/>
      <c r="AD93" s="13">
        <v>99</v>
      </c>
      <c r="AE93" s="13">
        <v>1.0880000000000001</v>
      </c>
      <c r="AG93" s="368">
        <v>59</v>
      </c>
      <c r="AH93" s="29">
        <v>0.81</v>
      </c>
      <c r="AJ93" s="1">
        <v>59</v>
      </c>
      <c r="AK93" s="174">
        <v>1.6</v>
      </c>
      <c r="AL93" s="369"/>
    </row>
    <row r="94" spans="17:38" x14ac:dyDescent="0.3">
      <c r="Q94" s="208">
        <v>98</v>
      </c>
      <c r="R94" s="208" t="s">
        <v>397</v>
      </c>
      <c r="S94" s="262">
        <v>46258</v>
      </c>
      <c r="T94" s="6">
        <v>3.8769999999999998</v>
      </c>
      <c r="U94" s="6">
        <f t="shared" si="5"/>
        <v>69.786000000000001</v>
      </c>
      <c r="V94" s="6"/>
      <c r="AD94" s="13">
        <v>100</v>
      </c>
      <c r="AE94" s="6">
        <v>1.1000000000000001</v>
      </c>
      <c r="AG94" s="368">
        <v>60</v>
      </c>
      <c r="AH94" s="29">
        <v>0.81</v>
      </c>
      <c r="AJ94" s="1">
        <v>60</v>
      </c>
      <c r="AK94" s="174">
        <v>1.6</v>
      </c>
      <c r="AL94" s="369"/>
    </row>
    <row r="95" spans="17:38" x14ac:dyDescent="0.3">
      <c r="Q95" s="208">
        <v>99</v>
      </c>
      <c r="R95" s="208" t="s">
        <v>399</v>
      </c>
      <c r="S95" s="262">
        <v>46258</v>
      </c>
      <c r="T95" s="6">
        <v>0.35099999999999998</v>
      </c>
      <c r="U95" s="6">
        <f t="shared" si="5"/>
        <v>6.3179999999999996</v>
      </c>
      <c r="V95" s="6"/>
      <c r="AD95" s="13">
        <v>101</v>
      </c>
      <c r="AE95" s="6">
        <v>1.125</v>
      </c>
      <c r="AG95" s="368">
        <v>61</v>
      </c>
      <c r="AH95" s="29">
        <v>0.81</v>
      </c>
      <c r="AJ95" s="1">
        <v>61</v>
      </c>
      <c r="AK95" s="174">
        <v>1.6</v>
      </c>
      <c r="AL95" s="369"/>
    </row>
    <row r="96" spans="17:38" x14ac:dyDescent="0.3">
      <c r="Q96" s="208">
        <v>100</v>
      </c>
      <c r="R96" s="208" t="s">
        <v>401</v>
      </c>
      <c r="S96" s="262">
        <v>46258</v>
      </c>
      <c r="T96" s="6">
        <v>0.32600000000000001</v>
      </c>
      <c r="U96" s="6"/>
      <c r="V96" s="6"/>
      <c r="AD96" s="13">
        <v>102</v>
      </c>
      <c r="AE96" s="13">
        <v>1.147</v>
      </c>
      <c r="AG96" s="368">
        <v>62</v>
      </c>
      <c r="AH96" s="29">
        <v>0.81</v>
      </c>
      <c r="AJ96" s="1">
        <v>62</v>
      </c>
      <c r="AK96" s="174">
        <v>1.6</v>
      </c>
      <c r="AL96" s="369"/>
    </row>
    <row r="97" spans="2:38" x14ac:dyDescent="0.3">
      <c r="Q97" s="208">
        <v>101</v>
      </c>
      <c r="R97" s="208" t="s">
        <v>403</v>
      </c>
      <c r="S97" s="262">
        <v>46258</v>
      </c>
      <c r="T97" s="6">
        <v>0.24</v>
      </c>
      <c r="U97" s="6"/>
      <c r="V97" s="6"/>
      <c r="AD97" s="13">
        <v>103</v>
      </c>
      <c r="AE97" s="6">
        <v>1.2170000000000001</v>
      </c>
      <c r="AG97" s="368">
        <v>63</v>
      </c>
      <c r="AH97" s="29">
        <v>0.81</v>
      </c>
      <c r="AJ97" s="1">
        <v>63</v>
      </c>
      <c r="AK97" s="174">
        <v>1.6</v>
      </c>
      <c r="AL97" s="369"/>
    </row>
    <row r="98" spans="2:38" x14ac:dyDescent="0.3">
      <c r="Q98" s="208">
        <v>102</v>
      </c>
      <c r="R98" s="208" t="s">
        <v>384</v>
      </c>
      <c r="S98" s="262">
        <v>46258</v>
      </c>
      <c r="T98" s="6">
        <v>1.077</v>
      </c>
      <c r="U98" s="6"/>
      <c r="V98" s="6"/>
      <c r="AD98" s="13">
        <v>104</v>
      </c>
      <c r="AE98" s="13">
        <v>1.2350000000000001</v>
      </c>
      <c r="AG98" s="368">
        <v>64</v>
      </c>
      <c r="AH98" s="29">
        <v>0.81</v>
      </c>
      <c r="AJ98" s="1">
        <v>64</v>
      </c>
      <c r="AK98" s="174">
        <v>1.6</v>
      </c>
      <c r="AL98" s="369"/>
    </row>
    <row r="99" spans="2:38" x14ac:dyDescent="0.3">
      <c r="Q99" s="208">
        <v>103</v>
      </c>
      <c r="R99" s="208" t="s">
        <v>397</v>
      </c>
      <c r="S99" s="262">
        <v>46261</v>
      </c>
      <c r="T99" s="6">
        <v>0.253</v>
      </c>
      <c r="U99" s="6"/>
      <c r="V99" s="6"/>
      <c r="AD99" s="13">
        <v>105</v>
      </c>
      <c r="AE99" s="13">
        <v>1.2390000000000001</v>
      </c>
      <c r="AG99" s="368">
        <v>65</v>
      </c>
      <c r="AH99" s="29">
        <v>0.81</v>
      </c>
      <c r="AJ99" s="1">
        <v>65</v>
      </c>
      <c r="AK99" s="174">
        <v>1.6</v>
      </c>
      <c r="AL99" s="369"/>
    </row>
    <row r="100" spans="2:38" x14ac:dyDescent="0.3">
      <c r="Q100" s="208">
        <v>104</v>
      </c>
      <c r="R100" s="208" t="s">
        <v>399</v>
      </c>
      <c r="S100" s="262">
        <v>46261</v>
      </c>
      <c r="T100" s="6">
        <v>0.73199999999999998</v>
      </c>
      <c r="U100" s="6"/>
      <c r="V100" s="6"/>
      <c r="AD100" s="13">
        <v>106</v>
      </c>
      <c r="AE100" s="13">
        <v>1.25</v>
      </c>
      <c r="AG100" s="368">
        <v>66</v>
      </c>
      <c r="AH100" s="29">
        <v>0.81</v>
      </c>
      <c r="AJ100" s="1">
        <v>66</v>
      </c>
      <c r="AK100" s="174">
        <v>1.6</v>
      </c>
      <c r="AL100" s="369"/>
    </row>
    <row r="101" spans="2:38" x14ac:dyDescent="0.3">
      <c r="Q101" s="208">
        <v>105</v>
      </c>
      <c r="R101" s="208" t="s">
        <v>401</v>
      </c>
      <c r="S101" s="262">
        <v>46261</v>
      </c>
      <c r="T101" s="6">
        <v>0.45400000000000001</v>
      </c>
      <c r="U101" s="6"/>
      <c r="V101" s="6"/>
      <c r="AD101" s="13">
        <v>107</v>
      </c>
      <c r="AE101" s="13">
        <v>1.2929999999999999</v>
      </c>
      <c r="AG101" s="368">
        <v>67</v>
      </c>
      <c r="AH101" s="29">
        <v>0.81</v>
      </c>
      <c r="AJ101" s="1">
        <v>67</v>
      </c>
      <c r="AK101" s="174">
        <v>1.6</v>
      </c>
      <c r="AL101" s="369"/>
    </row>
    <row r="102" spans="2:38" x14ac:dyDescent="0.3">
      <c r="Q102" s="208">
        <v>106</v>
      </c>
      <c r="R102" s="208" t="s">
        <v>403</v>
      </c>
      <c r="S102" s="262">
        <v>46261</v>
      </c>
      <c r="T102" s="6">
        <v>0.61599999999999999</v>
      </c>
      <c r="U102" s="6"/>
      <c r="V102" s="6"/>
      <c r="AD102" s="13">
        <v>108</v>
      </c>
      <c r="AE102" s="6">
        <v>1.2949999999999999</v>
      </c>
      <c r="AG102" s="368">
        <v>68</v>
      </c>
      <c r="AH102" s="29">
        <v>0.81</v>
      </c>
      <c r="AJ102" s="1">
        <v>68</v>
      </c>
      <c r="AK102" s="174">
        <v>1.6</v>
      </c>
      <c r="AL102" s="369"/>
    </row>
    <row r="103" spans="2:38" x14ac:dyDescent="0.3">
      <c r="Q103" s="208">
        <v>107</v>
      </c>
      <c r="R103" s="208" t="s">
        <v>384</v>
      </c>
      <c r="S103" s="262">
        <v>46261</v>
      </c>
      <c r="T103" s="6">
        <v>0.24199999999999999</v>
      </c>
      <c r="U103" s="6"/>
      <c r="V103" s="6"/>
      <c r="AD103" s="13">
        <v>109</v>
      </c>
      <c r="AE103" s="6">
        <v>1.3080000000000001</v>
      </c>
      <c r="AG103" s="368">
        <v>69</v>
      </c>
      <c r="AH103" s="29">
        <v>0.81</v>
      </c>
      <c r="AJ103" s="1">
        <v>69</v>
      </c>
      <c r="AK103" s="174">
        <v>1.6</v>
      </c>
      <c r="AL103" s="369"/>
    </row>
    <row r="104" spans="2:38" x14ac:dyDescent="0.3">
      <c r="Q104" s="208">
        <v>108</v>
      </c>
      <c r="R104" s="208" t="s">
        <v>404</v>
      </c>
      <c r="S104" s="262">
        <v>46261</v>
      </c>
      <c r="T104" s="6">
        <v>2.0979999999999999</v>
      </c>
      <c r="U104" s="6"/>
      <c r="V104" s="6"/>
      <c r="AD104" s="13">
        <v>110</v>
      </c>
      <c r="AE104" s="13">
        <v>1.3220000000000001</v>
      </c>
      <c r="AG104" s="368">
        <v>70</v>
      </c>
      <c r="AH104" s="29">
        <v>0.81</v>
      </c>
      <c r="AJ104" s="1">
        <v>70</v>
      </c>
      <c r="AK104" s="174">
        <v>1.6</v>
      </c>
      <c r="AL104" s="369"/>
    </row>
    <row r="105" spans="2:38" x14ac:dyDescent="0.3">
      <c r="Q105" s="208">
        <v>109</v>
      </c>
      <c r="R105" s="208" t="s">
        <v>406</v>
      </c>
      <c r="S105" s="262">
        <v>46261</v>
      </c>
      <c r="T105" s="6">
        <v>0.86299999999999999</v>
      </c>
      <c r="U105" s="6"/>
      <c r="V105" s="6"/>
      <c r="AD105" s="13">
        <v>111</v>
      </c>
      <c r="AE105" s="6">
        <v>1.3280000000000001</v>
      </c>
      <c r="AG105" s="368">
        <v>71</v>
      </c>
      <c r="AH105" s="29">
        <v>0.81</v>
      </c>
      <c r="AJ105" s="1">
        <v>71</v>
      </c>
      <c r="AK105" s="174">
        <v>1.6</v>
      </c>
      <c r="AL105" s="369"/>
    </row>
    <row r="106" spans="2:38" x14ac:dyDescent="0.3">
      <c r="B106" s="1481" t="s">
        <v>422</v>
      </c>
      <c r="C106" s="1481"/>
      <c r="D106" s="1481"/>
      <c r="E106" s="1481"/>
      <c r="F106" s="1481"/>
      <c r="G106" s="1481"/>
      <c r="H106" s="1481"/>
      <c r="I106" s="1481"/>
      <c r="J106" s="1481"/>
      <c r="Q106" s="208">
        <v>110</v>
      </c>
      <c r="R106" s="208" t="s">
        <v>389</v>
      </c>
      <c r="S106" s="262">
        <v>46262</v>
      </c>
      <c r="T106" s="6">
        <v>0.17899999999999999</v>
      </c>
      <c r="U106" s="6"/>
      <c r="V106" s="6"/>
      <c r="AD106" s="13">
        <v>112</v>
      </c>
      <c r="AE106" s="13">
        <v>1.3919999999999999</v>
      </c>
      <c r="AG106" s="368">
        <v>72</v>
      </c>
      <c r="AH106" s="29">
        <v>0.81</v>
      </c>
      <c r="AJ106" s="1">
        <v>72</v>
      </c>
      <c r="AK106" s="174">
        <v>1.6</v>
      </c>
      <c r="AL106" s="369"/>
    </row>
    <row r="107" spans="2:38" x14ac:dyDescent="0.3">
      <c r="B107" s="1481"/>
      <c r="C107" s="1481"/>
      <c r="D107" s="1481"/>
      <c r="E107" s="1481"/>
      <c r="F107" s="1481"/>
      <c r="G107" s="1481"/>
      <c r="H107" s="1481"/>
      <c r="I107" s="1481"/>
      <c r="J107" s="1481"/>
      <c r="Q107" s="208">
        <v>111</v>
      </c>
      <c r="R107" s="208" t="s">
        <v>391</v>
      </c>
      <c r="S107" s="262">
        <v>46262</v>
      </c>
      <c r="T107" s="6">
        <v>0.17799999999999999</v>
      </c>
      <c r="U107" s="6"/>
      <c r="V107" s="6"/>
      <c r="AD107" s="13">
        <v>113</v>
      </c>
      <c r="AE107" s="13">
        <v>1.47</v>
      </c>
      <c r="AG107" s="368">
        <v>73</v>
      </c>
      <c r="AH107" s="29">
        <v>0.81</v>
      </c>
      <c r="AJ107" s="1">
        <v>73</v>
      </c>
      <c r="AK107" s="174">
        <v>1.6</v>
      </c>
      <c r="AL107" s="369"/>
    </row>
    <row r="108" spans="2:38" x14ac:dyDescent="0.3">
      <c r="Q108" s="208">
        <v>112</v>
      </c>
      <c r="R108" s="208" t="s">
        <v>393</v>
      </c>
      <c r="S108" s="262">
        <v>46262</v>
      </c>
      <c r="T108" s="6">
        <v>1.1000000000000001</v>
      </c>
      <c r="U108" s="6"/>
      <c r="V108" s="6"/>
      <c r="AD108" s="13">
        <v>114</v>
      </c>
      <c r="AE108" s="13">
        <v>1.552</v>
      </c>
      <c r="AG108" s="368">
        <v>74</v>
      </c>
      <c r="AH108" s="29">
        <v>0.81</v>
      </c>
      <c r="AJ108" s="1">
        <v>74</v>
      </c>
      <c r="AK108" s="174">
        <v>1.6</v>
      </c>
      <c r="AL108" s="369"/>
    </row>
    <row r="109" spans="2:38" x14ac:dyDescent="0.3">
      <c r="Q109" s="208">
        <v>113</v>
      </c>
      <c r="R109" s="208" t="s">
        <v>397</v>
      </c>
      <c r="S109" s="262">
        <v>46262</v>
      </c>
      <c r="T109" s="6">
        <v>0.61299999999999999</v>
      </c>
      <c r="U109" s="6"/>
      <c r="V109" s="6"/>
      <c r="AD109" s="13">
        <v>115</v>
      </c>
      <c r="AE109" s="13">
        <v>1.583</v>
      </c>
      <c r="AG109" s="368">
        <v>75</v>
      </c>
      <c r="AH109" s="29">
        <v>0.81</v>
      </c>
      <c r="AJ109" s="1">
        <v>75</v>
      </c>
      <c r="AK109" s="174">
        <v>1.6</v>
      </c>
      <c r="AL109" s="369"/>
    </row>
    <row r="110" spans="2:38" x14ac:dyDescent="0.3">
      <c r="Q110" s="208">
        <v>114</v>
      </c>
      <c r="R110" s="208" t="s">
        <v>399</v>
      </c>
      <c r="S110" s="262">
        <v>46262</v>
      </c>
      <c r="T110" s="6">
        <v>0.33600000000000002</v>
      </c>
      <c r="U110" s="6"/>
      <c r="V110" s="6"/>
      <c r="AD110" s="13">
        <v>116</v>
      </c>
      <c r="AE110" s="13">
        <v>1.59</v>
      </c>
      <c r="AG110" s="368">
        <v>76</v>
      </c>
      <c r="AH110" s="29">
        <v>0.81</v>
      </c>
      <c r="AJ110" s="1">
        <v>76</v>
      </c>
      <c r="AK110" s="174">
        <v>1.6</v>
      </c>
      <c r="AL110" s="369"/>
    </row>
    <row r="111" spans="2:38" x14ac:dyDescent="0.3">
      <c r="Q111" s="208">
        <v>115</v>
      </c>
      <c r="R111" s="208" t="s">
        <v>401</v>
      </c>
      <c r="S111" s="262">
        <v>46262</v>
      </c>
      <c r="T111" s="6">
        <v>0.61299999999999999</v>
      </c>
      <c r="U111" s="6"/>
      <c r="V111" s="6"/>
      <c r="AD111" s="13">
        <v>117</v>
      </c>
      <c r="AE111" s="13">
        <v>1.635</v>
      </c>
      <c r="AG111" s="368">
        <v>77</v>
      </c>
      <c r="AH111" s="29">
        <v>0.81</v>
      </c>
      <c r="AJ111" s="1">
        <v>77</v>
      </c>
      <c r="AK111" s="174">
        <v>1.6</v>
      </c>
      <c r="AL111" s="369"/>
    </row>
    <row r="112" spans="2:38" x14ac:dyDescent="0.3">
      <c r="Q112" s="208">
        <v>116</v>
      </c>
      <c r="R112" s="208" t="s">
        <v>403</v>
      </c>
      <c r="S112" s="262">
        <v>46262</v>
      </c>
      <c r="T112" s="6">
        <v>1.125</v>
      </c>
      <c r="U112" s="6"/>
      <c r="V112" s="6"/>
      <c r="AD112" s="13">
        <v>118</v>
      </c>
      <c r="AE112" s="6">
        <v>1.718</v>
      </c>
      <c r="AG112" s="368">
        <v>78</v>
      </c>
      <c r="AH112" s="29">
        <v>0.81</v>
      </c>
      <c r="AJ112" s="1">
        <v>78</v>
      </c>
      <c r="AK112" s="174">
        <v>1.6</v>
      </c>
      <c r="AL112" s="369"/>
    </row>
    <row r="113" spans="17:38" x14ac:dyDescent="0.3">
      <c r="Q113" s="208">
        <v>117</v>
      </c>
      <c r="R113" s="208" t="s">
        <v>384</v>
      </c>
      <c r="S113" s="262">
        <v>46262</v>
      </c>
      <c r="T113" s="6">
        <v>1.2949999999999999</v>
      </c>
      <c r="U113" s="6"/>
      <c r="V113" s="6"/>
      <c r="AD113" s="13">
        <v>119</v>
      </c>
      <c r="AE113" s="6">
        <v>1.7190000000000001</v>
      </c>
      <c r="AG113" s="368">
        <v>79</v>
      </c>
      <c r="AH113" s="29">
        <v>0.81</v>
      </c>
      <c r="AJ113" s="1">
        <v>79</v>
      </c>
      <c r="AK113" s="174">
        <v>1.6</v>
      </c>
      <c r="AL113" s="369"/>
    </row>
    <row r="114" spans="17:38" x14ac:dyDescent="0.3">
      <c r="Q114" s="208">
        <v>118</v>
      </c>
      <c r="R114" s="208" t="s">
        <v>404</v>
      </c>
      <c r="S114" s="262">
        <v>46262</v>
      </c>
      <c r="T114" s="6">
        <v>0.53800000000000003</v>
      </c>
      <c r="U114" s="6"/>
      <c r="V114" s="6"/>
      <c r="AD114" s="13">
        <v>120</v>
      </c>
      <c r="AE114" s="13">
        <v>1.8220000000000001</v>
      </c>
      <c r="AG114" s="368">
        <v>80</v>
      </c>
      <c r="AH114" s="29">
        <v>0.81</v>
      </c>
      <c r="AJ114" s="1">
        <v>80</v>
      </c>
      <c r="AK114" s="174">
        <v>1.6</v>
      </c>
      <c r="AL114" s="369"/>
    </row>
    <row r="115" spans="17:38" x14ac:dyDescent="0.3">
      <c r="Q115" s="208">
        <v>119</v>
      </c>
      <c r="R115" s="208" t="s">
        <v>389</v>
      </c>
      <c r="S115" s="262">
        <v>46263</v>
      </c>
      <c r="T115" s="6">
        <v>1.3080000000000001</v>
      </c>
      <c r="U115" s="6"/>
      <c r="V115" s="6"/>
      <c r="AD115" s="13">
        <v>121</v>
      </c>
      <c r="AE115" s="13">
        <v>1.8380000000000001</v>
      </c>
      <c r="AG115" s="368">
        <v>81</v>
      </c>
      <c r="AH115" s="29">
        <v>0.81</v>
      </c>
      <c r="AJ115" s="1">
        <v>81</v>
      </c>
      <c r="AK115" s="174">
        <v>1.6</v>
      </c>
      <c r="AL115" s="369"/>
    </row>
    <row r="116" spans="17:38" x14ac:dyDescent="0.3">
      <c r="Q116" s="208">
        <v>120</v>
      </c>
      <c r="R116" s="208" t="s">
        <v>391</v>
      </c>
      <c r="S116" s="262">
        <v>46263</v>
      </c>
      <c r="T116" s="6">
        <v>0.48799999999999999</v>
      </c>
      <c r="U116" s="6"/>
      <c r="V116" s="6"/>
      <c r="AD116" s="13">
        <v>122</v>
      </c>
      <c r="AE116" s="13">
        <v>1.9410000000000001</v>
      </c>
      <c r="AG116" s="368">
        <v>82</v>
      </c>
      <c r="AH116" s="29">
        <v>0.81</v>
      </c>
      <c r="AJ116" s="1">
        <v>82</v>
      </c>
      <c r="AK116" s="174">
        <v>1.6</v>
      </c>
      <c r="AL116" s="369"/>
    </row>
    <row r="117" spans="17:38" x14ac:dyDescent="0.3">
      <c r="Q117" s="208">
        <v>121</v>
      </c>
      <c r="R117" s="208" t="s">
        <v>393</v>
      </c>
      <c r="S117" s="262">
        <v>46263</v>
      </c>
      <c r="T117" s="6">
        <v>1.7190000000000001</v>
      </c>
      <c r="U117" s="6"/>
      <c r="V117" s="6"/>
      <c r="AD117" s="13">
        <v>123</v>
      </c>
      <c r="AE117" s="13">
        <v>1.9630000000000001</v>
      </c>
      <c r="AG117" s="368">
        <v>83</v>
      </c>
      <c r="AH117" s="29">
        <v>0.81</v>
      </c>
      <c r="AJ117" s="1">
        <v>83</v>
      </c>
      <c r="AK117" s="174">
        <v>1.6</v>
      </c>
      <c r="AL117" s="369"/>
    </row>
    <row r="118" spans="17:38" x14ac:dyDescent="0.3">
      <c r="Q118" s="208">
        <v>122</v>
      </c>
      <c r="R118" s="208" t="s">
        <v>395</v>
      </c>
      <c r="S118" s="262">
        <v>46263</v>
      </c>
      <c r="T118" s="6">
        <v>1.718</v>
      </c>
      <c r="U118" s="6"/>
      <c r="V118" s="6"/>
      <c r="AD118" s="13">
        <v>124</v>
      </c>
      <c r="AE118" s="13">
        <v>2.0110000000000001</v>
      </c>
      <c r="AG118" s="368">
        <v>84</v>
      </c>
      <c r="AH118" s="29">
        <v>0.81</v>
      </c>
      <c r="AJ118" s="1">
        <v>84</v>
      </c>
      <c r="AK118" s="174">
        <v>1.6</v>
      </c>
      <c r="AL118" s="369"/>
    </row>
    <row r="119" spans="17:38" ht="15" thickBot="1" x14ac:dyDescent="0.35">
      <c r="Q119" s="208">
        <v>123</v>
      </c>
      <c r="R119" s="208" t="s">
        <v>397</v>
      </c>
      <c r="S119" s="262">
        <v>46263</v>
      </c>
      <c r="T119" s="6">
        <v>1.3280000000000001</v>
      </c>
      <c r="U119" s="6"/>
      <c r="V119" s="6"/>
      <c r="AD119" s="13">
        <v>125</v>
      </c>
      <c r="AE119" s="13">
        <v>2.028</v>
      </c>
      <c r="AG119" s="370">
        <v>85</v>
      </c>
      <c r="AH119" s="29">
        <v>0.81</v>
      </c>
      <c r="AI119" s="371"/>
      <c r="AJ119" s="1">
        <v>85</v>
      </c>
      <c r="AK119" s="174">
        <v>1.6</v>
      </c>
      <c r="AL119" s="372"/>
    </row>
    <row r="120" spans="17:38" x14ac:dyDescent="0.3">
      <c r="Q120" s="208">
        <v>124</v>
      </c>
      <c r="R120" s="208" t="s">
        <v>399</v>
      </c>
      <c r="S120" s="262">
        <v>46263</v>
      </c>
      <c r="T120" s="6">
        <v>0.61099999999999999</v>
      </c>
      <c r="U120" s="6"/>
      <c r="V120" s="6"/>
      <c r="AD120" s="13">
        <v>126</v>
      </c>
      <c r="AE120" s="13">
        <v>2.0979999999999999</v>
      </c>
      <c r="AG120" s="368">
        <v>86</v>
      </c>
      <c r="AH120" s="29">
        <v>0.81</v>
      </c>
    </row>
    <row r="121" spans="17:38" x14ac:dyDescent="0.3">
      <c r="Q121" s="208">
        <v>125</v>
      </c>
      <c r="R121" s="208" t="s">
        <v>401</v>
      </c>
      <c r="S121" s="262">
        <v>46263</v>
      </c>
      <c r="T121" s="6">
        <v>0.35799999999999998</v>
      </c>
      <c r="U121" s="6"/>
      <c r="V121" s="6"/>
      <c r="AD121" s="13">
        <v>127</v>
      </c>
      <c r="AE121" s="13">
        <v>2.5209999999999999</v>
      </c>
      <c r="AG121" s="368">
        <v>87</v>
      </c>
      <c r="AH121" s="29">
        <v>0.81</v>
      </c>
    </row>
    <row r="122" spans="17:38" ht="15" thickBot="1" x14ac:dyDescent="0.35">
      <c r="Q122" s="208">
        <v>126</v>
      </c>
      <c r="R122" s="208" t="s">
        <v>403</v>
      </c>
      <c r="S122" s="262">
        <v>46263</v>
      </c>
      <c r="T122" s="6">
        <v>0.21</v>
      </c>
      <c r="U122" s="6"/>
      <c r="V122" s="6"/>
      <c r="AD122" s="13">
        <v>128</v>
      </c>
      <c r="AE122" s="13">
        <v>2.72</v>
      </c>
      <c r="AG122" s="370">
        <v>88</v>
      </c>
      <c r="AH122" s="29">
        <v>0.81</v>
      </c>
    </row>
    <row r="123" spans="17:38" x14ac:dyDescent="0.3">
      <c r="Q123" s="208">
        <v>127</v>
      </c>
      <c r="R123" s="208" t="s">
        <v>384</v>
      </c>
      <c r="S123" s="262">
        <v>46263</v>
      </c>
      <c r="T123" s="6">
        <v>0.42</v>
      </c>
      <c r="U123" s="6"/>
      <c r="V123" s="6"/>
      <c r="AD123" s="13">
        <v>129</v>
      </c>
      <c r="AE123" s="13">
        <v>3.032</v>
      </c>
      <c r="AG123" s="368">
        <v>89</v>
      </c>
      <c r="AH123" s="29">
        <v>0.81</v>
      </c>
    </row>
    <row r="124" spans="17:38" x14ac:dyDescent="0.3">
      <c r="Q124" s="208">
        <v>128</v>
      </c>
      <c r="R124" s="208" t="s">
        <v>404</v>
      </c>
      <c r="S124" s="262">
        <v>46263</v>
      </c>
      <c r="T124" s="6">
        <v>1.044</v>
      </c>
      <c r="U124" s="6"/>
      <c r="V124" s="6"/>
      <c r="AD124" s="13">
        <v>130</v>
      </c>
      <c r="AE124" s="13">
        <v>3.2160000000000002</v>
      </c>
      <c r="AG124" s="368">
        <v>90</v>
      </c>
      <c r="AH124" s="29">
        <v>0.81</v>
      </c>
    </row>
    <row r="125" spans="17:38" ht="15" thickBot="1" x14ac:dyDescent="0.35">
      <c r="Q125" s="208">
        <v>129</v>
      </c>
      <c r="R125" s="208" t="s">
        <v>406</v>
      </c>
      <c r="S125" s="262">
        <v>46263</v>
      </c>
      <c r="T125" s="6">
        <v>0.38800000000000001</v>
      </c>
      <c r="U125" s="6"/>
      <c r="V125" s="6"/>
      <c r="AD125" s="13">
        <v>131</v>
      </c>
      <c r="AE125" s="13">
        <v>3.2330000000000001</v>
      </c>
      <c r="AG125" s="370">
        <v>91</v>
      </c>
      <c r="AH125" s="29">
        <v>0.81</v>
      </c>
    </row>
    <row r="126" spans="17:38" x14ac:dyDescent="0.3">
      <c r="Q126" s="208">
        <v>130</v>
      </c>
      <c r="R126" s="6" t="s">
        <v>391</v>
      </c>
      <c r="S126" s="262">
        <v>46264</v>
      </c>
      <c r="T126" s="6">
        <v>0.91700000000000004</v>
      </c>
      <c r="U126" s="6"/>
      <c r="V126" s="6"/>
      <c r="AD126" s="13">
        <v>132</v>
      </c>
      <c r="AE126" s="13">
        <v>3.8769999999999998</v>
      </c>
      <c r="AG126" s="368">
        <v>92</v>
      </c>
      <c r="AH126" s="29">
        <v>0.81</v>
      </c>
    </row>
    <row r="127" spans="17:38" x14ac:dyDescent="0.3">
      <c r="Q127" s="208">
        <v>131</v>
      </c>
      <c r="R127" s="6" t="s">
        <v>433</v>
      </c>
      <c r="S127" s="262">
        <v>46264</v>
      </c>
      <c r="T127" s="6">
        <v>0.98599999999999999</v>
      </c>
      <c r="U127" s="6"/>
      <c r="V127" s="6"/>
      <c r="AD127" s="13">
        <v>133</v>
      </c>
      <c r="AE127" s="13">
        <v>4.383</v>
      </c>
      <c r="AG127" s="368">
        <v>93</v>
      </c>
      <c r="AH127" s="29">
        <v>0.81</v>
      </c>
    </row>
    <row r="128" spans="17:38" x14ac:dyDescent="0.3">
      <c r="Q128" s="208">
        <v>132</v>
      </c>
      <c r="R128" s="6" t="s">
        <v>434</v>
      </c>
      <c r="S128" s="262">
        <v>46264</v>
      </c>
      <c r="T128" s="6">
        <v>1.2170000000000001</v>
      </c>
      <c r="U128" s="6"/>
      <c r="V128" s="6"/>
      <c r="AG128" s="368">
        <v>94</v>
      </c>
      <c r="AH128" s="29">
        <v>0.81</v>
      </c>
    </row>
    <row r="129" spans="2:34" ht="15" thickBot="1" x14ac:dyDescent="0.35">
      <c r="Q129" s="208">
        <v>133</v>
      </c>
      <c r="R129" s="6" t="s">
        <v>435</v>
      </c>
      <c r="S129" s="262">
        <v>46264</v>
      </c>
      <c r="T129" s="6">
        <v>0.83599999999999997</v>
      </c>
      <c r="U129" s="6"/>
      <c r="V129" s="6"/>
      <c r="AG129" s="370">
        <v>95</v>
      </c>
      <c r="AH129" s="29">
        <v>0.81</v>
      </c>
    </row>
    <row r="130" spans="2:34" x14ac:dyDescent="0.3">
      <c r="Q130" s="208">
        <v>134</v>
      </c>
      <c r="R130" s="208" t="s">
        <v>389</v>
      </c>
      <c r="S130" s="262">
        <v>46274</v>
      </c>
      <c r="T130" s="6">
        <v>0.217</v>
      </c>
      <c r="U130" s="6"/>
      <c r="V130" s="6"/>
      <c r="AG130" s="368">
        <v>96</v>
      </c>
      <c r="AH130" s="29">
        <v>0.81</v>
      </c>
    </row>
    <row r="131" spans="2:34" x14ac:dyDescent="0.3">
      <c r="Q131" s="208">
        <v>135</v>
      </c>
      <c r="R131" s="208" t="s">
        <v>391</v>
      </c>
      <c r="S131" s="262">
        <v>46274</v>
      </c>
      <c r="T131" s="6">
        <v>7.5999999999999998E-2</v>
      </c>
      <c r="U131" s="6"/>
      <c r="V131" s="6"/>
      <c r="AG131" s="368">
        <v>97</v>
      </c>
      <c r="AH131" s="29">
        <v>0.81</v>
      </c>
    </row>
    <row r="132" spans="2:34" x14ac:dyDescent="0.3">
      <c r="Q132" s="208">
        <v>136</v>
      </c>
      <c r="R132" s="208" t="s">
        <v>393</v>
      </c>
      <c r="S132" s="262">
        <v>46274</v>
      </c>
      <c r="T132" s="6">
        <v>0.35099999999999998</v>
      </c>
      <c r="U132" s="6"/>
      <c r="V132" s="6"/>
      <c r="AG132" s="368">
        <v>98</v>
      </c>
      <c r="AH132" s="29">
        <v>0.81</v>
      </c>
    </row>
    <row r="133" spans="2:34" ht="15" thickBot="1" x14ac:dyDescent="0.35">
      <c r="Q133" s="208">
        <v>137</v>
      </c>
      <c r="R133" s="208" t="s">
        <v>395</v>
      </c>
      <c r="S133" s="262">
        <v>46274</v>
      </c>
      <c r="T133" s="6">
        <v>0.184</v>
      </c>
      <c r="U133" s="6"/>
      <c r="V133" s="6"/>
      <c r="AG133" s="370">
        <v>99</v>
      </c>
      <c r="AH133" s="29">
        <v>0.81</v>
      </c>
    </row>
    <row r="134" spans="2:34" x14ac:dyDescent="0.3">
      <c r="Q134" s="208">
        <v>138</v>
      </c>
      <c r="R134" s="208" t="s">
        <v>397</v>
      </c>
      <c r="S134" s="262">
        <v>46274</v>
      </c>
      <c r="T134" s="6">
        <v>0.373</v>
      </c>
      <c r="U134" s="6"/>
      <c r="V134" s="6"/>
      <c r="AG134" s="368">
        <v>100</v>
      </c>
      <c r="AH134" s="29">
        <v>0.81</v>
      </c>
    </row>
    <row r="135" spans="2:34" x14ac:dyDescent="0.3">
      <c r="Q135" s="208">
        <v>139</v>
      </c>
      <c r="R135" s="208" t="s">
        <v>399</v>
      </c>
      <c r="S135" s="262">
        <v>46274</v>
      </c>
      <c r="T135" s="6">
        <v>0.50600000000000001</v>
      </c>
      <c r="U135" s="6"/>
      <c r="V135" s="6"/>
      <c r="AG135" s="368">
        <v>101</v>
      </c>
      <c r="AH135" s="29">
        <v>0.81</v>
      </c>
    </row>
    <row r="136" spans="2:34" x14ac:dyDescent="0.3">
      <c r="Q136" s="208">
        <v>140</v>
      </c>
      <c r="R136" s="208" t="s">
        <v>631</v>
      </c>
      <c r="S136" s="262">
        <v>46277</v>
      </c>
      <c r="T136" s="6">
        <v>0.39500000000000002</v>
      </c>
      <c r="U136" s="6"/>
      <c r="V136" s="6"/>
      <c r="AG136" s="368">
        <v>102</v>
      </c>
      <c r="AH136" s="29">
        <v>0.81</v>
      </c>
    </row>
    <row r="137" spans="2:34" ht="15" thickBot="1" x14ac:dyDescent="0.35">
      <c r="Q137" s="208">
        <v>141</v>
      </c>
      <c r="R137" s="208" t="s">
        <v>389</v>
      </c>
      <c r="S137" s="262">
        <v>46277</v>
      </c>
      <c r="T137" s="6">
        <v>0.29399999999999998</v>
      </c>
      <c r="U137" s="6"/>
      <c r="V137" s="6"/>
      <c r="AG137" s="370">
        <v>103</v>
      </c>
      <c r="AH137" s="29">
        <v>0.81</v>
      </c>
    </row>
    <row r="138" spans="2:34" x14ac:dyDescent="0.3">
      <c r="Q138" s="208">
        <v>142</v>
      </c>
      <c r="R138" s="208" t="s">
        <v>391</v>
      </c>
      <c r="S138" s="262">
        <v>46277</v>
      </c>
      <c r="T138" s="6">
        <v>0.78800000000000003</v>
      </c>
      <c r="U138" s="6"/>
      <c r="V138" s="6"/>
      <c r="AG138" s="368">
        <v>104</v>
      </c>
      <c r="AH138" s="29">
        <v>0.81</v>
      </c>
    </row>
    <row r="139" spans="2:34" x14ac:dyDescent="0.3">
      <c r="Q139" s="208">
        <v>143</v>
      </c>
      <c r="R139" s="208" t="s">
        <v>393</v>
      </c>
      <c r="S139" s="262">
        <v>46277</v>
      </c>
      <c r="T139" s="6">
        <v>0.371</v>
      </c>
      <c r="U139" s="6"/>
      <c r="V139" s="6"/>
      <c r="AG139" s="368">
        <v>105</v>
      </c>
      <c r="AH139" s="29">
        <v>0.81</v>
      </c>
    </row>
    <row r="140" spans="2:34" x14ac:dyDescent="0.3">
      <c r="Q140" s="208">
        <v>144</v>
      </c>
      <c r="R140" s="208" t="s">
        <v>395</v>
      </c>
      <c r="S140" s="262">
        <v>46277</v>
      </c>
      <c r="T140" s="6">
        <v>0.39400000000000002</v>
      </c>
      <c r="U140" s="6"/>
      <c r="V140" s="6"/>
      <c r="AG140" s="368">
        <v>106</v>
      </c>
      <c r="AH140" s="29">
        <v>0.81</v>
      </c>
    </row>
    <row r="141" spans="2:34" ht="15" thickBot="1" x14ac:dyDescent="0.35">
      <c r="B141" s="14" t="s">
        <v>70</v>
      </c>
      <c r="C141" s="14" t="s">
        <v>0</v>
      </c>
      <c r="D141" s="14" t="s">
        <v>423</v>
      </c>
      <c r="E141" s="14" t="s">
        <v>424</v>
      </c>
      <c r="F141" s="14" t="s">
        <v>426</v>
      </c>
      <c r="G141" s="14" t="s">
        <v>425</v>
      </c>
      <c r="Q141" s="208">
        <v>145</v>
      </c>
      <c r="R141" s="208" t="s">
        <v>632</v>
      </c>
      <c r="S141" s="262">
        <v>46277</v>
      </c>
      <c r="T141" s="6">
        <v>0.504</v>
      </c>
      <c r="U141" s="6"/>
      <c r="V141" s="6"/>
      <c r="AG141" s="370">
        <v>107</v>
      </c>
      <c r="AH141" s="29">
        <v>0.81</v>
      </c>
    </row>
    <row r="142" spans="2:34" x14ac:dyDescent="0.3">
      <c r="B142" s="13">
        <v>1</v>
      </c>
      <c r="C142" s="73">
        <v>46261</v>
      </c>
      <c r="D142" s="13" t="s">
        <v>429</v>
      </c>
      <c r="E142" s="13">
        <v>1238</v>
      </c>
      <c r="F142" s="13">
        <v>1.39</v>
      </c>
      <c r="G142" s="39">
        <f>E142*F142</f>
        <v>1720.82</v>
      </c>
      <c r="Q142" s="208">
        <v>146</v>
      </c>
      <c r="R142" s="208" t="s">
        <v>397</v>
      </c>
      <c r="S142" s="262">
        <v>46277</v>
      </c>
      <c r="T142" s="6">
        <v>0.39300000000000002</v>
      </c>
      <c r="U142" s="6"/>
      <c r="V142" s="6"/>
      <c r="AG142" s="368">
        <v>108</v>
      </c>
      <c r="AH142" s="29">
        <v>0.81</v>
      </c>
    </row>
    <row r="143" spans="2:34" x14ac:dyDescent="0.3">
      <c r="B143" s="13"/>
      <c r="C143" s="73"/>
      <c r="D143" s="13"/>
      <c r="E143" s="13"/>
      <c r="F143" s="13"/>
      <c r="G143" s="13"/>
      <c r="Q143" s="208">
        <v>147</v>
      </c>
      <c r="R143" s="208" t="s">
        <v>399</v>
      </c>
      <c r="S143" s="262">
        <v>46277</v>
      </c>
      <c r="T143" s="6">
        <v>0.46200000000000002</v>
      </c>
      <c r="U143" s="6"/>
      <c r="V143" s="6"/>
      <c r="AG143" s="368">
        <v>109</v>
      </c>
      <c r="AH143" s="29">
        <v>0.81</v>
      </c>
    </row>
    <row r="144" spans="2:34" x14ac:dyDescent="0.3">
      <c r="Q144" s="208">
        <v>148</v>
      </c>
      <c r="R144" s="208" t="s">
        <v>401</v>
      </c>
      <c r="S144" s="262">
        <v>46277</v>
      </c>
      <c r="T144" s="6">
        <v>0.70299999999999996</v>
      </c>
      <c r="U144" s="6"/>
      <c r="V144" s="6"/>
      <c r="AG144" s="368">
        <v>110</v>
      </c>
      <c r="AH144" s="29">
        <v>0.81</v>
      </c>
    </row>
    <row r="145" spans="4:34" ht="15" thickBot="1" x14ac:dyDescent="0.35">
      <c r="D145" s="1">
        <v>20</v>
      </c>
      <c r="E145" s="1">
        <v>0.92100000000000004</v>
      </c>
      <c r="F145" s="1">
        <f>D145*1.3</f>
        <v>26</v>
      </c>
      <c r="G145" s="1">
        <f>F145*E145</f>
        <v>23.946000000000002</v>
      </c>
      <c r="Q145" s="208">
        <v>149</v>
      </c>
      <c r="R145" s="208" t="s">
        <v>403</v>
      </c>
      <c r="S145" s="262">
        <v>46277</v>
      </c>
      <c r="T145" s="6">
        <v>0.753</v>
      </c>
      <c r="U145" s="6"/>
      <c r="V145" s="6"/>
      <c r="AG145" s="370">
        <v>111</v>
      </c>
      <c r="AH145" s="29">
        <v>0.81</v>
      </c>
    </row>
    <row r="146" spans="4:34" x14ac:dyDescent="0.3">
      <c r="D146" s="1">
        <v>132</v>
      </c>
      <c r="E146" s="1">
        <v>0.92100000000000004</v>
      </c>
      <c r="F146" s="1">
        <f t="shared" ref="F146:F149" si="6">D146*1.3</f>
        <v>171.6</v>
      </c>
      <c r="G146" s="1">
        <f t="shared" ref="G146:G149" si="7">F146*E146</f>
        <v>158.0436</v>
      </c>
      <c r="J146" s="357">
        <v>69</v>
      </c>
      <c r="K146" s="357">
        <v>0.56999999999999995</v>
      </c>
      <c r="L146" s="357">
        <f>J146*1.3</f>
        <v>89.7</v>
      </c>
      <c r="M146" s="362">
        <f>L146*K146</f>
        <v>51.128999999999998</v>
      </c>
      <c r="Q146" s="208">
        <v>150</v>
      </c>
      <c r="R146" s="208" t="s">
        <v>384</v>
      </c>
      <c r="S146" s="262">
        <v>46277</v>
      </c>
      <c r="T146" s="6">
        <v>0.92600000000000005</v>
      </c>
      <c r="U146" s="6"/>
      <c r="V146" s="6"/>
      <c r="AG146" s="368">
        <v>112</v>
      </c>
      <c r="AH146" s="29">
        <v>0.81</v>
      </c>
    </row>
    <row r="147" spans="4:34" x14ac:dyDescent="0.3">
      <c r="D147" s="1">
        <v>24</v>
      </c>
      <c r="E147" s="1">
        <v>0.88700000000000001</v>
      </c>
      <c r="F147" s="1">
        <f t="shared" si="6"/>
        <v>31.200000000000003</v>
      </c>
      <c r="G147" s="1">
        <f t="shared" si="7"/>
        <v>27.674400000000002</v>
      </c>
      <c r="J147" s="357">
        <v>9</v>
      </c>
      <c r="K147" s="357">
        <v>0.36899999999999999</v>
      </c>
      <c r="L147" s="357">
        <f t="shared" ref="L147:L154" si="8">J147*1.3</f>
        <v>11.700000000000001</v>
      </c>
      <c r="M147" s="362">
        <f t="shared" ref="M147:M154" si="9">L147*K147</f>
        <v>4.3173000000000004</v>
      </c>
      <c r="Q147" s="208">
        <v>151</v>
      </c>
      <c r="R147" s="208" t="s">
        <v>404</v>
      </c>
      <c r="S147" s="262">
        <v>46277</v>
      </c>
      <c r="T147" s="6">
        <v>0.33</v>
      </c>
      <c r="U147" s="6"/>
      <c r="V147" s="6"/>
      <c r="AG147" s="368">
        <v>113</v>
      </c>
      <c r="AH147" s="29">
        <v>0.81</v>
      </c>
    </row>
    <row r="148" spans="4:34" x14ac:dyDescent="0.3">
      <c r="D148" s="1">
        <v>54</v>
      </c>
      <c r="E148" s="1">
        <v>0.88700000000000001</v>
      </c>
      <c r="F148" s="1">
        <f t="shared" si="6"/>
        <v>70.2</v>
      </c>
      <c r="G148" s="1">
        <f t="shared" si="7"/>
        <v>62.267400000000002</v>
      </c>
      <c r="J148" s="357">
        <v>331</v>
      </c>
      <c r="K148" s="357">
        <v>0.36899999999999999</v>
      </c>
      <c r="L148" s="357">
        <f t="shared" si="8"/>
        <v>430.3</v>
      </c>
      <c r="M148" s="362">
        <f t="shared" si="9"/>
        <v>158.7807</v>
      </c>
      <c r="Q148" s="208">
        <v>152</v>
      </c>
      <c r="R148" s="6" t="s">
        <v>631</v>
      </c>
      <c r="S148" s="262">
        <v>46278</v>
      </c>
      <c r="T148" s="936">
        <v>1.4</v>
      </c>
      <c r="U148" s="6"/>
      <c r="V148" s="6"/>
      <c r="AG148" s="368">
        <v>114</v>
      </c>
      <c r="AH148" s="29">
        <v>0.81</v>
      </c>
    </row>
    <row r="149" spans="4:34" ht="15" thickBot="1" x14ac:dyDescent="0.35">
      <c r="D149" s="1">
        <v>476</v>
      </c>
      <c r="E149" s="1">
        <v>0.67800000000000005</v>
      </c>
      <c r="F149" s="1">
        <f t="shared" si="6"/>
        <v>618.80000000000007</v>
      </c>
      <c r="G149" s="1">
        <f t="shared" si="7"/>
        <v>419.54640000000006</v>
      </c>
      <c r="J149" s="357">
        <v>431</v>
      </c>
      <c r="K149" s="357">
        <v>0.36099999999999999</v>
      </c>
      <c r="L149" s="357">
        <f t="shared" si="8"/>
        <v>560.30000000000007</v>
      </c>
      <c r="M149" s="362">
        <f t="shared" si="9"/>
        <v>202.26830000000001</v>
      </c>
      <c r="Q149" s="208">
        <v>153</v>
      </c>
      <c r="R149" s="6" t="s">
        <v>384</v>
      </c>
      <c r="S149" s="262">
        <v>46278</v>
      </c>
      <c r="T149" s="6">
        <v>1.139</v>
      </c>
      <c r="U149" s="6"/>
      <c r="V149" s="6"/>
      <c r="AG149" s="370">
        <v>115</v>
      </c>
      <c r="AH149" s="29">
        <v>0.81</v>
      </c>
    </row>
    <row r="150" spans="4:34" x14ac:dyDescent="0.3">
      <c r="D150" s="1">
        <v>31</v>
      </c>
      <c r="E150" s="1">
        <v>0.65700000000000003</v>
      </c>
      <c r="F150" s="1">
        <f>D150*1.3</f>
        <v>40.300000000000004</v>
      </c>
      <c r="G150" s="1">
        <f>F150*E150</f>
        <v>26.477100000000004</v>
      </c>
      <c r="J150" s="357">
        <v>73</v>
      </c>
      <c r="K150" s="357">
        <v>0.38100000000000001</v>
      </c>
      <c r="L150" s="357">
        <f t="shared" si="8"/>
        <v>94.9</v>
      </c>
      <c r="M150" s="362">
        <f t="shared" si="9"/>
        <v>36.1569</v>
      </c>
      <c r="Q150" s="208">
        <v>154</v>
      </c>
      <c r="R150" s="208" t="s">
        <v>391</v>
      </c>
      <c r="S150" s="262">
        <v>46284</v>
      </c>
      <c r="T150" s="6">
        <v>0.36399999999999999</v>
      </c>
      <c r="U150" s="6"/>
      <c r="V150" s="6"/>
      <c r="AG150" s="368">
        <v>116</v>
      </c>
      <c r="AH150" s="29">
        <v>0.81</v>
      </c>
    </row>
    <row r="151" spans="4:34" x14ac:dyDescent="0.3">
      <c r="G151" s="10">
        <f>SUM(G145:G150)</f>
        <v>717.95490000000007</v>
      </c>
      <c r="J151" s="357">
        <v>78</v>
      </c>
      <c r="K151" s="357">
        <v>0.32</v>
      </c>
      <c r="L151" s="357">
        <f t="shared" si="8"/>
        <v>101.4</v>
      </c>
      <c r="M151" s="362">
        <f t="shared" si="9"/>
        <v>32.448</v>
      </c>
      <c r="Q151" s="208">
        <v>155</v>
      </c>
      <c r="R151" s="208" t="s">
        <v>393</v>
      </c>
      <c r="S151" s="262">
        <v>46284</v>
      </c>
      <c r="T151" s="6">
        <v>0.34200000000000003</v>
      </c>
      <c r="U151" s="6"/>
      <c r="V151" s="6"/>
      <c r="AG151" s="368">
        <v>117</v>
      </c>
      <c r="AH151" s="29">
        <v>0.81</v>
      </c>
    </row>
    <row r="152" spans="4:34" x14ac:dyDescent="0.3">
      <c r="G152" s="10">
        <f>G150+M155</f>
        <v>680.33940000000007</v>
      </c>
      <c r="J152" s="357">
        <v>46</v>
      </c>
      <c r="K152" s="357">
        <v>0.432</v>
      </c>
      <c r="L152" s="357">
        <f t="shared" si="8"/>
        <v>59.800000000000004</v>
      </c>
      <c r="M152" s="362">
        <f t="shared" si="9"/>
        <v>25.833600000000001</v>
      </c>
      <c r="Q152" s="208">
        <v>156</v>
      </c>
      <c r="R152" s="208" t="s">
        <v>395</v>
      </c>
      <c r="S152" s="262">
        <v>46284</v>
      </c>
      <c r="T152" s="6">
        <v>0.36699999999999999</v>
      </c>
      <c r="U152" s="6"/>
      <c r="V152" s="6"/>
      <c r="AG152" s="368">
        <v>118</v>
      </c>
      <c r="AH152" s="29">
        <v>0.81</v>
      </c>
    </row>
    <row r="153" spans="4:34" ht="15" thickBot="1" x14ac:dyDescent="0.35">
      <c r="F153" s="10">
        <f>SUM(F145:F150)</f>
        <v>958.1</v>
      </c>
      <c r="G153" s="117">
        <f>SUM(G145:G150)/SUM(F145:F150)</f>
        <v>0.7493527815468114</v>
      </c>
      <c r="J153" s="357">
        <v>193</v>
      </c>
      <c r="K153" s="357">
        <v>0.505</v>
      </c>
      <c r="L153" s="357">
        <f t="shared" si="8"/>
        <v>250.9</v>
      </c>
      <c r="M153" s="362">
        <f t="shared" si="9"/>
        <v>126.70450000000001</v>
      </c>
      <c r="Q153" s="208">
        <v>157</v>
      </c>
      <c r="R153" s="208" t="s">
        <v>632</v>
      </c>
      <c r="S153" s="262">
        <v>46284</v>
      </c>
      <c r="T153" s="6">
        <v>0.68400000000000005</v>
      </c>
      <c r="U153" s="6"/>
      <c r="V153" s="6"/>
      <c r="AG153" s="370">
        <v>119</v>
      </c>
      <c r="AH153" s="29">
        <v>0.81</v>
      </c>
    </row>
    <row r="154" spans="4:34" x14ac:dyDescent="0.3">
      <c r="F154" s="10">
        <f>F153+L156</f>
        <v>2598.7000000000003</v>
      </c>
      <c r="J154" s="357">
        <v>32</v>
      </c>
      <c r="K154" s="357">
        <v>0.39</v>
      </c>
      <c r="L154" s="357">
        <f t="shared" si="8"/>
        <v>41.6</v>
      </c>
      <c r="M154" s="362">
        <f t="shared" si="9"/>
        <v>16.224</v>
      </c>
      <c r="Q154" s="208">
        <v>158</v>
      </c>
      <c r="R154" s="208" t="s">
        <v>397</v>
      </c>
      <c r="S154" s="262">
        <v>46284</v>
      </c>
      <c r="T154" s="6">
        <v>0.35599999999999998</v>
      </c>
      <c r="U154" s="6"/>
      <c r="V154" s="6"/>
      <c r="AG154" s="368">
        <v>120</v>
      </c>
      <c r="AH154" s="29">
        <v>0.81</v>
      </c>
    </row>
    <row r="155" spans="4:34" x14ac:dyDescent="0.3">
      <c r="F155" s="117">
        <f>G152/F154</f>
        <v>0.26179989994997499</v>
      </c>
      <c r="M155" s="362">
        <f>SUM(M146:M154)</f>
        <v>653.86230000000012</v>
      </c>
      <c r="Q155" s="208">
        <v>159</v>
      </c>
      <c r="R155" s="208" t="s">
        <v>399</v>
      </c>
      <c r="S155" s="262">
        <v>46284</v>
      </c>
      <c r="T155" s="6">
        <v>0.52500000000000002</v>
      </c>
      <c r="U155" s="6"/>
      <c r="V155" s="6"/>
      <c r="AG155" s="368">
        <v>121</v>
      </c>
      <c r="AH155" s="29">
        <v>0.81</v>
      </c>
    </row>
    <row r="156" spans="4:34" x14ac:dyDescent="0.3">
      <c r="G156" s="1">
        <f>F153/250</f>
        <v>3.8324000000000003</v>
      </c>
      <c r="L156" s="357">
        <f>SUM(L146:L154)</f>
        <v>1640.6000000000001</v>
      </c>
      <c r="M156" s="1123">
        <f>SUM(M146:M154)/SUM(L146:L154)</f>
        <v>0.39855071315372431</v>
      </c>
      <c r="Q156" s="208">
        <v>160</v>
      </c>
      <c r="R156" s="208" t="s">
        <v>401</v>
      </c>
      <c r="S156" s="262">
        <v>46284</v>
      </c>
      <c r="T156" s="936">
        <v>0.82299999999999995</v>
      </c>
      <c r="U156" s="6"/>
      <c r="V156" s="6"/>
      <c r="AG156" s="368">
        <v>122</v>
      </c>
      <c r="AH156" s="29">
        <v>0.81</v>
      </c>
    </row>
    <row r="157" spans="4:34" ht="15" thickBot="1" x14ac:dyDescent="0.35">
      <c r="Q157" s="208">
        <v>161</v>
      </c>
      <c r="R157" s="208" t="s">
        <v>669</v>
      </c>
      <c r="S157" s="262">
        <v>46284</v>
      </c>
      <c r="T157" s="6">
        <v>0.72699999999999998</v>
      </c>
      <c r="U157" s="6"/>
      <c r="V157" s="6"/>
      <c r="AG157" s="370">
        <v>123</v>
      </c>
      <c r="AH157" s="29">
        <v>0.81</v>
      </c>
    </row>
    <row r="158" spans="4:34" x14ac:dyDescent="0.3">
      <c r="Q158" s="208">
        <v>162</v>
      </c>
      <c r="R158" s="6" t="s">
        <v>670</v>
      </c>
      <c r="S158" s="262">
        <v>46284</v>
      </c>
      <c r="T158" s="6">
        <v>1.0780000000000001</v>
      </c>
      <c r="U158" s="6"/>
      <c r="V158" s="6"/>
      <c r="AG158" s="368">
        <v>124</v>
      </c>
      <c r="AH158" s="29">
        <v>0.81</v>
      </c>
    </row>
    <row r="159" spans="4:34" x14ac:dyDescent="0.3">
      <c r="Q159" s="208">
        <v>163</v>
      </c>
      <c r="R159" s="6" t="s">
        <v>671</v>
      </c>
      <c r="S159" s="262">
        <v>46284</v>
      </c>
      <c r="T159" s="6">
        <v>0.872</v>
      </c>
      <c r="U159" s="6"/>
      <c r="V159" s="6"/>
      <c r="AG159" s="368">
        <v>125</v>
      </c>
      <c r="AH159" s="29">
        <v>0.81</v>
      </c>
    </row>
    <row r="160" spans="4:34" x14ac:dyDescent="0.3">
      <c r="Q160" s="208">
        <v>164</v>
      </c>
      <c r="R160" s="6" t="s">
        <v>672</v>
      </c>
      <c r="S160" s="262">
        <v>46284</v>
      </c>
      <c r="T160" s="6">
        <v>0.24399999999999999</v>
      </c>
      <c r="U160" s="6"/>
      <c r="V160" s="6"/>
      <c r="AG160" s="368">
        <v>126</v>
      </c>
      <c r="AH160" s="29">
        <v>0.81</v>
      </c>
    </row>
    <row r="161" spans="17:34" ht="15" thickBot="1" x14ac:dyDescent="0.35">
      <c r="Q161" s="208">
        <v>165</v>
      </c>
      <c r="R161" s="6" t="s">
        <v>673</v>
      </c>
      <c r="S161" s="262">
        <v>46285</v>
      </c>
      <c r="T161" s="6">
        <v>0.42799999999999999</v>
      </c>
      <c r="U161" s="6"/>
      <c r="V161" s="6"/>
      <c r="AG161" s="370">
        <v>127</v>
      </c>
      <c r="AH161" s="29">
        <v>0.81</v>
      </c>
    </row>
    <row r="162" spans="17:34" x14ac:dyDescent="0.3">
      <c r="Q162" s="208">
        <v>166</v>
      </c>
      <c r="R162" s="6" t="s">
        <v>674</v>
      </c>
      <c r="S162" s="262">
        <v>46285</v>
      </c>
      <c r="T162" s="6">
        <v>0.88100000000000001</v>
      </c>
      <c r="U162" s="6"/>
      <c r="V162" s="6"/>
      <c r="AG162" s="368">
        <v>128</v>
      </c>
      <c r="AH162" s="29">
        <v>0.81</v>
      </c>
    </row>
    <row r="163" spans="17:34" x14ac:dyDescent="0.3">
      <c r="Q163" s="208">
        <v>167</v>
      </c>
      <c r="R163" s="6" t="s">
        <v>675</v>
      </c>
      <c r="S163" s="262">
        <v>46285</v>
      </c>
      <c r="T163" s="6">
        <v>0.4</v>
      </c>
      <c r="U163" s="6"/>
      <c r="V163" s="6"/>
      <c r="AG163" s="368">
        <v>129</v>
      </c>
      <c r="AH163" s="29">
        <v>0.81</v>
      </c>
    </row>
    <row r="164" spans="17:34" x14ac:dyDescent="0.3">
      <c r="Q164" s="208">
        <v>168</v>
      </c>
      <c r="R164" s="6" t="s">
        <v>676</v>
      </c>
      <c r="S164" s="262">
        <v>46285</v>
      </c>
      <c r="T164" s="6">
        <v>0.58399999999999996</v>
      </c>
      <c r="U164" s="6"/>
      <c r="V164" s="6"/>
      <c r="AG164" s="368">
        <v>130</v>
      </c>
      <c r="AH164" s="29">
        <v>0.81</v>
      </c>
    </row>
    <row r="165" spans="17:34" ht="15" thickBot="1" x14ac:dyDescent="0.35">
      <c r="Q165" s="208">
        <v>169</v>
      </c>
      <c r="R165" s="6" t="s">
        <v>677</v>
      </c>
      <c r="S165" s="262">
        <v>46285</v>
      </c>
      <c r="T165" s="6">
        <v>0.501</v>
      </c>
      <c r="U165" s="6"/>
      <c r="V165" s="6"/>
      <c r="AG165" s="370">
        <v>131</v>
      </c>
      <c r="AH165" s="29">
        <v>0.81</v>
      </c>
    </row>
    <row r="166" spans="17:34" x14ac:dyDescent="0.3">
      <c r="Q166" s="208">
        <v>170</v>
      </c>
      <c r="R166" s="6" t="s">
        <v>678</v>
      </c>
      <c r="S166" s="262">
        <v>46285</v>
      </c>
      <c r="T166" s="6">
        <v>0.78500000000000003</v>
      </c>
      <c r="U166" s="6"/>
      <c r="V166" s="6"/>
      <c r="AG166" s="368">
        <v>132</v>
      </c>
      <c r="AH166" s="29">
        <v>0.81</v>
      </c>
    </row>
    <row r="167" spans="17:34" x14ac:dyDescent="0.3">
      <c r="Q167" s="208">
        <v>171</v>
      </c>
      <c r="R167" s="6" t="s">
        <v>631</v>
      </c>
      <c r="S167" s="262">
        <v>46285</v>
      </c>
      <c r="T167" s="6">
        <v>0.81599999999999995</v>
      </c>
      <c r="U167" s="6"/>
      <c r="V167" s="6"/>
      <c r="AG167" s="368">
        <v>133</v>
      </c>
      <c r="AH167" s="29">
        <v>0.81</v>
      </c>
    </row>
    <row r="168" spans="17:34" x14ac:dyDescent="0.3">
      <c r="Q168" s="208">
        <v>172</v>
      </c>
      <c r="R168" s="6" t="s">
        <v>389</v>
      </c>
      <c r="S168" s="262">
        <v>46285</v>
      </c>
      <c r="T168" s="6">
        <v>0.82599999999999996</v>
      </c>
      <c r="U168" s="6"/>
      <c r="V168" s="6"/>
    </row>
    <row r="169" spans="17:34" x14ac:dyDescent="0.3">
      <c r="Q169" s="208">
        <v>173</v>
      </c>
      <c r="R169" s="208" t="s">
        <v>391</v>
      </c>
      <c r="S169" s="262">
        <v>46285</v>
      </c>
      <c r="T169" s="6">
        <v>0.63700000000000001</v>
      </c>
      <c r="U169" s="6"/>
      <c r="V169" s="6"/>
    </row>
    <row r="170" spans="17:34" x14ac:dyDescent="0.3">
      <c r="Q170" s="208">
        <v>174</v>
      </c>
      <c r="R170" s="208" t="s">
        <v>393</v>
      </c>
      <c r="S170" s="262">
        <v>46285</v>
      </c>
      <c r="T170" s="6">
        <v>0.59099999999999997</v>
      </c>
      <c r="U170" s="6"/>
      <c r="V170" s="6"/>
    </row>
    <row r="171" spans="17:34" x14ac:dyDescent="0.3">
      <c r="Q171" s="208">
        <v>175</v>
      </c>
      <c r="R171" s="208" t="s">
        <v>395</v>
      </c>
      <c r="S171" s="262">
        <v>46285</v>
      </c>
      <c r="T171" s="6">
        <v>0.54200000000000004</v>
      </c>
      <c r="U171" s="6"/>
      <c r="V171" s="6"/>
    </row>
    <row r="172" spans="17:34" x14ac:dyDescent="0.3">
      <c r="Q172" s="208">
        <v>176</v>
      </c>
      <c r="R172" s="208" t="s">
        <v>632</v>
      </c>
      <c r="S172" s="262">
        <v>46285</v>
      </c>
      <c r="T172" s="6">
        <v>0.755</v>
      </c>
      <c r="U172" s="6"/>
      <c r="V172" s="6"/>
    </row>
    <row r="173" spans="17:34" x14ac:dyDescent="0.3">
      <c r="Q173" s="208">
        <v>177</v>
      </c>
      <c r="R173" s="6" t="s">
        <v>672</v>
      </c>
      <c r="S173" s="262">
        <v>46285</v>
      </c>
      <c r="T173" s="6">
        <v>1.1060000000000001</v>
      </c>
      <c r="U173" s="6"/>
      <c r="V173" s="6"/>
    </row>
    <row r="174" spans="17:34" x14ac:dyDescent="0.3">
      <c r="Q174" s="208">
        <v>178</v>
      </c>
      <c r="R174" s="6" t="s">
        <v>744</v>
      </c>
      <c r="S174" s="262">
        <v>46285</v>
      </c>
      <c r="T174" s="6">
        <v>1.097</v>
      </c>
      <c r="U174" s="6"/>
      <c r="V174" s="6"/>
    </row>
    <row r="175" spans="17:34" x14ac:dyDescent="0.3">
      <c r="Q175" s="208">
        <v>179</v>
      </c>
      <c r="R175" s="208" t="s">
        <v>745</v>
      </c>
      <c r="S175" s="262">
        <v>46286</v>
      </c>
      <c r="T175" s="6">
        <v>0.77700000000000002</v>
      </c>
      <c r="U175" s="6"/>
      <c r="V175" s="6"/>
    </row>
    <row r="176" spans="17:34" x14ac:dyDescent="0.3">
      <c r="Q176" s="208">
        <v>180</v>
      </c>
      <c r="R176" s="208" t="s">
        <v>674</v>
      </c>
      <c r="S176" s="262">
        <v>46286</v>
      </c>
      <c r="T176" s="6">
        <v>1.2330000000000001</v>
      </c>
      <c r="U176" s="6"/>
      <c r="V176" s="6"/>
    </row>
    <row r="177" spans="17:22" x14ac:dyDescent="0.3">
      <c r="Q177" s="208">
        <v>181</v>
      </c>
      <c r="R177" s="208" t="s">
        <v>675</v>
      </c>
      <c r="S177" s="262">
        <v>46286</v>
      </c>
      <c r="T177" s="6">
        <v>1.0569999999999999</v>
      </c>
      <c r="U177" s="6"/>
      <c r="V177" s="6"/>
    </row>
    <row r="178" spans="17:22" x14ac:dyDescent="0.3">
      <c r="Q178" s="208">
        <v>182</v>
      </c>
      <c r="R178" s="208" t="s">
        <v>676</v>
      </c>
      <c r="S178" s="262">
        <v>46286</v>
      </c>
      <c r="T178" s="6">
        <v>0.59299999999999997</v>
      </c>
      <c r="U178" s="6"/>
      <c r="V178" s="6"/>
    </row>
    <row r="179" spans="17:22" x14ac:dyDescent="0.3">
      <c r="Q179" s="208">
        <v>183</v>
      </c>
      <c r="R179" s="208" t="s">
        <v>677</v>
      </c>
      <c r="S179" s="262">
        <v>46286</v>
      </c>
      <c r="T179" s="6">
        <v>1.234</v>
      </c>
      <c r="U179" s="6"/>
      <c r="V179" s="6"/>
    </row>
    <row r="180" spans="17:22" x14ac:dyDescent="0.3">
      <c r="Q180" s="208">
        <v>184</v>
      </c>
      <c r="R180" s="208" t="s">
        <v>391</v>
      </c>
      <c r="S180" s="262">
        <v>46286</v>
      </c>
      <c r="T180" s="6">
        <v>0.46899999999999997</v>
      </c>
      <c r="U180" s="6"/>
      <c r="V180" s="6"/>
    </row>
    <row r="181" spans="17:22" x14ac:dyDescent="0.3">
      <c r="Q181" s="208">
        <v>185</v>
      </c>
      <c r="R181" s="208" t="s">
        <v>393</v>
      </c>
      <c r="S181" s="262">
        <v>46286</v>
      </c>
      <c r="T181" s="6">
        <v>0.52300000000000002</v>
      </c>
      <c r="U181" s="6"/>
      <c r="V181" s="6"/>
    </row>
    <row r="182" spans="17:22" x14ac:dyDescent="0.3">
      <c r="Q182" s="208">
        <v>186</v>
      </c>
      <c r="R182" s="208" t="s">
        <v>395</v>
      </c>
      <c r="S182" s="262">
        <v>46286</v>
      </c>
      <c r="T182" s="6">
        <v>1.629</v>
      </c>
      <c r="U182" s="6"/>
      <c r="V182" s="6"/>
    </row>
    <row r="183" spans="17:22" x14ac:dyDescent="0.3">
      <c r="Q183" s="208">
        <v>187</v>
      </c>
      <c r="R183" s="208" t="s">
        <v>397</v>
      </c>
      <c r="S183" s="262">
        <v>46286</v>
      </c>
      <c r="T183" s="6">
        <v>0.50800000000000001</v>
      </c>
      <c r="U183" s="6"/>
      <c r="V183" s="6"/>
    </row>
    <row r="184" spans="17:22" x14ac:dyDescent="0.3">
      <c r="Q184" s="208">
        <v>188</v>
      </c>
      <c r="R184" s="208" t="s">
        <v>399</v>
      </c>
      <c r="S184" s="262">
        <v>46286</v>
      </c>
      <c r="T184" s="6">
        <v>0.51300000000000001</v>
      </c>
      <c r="U184" s="6"/>
      <c r="V184" s="6"/>
    </row>
    <row r="185" spans="17:22" x14ac:dyDescent="0.3">
      <c r="Q185" s="208">
        <v>189</v>
      </c>
      <c r="R185" s="208" t="s">
        <v>401</v>
      </c>
      <c r="S185" s="262">
        <v>46286</v>
      </c>
      <c r="T185" s="6">
        <v>0.996</v>
      </c>
      <c r="U185" s="6"/>
      <c r="V185" s="6"/>
    </row>
    <row r="186" spans="17:22" x14ac:dyDescent="0.3">
      <c r="Q186" s="208">
        <v>190</v>
      </c>
      <c r="R186" s="208" t="s">
        <v>403</v>
      </c>
      <c r="S186" s="262">
        <v>46286</v>
      </c>
      <c r="T186" s="6">
        <v>0.57499999999999996</v>
      </c>
      <c r="U186" s="6"/>
      <c r="V186" s="6"/>
    </row>
    <row r="187" spans="17:22" x14ac:dyDescent="0.3">
      <c r="Q187" s="208">
        <v>191</v>
      </c>
      <c r="R187" s="208" t="s">
        <v>384</v>
      </c>
      <c r="S187" s="262">
        <v>46286</v>
      </c>
      <c r="T187" s="6">
        <v>0.51</v>
      </c>
      <c r="U187" s="6"/>
      <c r="V187" s="6"/>
    </row>
    <row r="188" spans="17:22" x14ac:dyDescent="0.3">
      <c r="Q188" s="208">
        <v>192</v>
      </c>
      <c r="R188" s="208" t="s">
        <v>404</v>
      </c>
      <c r="S188" s="262">
        <v>46286</v>
      </c>
      <c r="T188" s="6">
        <v>1.131</v>
      </c>
      <c r="U188" s="6"/>
      <c r="V188" s="6"/>
    </row>
    <row r="189" spans="17:22" x14ac:dyDescent="0.3">
      <c r="Q189" s="208">
        <v>193</v>
      </c>
      <c r="R189" s="208" t="s">
        <v>406</v>
      </c>
      <c r="S189" s="262">
        <v>46286</v>
      </c>
      <c r="T189" s="6">
        <v>0.63500000000000001</v>
      </c>
      <c r="U189" s="6"/>
      <c r="V189" s="6"/>
    </row>
    <row r="190" spans="17:22" x14ac:dyDescent="0.3">
      <c r="Q190" s="208">
        <v>194</v>
      </c>
      <c r="R190" s="208" t="s">
        <v>395</v>
      </c>
      <c r="S190" s="262">
        <v>46287</v>
      </c>
      <c r="T190" s="6">
        <v>1.0980000000000001</v>
      </c>
      <c r="U190" s="6"/>
      <c r="V190" s="6"/>
    </row>
    <row r="191" spans="17:22" x14ac:dyDescent="0.3">
      <c r="Q191" s="208">
        <v>195</v>
      </c>
      <c r="R191" s="208" t="s">
        <v>397</v>
      </c>
      <c r="S191" s="262">
        <v>46287</v>
      </c>
      <c r="T191" s="6">
        <v>1.464</v>
      </c>
      <c r="U191" s="6"/>
      <c r="V191" s="6"/>
    </row>
    <row r="192" spans="17:22" x14ac:dyDescent="0.3">
      <c r="Q192" s="208">
        <v>196</v>
      </c>
      <c r="R192" s="208" t="s">
        <v>399</v>
      </c>
      <c r="S192" s="262">
        <v>46287</v>
      </c>
      <c r="T192" s="6">
        <v>0.90800000000000003</v>
      </c>
      <c r="U192" s="6"/>
      <c r="V192" s="6"/>
    </row>
    <row r="193" spans="17:22" x14ac:dyDescent="0.3">
      <c r="Q193" s="208">
        <v>197</v>
      </c>
      <c r="R193" s="208" t="s">
        <v>401</v>
      </c>
      <c r="S193" s="262">
        <v>46287</v>
      </c>
      <c r="T193" s="6">
        <v>1.379</v>
      </c>
      <c r="U193" s="6"/>
      <c r="V193" s="6"/>
    </row>
    <row r="194" spans="17:22" x14ac:dyDescent="0.3">
      <c r="Q194" s="208">
        <v>198</v>
      </c>
      <c r="R194" s="208" t="s">
        <v>399</v>
      </c>
      <c r="S194" s="262">
        <v>46288</v>
      </c>
      <c r="T194" s="6">
        <v>0.88</v>
      </c>
      <c r="U194" s="6"/>
      <c r="V194" s="6"/>
    </row>
    <row r="195" spans="17:22" x14ac:dyDescent="0.3">
      <c r="Q195" s="208">
        <v>199</v>
      </c>
      <c r="R195" s="208" t="s">
        <v>401</v>
      </c>
      <c r="S195" s="262">
        <v>46288</v>
      </c>
      <c r="T195" s="6">
        <v>0.50900000000000001</v>
      </c>
      <c r="U195" s="6"/>
      <c r="V195" s="6"/>
    </row>
    <row r="196" spans="17:22" x14ac:dyDescent="0.3">
      <c r="Q196" s="208">
        <v>200</v>
      </c>
      <c r="R196" s="208" t="s">
        <v>403</v>
      </c>
      <c r="S196" s="262">
        <v>46288</v>
      </c>
      <c r="T196" s="6">
        <v>0.38800000000000001</v>
      </c>
      <c r="U196" s="6"/>
      <c r="V196" s="6"/>
    </row>
    <row r="197" spans="17:22" x14ac:dyDescent="0.3">
      <c r="Q197" s="208">
        <v>201</v>
      </c>
      <c r="R197" s="208" t="s">
        <v>384</v>
      </c>
      <c r="S197" s="262">
        <v>46288</v>
      </c>
      <c r="T197" s="6">
        <v>0.32700000000000001</v>
      </c>
      <c r="U197" s="6"/>
      <c r="V197" s="6"/>
    </row>
    <row r="198" spans="17:22" x14ac:dyDescent="0.3">
      <c r="Q198" s="208">
        <v>202</v>
      </c>
      <c r="R198" s="208" t="s">
        <v>669</v>
      </c>
      <c r="S198" s="262">
        <v>46288</v>
      </c>
      <c r="T198" s="6">
        <v>0.47699999999999998</v>
      </c>
      <c r="U198" s="6"/>
      <c r="V198" s="6"/>
    </row>
    <row r="199" spans="17:22" x14ac:dyDescent="0.3">
      <c r="Q199" s="208">
        <v>203</v>
      </c>
      <c r="R199" s="6" t="s">
        <v>670</v>
      </c>
      <c r="S199" s="262">
        <v>46288</v>
      </c>
      <c r="T199" s="6">
        <v>0.34200000000000003</v>
      </c>
      <c r="U199" s="6"/>
      <c r="V199" s="6"/>
    </row>
    <row r="200" spans="17:22" x14ac:dyDescent="0.3">
      <c r="Q200" s="208">
        <v>204</v>
      </c>
      <c r="R200" s="6" t="s">
        <v>671</v>
      </c>
      <c r="S200" s="262">
        <v>46288</v>
      </c>
      <c r="T200" s="6">
        <v>0.67500000000000004</v>
      </c>
      <c r="U200" s="6"/>
      <c r="V200" s="6"/>
    </row>
    <row r="201" spans="17:22" x14ac:dyDescent="0.3">
      <c r="Q201" s="208">
        <v>205</v>
      </c>
      <c r="R201" s="6" t="s">
        <v>672</v>
      </c>
      <c r="S201" s="262">
        <v>46288</v>
      </c>
      <c r="T201" s="6">
        <v>0.30199999999999999</v>
      </c>
      <c r="U201" s="6"/>
      <c r="V201" s="6"/>
    </row>
    <row r="202" spans="17:22" x14ac:dyDescent="0.3">
      <c r="Q202" s="208">
        <v>206</v>
      </c>
      <c r="R202" s="6" t="s">
        <v>673</v>
      </c>
      <c r="S202" s="262">
        <v>46289</v>
      </c>
      <c r="T202" s="6">
        <v>0.97899999999999998</v>
      </c>
      <c r="U202" s="6"/>
      <c r="V202" s="6"/>
    </row>
    <row r="203" spans="17:22" x14ac:dyDescent="0.3">
      <c r="Q203" s="208">
        <v>207</v>
      </c>
      <c r="R203" s="6" t="s">
        <v>674</v>
      </c>
      <c r="S203" s="262">
        <v>46289</v>
      </c>
      <c r="T203" s="6">
        <v>2.2559999999999998</v>
      </c>
      <c r="U203" s="6"/>
      <c r="V203" s="6"/>
    </row>
    <row r="204" spans="17:22" x14ac:dyDescent="0.3">
      <c r="Q204" s="208">
        <v>208</v>
      </c>
      <c r="R204" s="6" t="s">
        <v>675</v>
      </c>
      <c r="S204" s="262">
        <v>46289</v>
      </c>
      <c r="T204" s="6">
        <v>0.83099999999999996</v>
      </c>
      <c r="U204" s="6"/>
      <c r="V204" s="6"/>
    </row>
    <row r="205" spans="17:22" x14ac:dyDescent="0.3">
      <c r="Q205" s="208">
        <v>209</v>
      </c>
      <c r="R205" s="6" t="s">
        <v>676</v>
      </c>
      <c r="S205" s="262">
        <v>46289</v>
      </c>
      <c r="T205" s="6">
        <v>0.84599999999999997</v>
      </c>
      <c r="U205" s="6"/>
      <c r="V205" s="6"/>
    </row>
    <row r="206" spans="17:22" x14ac:dyDescent="0.3">
      <c r="Q206" s="208">
        <v>210</v>
      </c>
      <c r="R206" s="208" t="s">
        <v>401</v>
      </c>
      <c r="S206" s="262">
        <v>46289</v>
      </c>
      <c r="T206" s="6">
        <v>0.27900000000000003</v>
      </c>
      <c r="U206" s="6"/>
      <c r="V206" s="6"/>
    </row>
    <row r="207" spans="17:22" x14ac:dyDescent="0.3">
      <c r="Q207" s="208">
        <v>211</v>
      </c>
      <c r="R207" s="208" t="s">
        <v>403</v>
      </c>
      <c r="S207" s="262">
        <v>46289</v>
      </c>
      <c r="T207" s="6">
        <v>0.20799999999999999</v>
      </c>
      <c r="U207" s="6"/>
      <c r="V207" s="6"/>
    </row>
    <row r="208" spans="17:22" x14ac:dyDescent="0.3">
      <c r="Q208" s="208">
        <v>212</v>
      </c>
      <c r="R208" s="208" t="s">
        <v>384</v>
      </c>
      <c r="S208" s="262">
        <v>46289</v>
      </c>
      <c r="T208" s="6">
        <v>0.61</v>
      </c>
      <c r="U208" s="6"/>
      <c r="V208" s="6"/>
    </row>
    <row r="209" spans="17:22" x14ac:dyDescent="0.3">
      <c r="Q209" s="208">
        <v>213</v>
      </c>
      <c r="R209" s="6" t="s">
        <v>404</v>
      </c>
      <c r="S209" s="262">
        <v>46289</v>
      </c>
      <c r="T209" s="6">
        <v>1.2190000000000001</v>
      </c>
      <c r="U209" s="6"/>
      <c r="V209" s="6"/>
    </row>
    <row r="210" spans="17:22" x14ac:dyDescent="0.3">
      <c r="Q210" s="208">
        <v>214</v>
      </c>
      <c r="R210" s="6" t="s">
        <v>406</v>
      </c>
      <c r="S210" s="262">
        <v>46289</v>
      </c>
      <c r="T210" s="6">
        <v>0.57199999999999995</v>
      </c>
      <c r="U210" s="6"/>
      <c r="V210" s="6"/>
    </row>
    <row r="211" spans="17:22" x14ac:dyDescent="0.3">
      <c r="Q211" s="208">
        <v>215</v>
      </c>
      <c r="R211" s="6"/>
      <c r="S211" s="6"/>
      <c r="T211" s="6"/>
      <c r="U211" s="6"/>
      <c r="V211" s="6"/>
    </row>
    <row r="212" spans="17:22" x14ac:dyDescent="0.3">
      <c r="Q212" s="208">
        <v>216</v>
      </c>
      <c r="R212" s="6"/>
      <c r="S212" s="6"/>
      <c r="T212" s="6"/>
      <c r="U212" s="6"/>
      <c r="V212" s="6"/>
    </row>
    <row r="213" spans="17:22" x14ac:dyDescent="0.3">
      <c r="Q213" s="208">
        <v>217</v>
      </c>
      <c r="R213" s="6"/>
      <c r="S213" s="6"/>
      <c r="T213" s="6"/>
      <c r="U213" s="6"/>
      <c r="V213" s="6"/>
    </row>
    <row r="214" spans="17:22" x14ac:dyDescent="0.3">
      <c r="Q214" s="208">
        <v>218</v>
      </c>
      <c r="R214" s="6"/>
      <c r="S214" s="6"/>
      <c r="T214" s="6"/>
      <c r="U214" s="6"/>
      <c r="V214" s="6"/>
    </row>
    <row r="215" spans="17:22" x14ac:dyDescent="0.3">
      <c r="Q215" s="208">
        <v>219</v>
      </c>
      <c r="R215" s="6"/>
      <c r="S215" s="6"/>
      <c r="T215" s="6"/>
      <c r="U215" s="6"/>
      <c r="V215" s="6"/>
    </row>
    <row r="216" spans="17:22" x14ac:dyDescent="0.3">
      <c r="Q216" s="208">
        <v>220</v>
      </c>
      <c r="R216" s="6"/>
      <c r="S216" s="6"/>
      <c r="T216" s="6"/>
      <c r="U216" s="6"/>
      <c r="V216" s="6"/>
    </row>
    <row r="217" spans="17:22" x14ac:dyDescent="0.3">
      <c r="Q217" s="208">
        <v>221</v>
      </c>
      <c r="R217" s="6"/>
      <c r="S217" s="6"/>
      <c r="T217" s="6"/>
      <c r="U217" s="6"/>
      <c r="V217" s="6"/>
    </row>
    <row r="218" spans="17:22" x14ac:dyDescent="0.3">
      <c r="Q218" s="208">
        <v>222</v>
      </c>
      <c r="R218" s="6"/>
      <c r="S218" s="6"/>
      <c r="T218" s="6"/>
      <c r="U218" s="6"/>
      <c r="V218" s="6"/>
    </row>
    <row r="219" spans="17:22" x14ac:dyDescent="0.3">
      <c r="Q219" s="208">
        <v>223</v>
      </c>
      <c r="R219" s="6"/>
      <c r="S219" s="6"/>
      <c r="T219" s="6"/>
      <c r="U219" s="6"/>
      <c r="V219" s="6"/>
    </row>
    <row r="220" spans="17:22" x14ac:dyDescent="0.3">
      <c r="Q220" s="208">
        <v>224</v>
      </c>
      <c r="R220" s="6"/>
      <c r="S220" s="6"/>
      <c r="T220" s="6"/>
      <c r="U220" s="6"/>
      <c r="V220" s="6"/>
    </row>
    <row r="221" spans="17:22" x14ac:dyDescent="0.3">
      <c r="Q221" s="208">
        <v>225</v>
      </c>
      <c r="R221" s="6"/>
      <c r="S221" s="6"/>
      <c r="T221" s="6"/>
      <c r="U221" s="6"/>
      <c r="V221" s="6"/>
    </row>
    <row r="222" spans="17:22" x14ac:dyDescent="0.3">
      <c r="Q222" s="208">
        <v>226</v>
      </c>
      <c r="R222" s="6"/>
      <c r="S222" s="6"/>
      <c r="T222" s="6"/>
      <c r="U222" s="6"/>
      <c r="V222" s="6"/>
    </row>
    <row r="223" spans="17:22" x14ac:dyDescent="0.3">
      <c r="Q223" s="208">
        <v>227</v>
      </c>
      <c r="R223" s="6"/>
      <c r="S223" s="6"/>
      <c r="T223" s="6"/>
      <c r="U223" s="6"/>
      <c r="V223" s="6"/>
    </row>
    <row r="224" spans="17:22" x14ac:dyDescent="0.3">
      <c r="Q224" s="208">
        <v>228</v>
      </c>
      <c r="R224" s="6"/>
      <c r="S224" s="6"/>
      <c r="T224" s="6"/>
      <c r="U224" s="6"/>
      <c r="V224" s="6"/>
    </row>
    <row r="225" spans="17:22" x14ac:dyDescent="0.3">
      <c r="Q225" s="208">
        <v>229</v>
      </c>
      <c r="R225" s="6"/>
      <c r="S225" s="6"/>
      <c r="T225" s="6"/>
      <c r="U225" s="6"/>
      <c r="V225" s="6"/>
    </row>
    <row r="226" spans="17:22" x14ac:dyDescent="0.3">
      <c r="Q226" s="208">
        <v>230</v>
      </c>
      <c r="R226" s="6"/>
      <c r="S226" s="6"/>
      <c r="T226" s="6"/>
      <c r="U226" s="6"/>
      <c r="V226" s="6"/>
    </row>
    <row r="227" spans="17:22" x14ac:dyDescent="0.3">
      <c r="Q227" s="208">
        <v>231</v>
      </c>
      <c r="R227" s="6"/>
      <c r="S227" s="6"/>
      <c r="T227" s="6"/>
      <c r="U227" s="6"/>
      <c r="V227" s="6"/>
    </row>
    <row r="228" spans="17:22" x14ac:dyDescent="0.3">
      <c r="Q228" s="208">
        <v>232</v>
      </c>
      <c r="R228" s="6"/>
      <c r="S228" s="6"/>
      <c r="T228" s="6"/>
      <c r="U228" s="6"/>
      <c r="V228" s="6"/>
    </row>
    <row r="229" spans="17:22" x14ac:dyDescent="0.3">
      <c r="Q229" s="208">
        <v>233</v>
      </c>
      <c r="R229" s="6"/>
      <c r="S229" s="6"/>
      <c r="T229" s="6"/>
      <c r="U229" s="6"/>
      <c r="V229" s="6"/>
    </row>
    <row r="230" spans="17:22" x14ac:dyDescent="0.3">
      <c r="Q230" s="208">
        <v>234</v>
      </c>
      <c r="R230" s="6"/>
      <c r="S230" s="6"/>
      <c r="T230" s="6"/>
      <c r="U230" s="6"/>
      <c r="V230" s="6"/>
    </row>
    <row r="231" spans="17:22" x14ac:dyDescent="0.3">
      <c r="Q231" s="208">
        <v>235</v>
      </c>
      <c r="R231" s="6"/>
      <c r="S231" s="6"/>
      <c r="T231" s="6"/>
      <c r="U231" s="6"/>
      <c r="V231" s="6"/>
    </row>
    <row r="232" spans="17:22" x14ac:dyDescent="0.3">
      <c r="Q232" s="208">
        <v>236</v>
      </c>
      <c r="R232" s="6"/>
      <c r="S232" s="6"/>
      <c r="T232" s="6"/>
      <c r="U232" s="6"/>
      <c r="V232" s="6"/>
    </row>
    <row r="233" spans="17:22" x14ac:dyDescent="0.3">
      <c r="Q233" s="208">
        <v>237</v>
      </c>
      <c r="R233" s="6"/>
      <c r="S233" s="6"/>
      <c r="T233" s="6"/>
      <c r="U233" s="6"/>
      <c r="V233" s="6"/>
    </row>
    <row r="234" spans="17:22" x14ac:dyDescent="0.3">
      <c r="Q234" s="208">
        <v>238</v>
      </c>
      <c r="R234" s="6"/>
      <c r="S234" s="6"/>
      <c r="T234" s="6"/>
      <c r="U234" s="6"/>
      <c r="V234" s="6"/>
    </row>
    <row r="235" spans="17:22" x14ac:dyDescent="0.3">
      <c r="Q235" s="208">
        <v>239</v>
      </c>
      <c r="R235" s="6"/>
      <c r="S235" s="6"/>
      <c r="T235" s="6"/>
      <c r="U235" s="6"/>
      <c r="V235" s="6"/>
    </row>
    <row r="236" spans="17:22" x14ac:dyDescent="0.3">
      <c r="Q236" s="208">
        <v>240</v>
      </c>
      <c r="R236" s="6"/>
      <c r="S236" s="6"/>
      <c r="T236" s="6"/>
      <c r="U236" s="6"/>
      <c r="V236" s="6"/>
    </row>
    <row r="237" spans="17:22" x14ac:dyDescent="0.3">
      <c r="Q237" s="208">
        <v>241</v>
      </c>
      <c r="R237" s="6"/>
      <c r="S237" s="6"/>
      <c r="T237" s="6"/>
      <c r="U237" s="6"/>
      <c r="V237" s="6"/>
    </row>
    <row r="238" spans="17:22" x14ac:dyDescent="0.3">
      <c r="Q238" s="208">
        <v>242</v>
      </c>
      <c r="R238" s="6"/>
      <c r="S238" s="6"/>
      <c r="T238" s="6"/>
      <c r="U238" s="6"/>
      <c r="V238" s="6"/>
    </row>
    <row r="239" spans="17:22" x14ac:dyDescent="0.3">
      <c r="Q239" s="208">
        <v>243</v>
      </c>
      <c r="R239" s="6"/>
      <c r="S239" s="6"/>
      <c r="T239" s="6"/>
      <c r="U239" s="6"/>
      <c r="V239" s="6"/>
    </row>
    <row r="240" spans="17:22" x14ac:dyDescent="0.3">
      <c r="Q240" s="208">
        <v>244</v>
      </c>
      <c r="R240" s="6"/>
      <c r="S240" s="6"/>
      <c r="T240" s="6"/>
      <c r="U240" s="6"/>
      <c r="V240" s="6"/>
    </row>
    <row r="241" spans="17:22" x14ac:dyDescent="0.3">
      <c r="Q241" s="208">
        <v>245</v>
      </c>
      <c r="R241" s="6"/>
      <c r="S241" s="6"/>
      <c r="T241" s="6"/>
      <c r="U241" s="6"/>
      <c r="V241" s="6"/>
    </row>
    <row r="242" spans="17:22" x14ac:dyDescent="0.3">
      <c r="Q242" s="208">
        <v>246</v>
      </c>
      <c r="R242" s="6"/>
      <c r="S242" s="6"/>
      <c r="T242" s="6"/>
      <c r="U242" s="6"/>
      <c r="V242" s="6"/>
    </row>
    <row r="243" spans="17:22" x14ac:dyDescent="0.3">
      <c r="Q243" s="208">
        <v>247</v>
      </c>
      <c r="R243" s="6"/>
      <c r="S243" s="6"/>
      <c r="T243" s="6"/>
      <c r="U243" s="6"/>
      <c r="V243" s="6"/>
    </row>
    <row r="244" spans="17:22" x14ac:dyDescent="0.3">
      <c r="Q244" s="208">
        <v>248</v>
      </c>
      <c r="R244" s="6"/>
      <c r="S244" s="6"/>
      <c r="T244" s="6"/>
      <c r="U244" s="6"/>
      <c r="V244" s="6"/>
    </row>
    <row r="245" spans="17:22" x14ac:dyDescent="0.3">
      <c r="Q245" s="208">
        <v>249</v>
      </c>
      <c r="R245" s="6"/>
      <c r="S245" s="6"/>
      <c r="T245" s="6"/>
      <c r="U245" s="6"/>
      <c r="V245" s="6"/>
    </row>
    <row r="246" spans="17:22" x14ac:dyDescent="0.3">
      <c r="Q246" s="208">
        <v>250</v>
      </c>
      <c r="R246" s="6"/>
      <c r="S246" s="6"/>
      <c r="T246" s="6"/>
      <c r="U246" s="6"/>
      <c r="V246" s="6"/>
    </row>
    <row r="247" spans="17:22" x14ac:dyDescent="0.3">
      <c r="Q247" s="208">
        <v>251</v>
      </c>
      <c r="R247" s="6"/>
      <c r="S247" s="6"/>
      <c r="T247" s="6"/>
      <c r="U247" s="6"/>
      <c r="V247" s="6"/>
    </row>
  </sheetData>
  <sortState xmlns:xlrd2="http://schemas.microsoft.com/office/spreadsheetml/2017/richdata2" ref="AE1:AE207">
    <sortCondition ref="AE1:AE207"/>
  </sortState>
  <mergeCells count="5">
    <mergeCell ref="B2:M2"/>
    <mergeCell ref="B3:M3"/>
    <mergeCell ref="Q7:V7"/>
    <mergeCell ref="AG34:AL34"/>
    <mergeCell ref="B106:J107"/>
  </mergeCells>
  <phoneticPr fontId="91" type="noConversion"/>
  <conditionalFormatting sqref="AE1:AE103 AE128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710</v>
      </c>
      <c r="C4" s="103" t="s">
        <v>740</v>
      </c>
      <c r="D4" s="103" t="s">
        <v>454</v>
      </c>
      <c r="E4" s="103" t="s">
        <v>424</v>
      </c>
      <c r="F4" s="103" t="s">
        <v>726</v>
      </c>
      <c r="G4" s="103" t="s">
        <v>727</v>
      </c>
      <c r="H4" s="103" t="s">
        <v>728</v>
      </c>
      <c r="I4" s="106" t="s">
        <v>738</v>
      </c>
    </row>
    <row r="5" spans="1:12" x14ac:dyDescent="0.3">
      <c r="B5" s="13" t="s">
        <v>711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712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713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30" t="s">
        <v>714</v>
      </c>
      <c r="C8" s="1130">
        <v>1</v>
      </c>
      <c r="D8" s="1130"/>
      <c r="E8" s="1130">
        <v>20</v>
      </c>
      <c r="F8" s="1130">
        <v>1.3</v>
      </c>
      <c r="G8" s="1131">
        <f t="shared" si="0"/>
        <v>26</v>
      </c>
      <c r="H8" s="1130">
        <v>0.92100000000000004</v>
      </c>
      <c r="I8" s="1131">
        <f t="shared" si="1"/>
        <v>23.946000000000002</v>
      </c>
    </row>
    <row r="9" spans="1:12" x14ac:dyDescent="0.3">
      <c r="A9" s="1">
        <v>2</v>
      </c>
      <c r="B9" s="1130" t="s">
        <v>714</v>
      </c>
      <c r="C9" s="1130">
        <v>1</v>
      </c>
      <c r="D9" s="1130"/>
      <c r="E9" s="1130">
        <v>132</v>
      </c>
      <c r="F9" s="1130">
        <v>1.3</v>
      </c>
      <c r="G9" s="1131">
        <f t="shared" si="0"/>
        <v>171.6</v>
      </c>
      <c r="H9" s="1130">
        <v>0.92100000000000004</v>
      </c>
      <c r="I9" s="1131">
        <f t="shared" si="1"/>
        <v>158.0436</v>
      </c>
      <c r="K9" s="10"/>
    </row>
    <row r="10" spans="1:12" x14ac:dyDescent="0.3">
      <c r="A10" s="1">
        <v>3</v>
      </c>
      <c r="B10" s="1127" t="s">
        <v>715</v>
      </c>
      <c r="C10" s="1127">
        <v>1</v>
      </c>
      <c r="D10" s="1127"/>
      <c r="E10" s="1127">
        <v>31</v>
      </c>
      <c r="F10" s="1127">
        <v>1.3</v>
      </c>
      <c r="G10" s="459">
        <f t="shared" si="0"/>
        <v>40.300000000000004</v>
      </c>
      <c r="H10" s="1127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716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30" t="s">
        <v>717</v>
      </c>
      <c r="C12" s="1130">
        <v>1</v>
      </c>
      <c r="D12" s="1130"/>
      <c r="E12" s="1130">
        <v>24</v>
      </c>
      <c r="F12" s="1130">
        <v>1.3</v>
      </c>
      <c r="G12" s="1131">
        <f t="shared" si="0"/>
        <v>31.200000000000003</v>
      </c>
      <c r="H12" s="1130">
        <v>0.88700000000000001</v>
      </c>
      <c r="I12" s="1131">
        <f t="shared" si="1"/>
        <v>27.674400000000002</v>
      </c>
    </row>
    <row r="13" spans="1:12" x14ac:dyDescent="0.3">
      <c r="A13" s="1">
        <v>6</v>
      </c>
      <c r="B13" s="1130" t="s">
        <v>717</v>
      </c>
      <c r="C13" s="1130">
        <v>1</v>
      </c>
      <c r="D13" s="1130"/>
      <c r="E13" s="1130">
        <v>54</v>
      </c>
      <c r="F13" s="1130">
        <v>1.3</v>
      </c>
      <c r="G13" s="1131">
        <f t="shared" si="0"/>
        <v>70.2</v>
      </c>
      <c r="H13" s="1130">
        <v>0.88700000000000001</v>
      </c>
      <c r="I13" s="1131">
        <f t="shared" si="1"/>
        <v>62.267400000000002</v>
      </c>
    </row>
    <row r="14" spans="1:12" x14ac:dyDescent="0.3">
      <c r="B14" s="13" t="s">
        <v>718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719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720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7" t="s">
        <v>724</v>
      </c>
      <c r="C17" s="1127">
        <v>1</v>
      </c>
      <c r="D17" s="1127"/>
      <c r="E17" s="1127">
        <v>476</v>
      </c>
      <c r="F17" s="1127">
        <v>1.3</v>
      </c>
      <c r="G17" s="459">
        <f t="shared" si="0"/>
        <v>618.80000000000007</v>
      </c>
      <c r="H17" s="1127">
        <v>0.67800000000000005</v>
      </c>
      <c r="I17" s="459">
        <f t="shared" si="1"/>
        <v>419.54640000000006</v>
      </c>
    </row>
    <row r="18" spans="1:9" x14ac:dyDescent="0.3">
      <c r="B18" s="13" t="s">
        <v>723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722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721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725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729</v>
      </c>
      <c r="C27" s="6"/>
      <c r="D27" s="6" t="s">
        <v>730</v>
      </c>
      <c r="E27" s="6" t="s">
        <v>733</v>
      </c>
      <c r="F27" s="1128"/>
    </row>
    <row r="28" spans="1:9" x14ac:dyDescent="0.3">
      <c r="B28" s="6"/>
      <c r="C28" s="6"/>
      <c r="D28" s="6" t="s">
        <v>731</v>
      </c>
      <c r="E28" s="6" t="s">
        <v>735</v>
      </c>
      <c r="F28" s="1129"/>
    </row>
    <row r="29" spans="1:9" x14ac:dyDescent="0.3">
      <c r="B29" s="6"/>
      <c r="C29" s="6"/>
      <c r="D29" s="6" t="s">
        <v>732</v>
      </c>
      <c r="E29" s="6" t="s">
        <v>734</v>
      </c>
      <c r="F29" s="206"/>
    </row>
    <row r="30" spans="1:9" x14ac:dyDescent="0.3">
      <c r="B30" s="6"/>
      <c r="C30" s="6"/>
      <c r="D30" s="6" t="s">
        <v>736</v>
      </c>
      <c r="E30" s="6" t="s">
        <v>737</v>
      </c>
      <c r="F30" s="1109"/>
    </row>
  </sheetData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3"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294" t="s">
        <v>270</v>
      </c>
      <c r="B3" s="1295"/>
      <c r="C3" s="1295"/>
      <c r="D3" s="1295"/>
      <c r="E3" s="1295"/>
      <c r="F3" s="1295"/>
      <c r="G3" s="1296"/>
      <c r="I3" s="1">
        <f>I2/2</f>
        <v>720</v>
      </c>
    </row>
    <row r="4" spans="1:14" ht="15" thickBot="1" x14ac:dyDescent="0.35">
      <c r="A4" s="1297" t="s">
        <v>0</v>
      </c>
      <c r="B4" s="1298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271</v>
      </c>
    </row>
    <row r="5" spans="1:14" x14ac:dyDescent="0.3">
      <c r="A5" s="1482">
        <v>46268</v>
      </c>
      <c r="B5" s="1293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504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272</v>
      </c>
    </row>
    <row r="6" spans="1:14" x14ac:dyDescent="0.3">
      <c r="A6" s="1482">
        <v>46269</v>
      </c>
      <c r="B6" s="1293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505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482">
        <v>46270</v>
      </c>
      <c r="B7" s="1293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482">
        <v>46271</v>
      </c>
      <c r="B8" s="1293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482">
        <v>46272</v>
      </c>
      <c r="B9" s="1293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482">
        <v>46273</v>
      </c>
      <c r="B10" s="1293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482">
        <v>46274</v>
      </c>
      <c r="B11" s="1293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482">
        <v>46275</v>
      </c>
      <c r="B12" s="1293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482">
        <v>46276</v>
      </c>
      <c r="B13" s="1293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482">
        <v>46277</v>
      </c>
      <c r="B14" s="1293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482">
        <v>46278</v>
      </c>
      <c r="B15" s="1293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482">
        <v>46279</v>
      </c>
      <c r="B16" s="1293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482">
        <v>46280</v>
      </c>
      <c r="B17" s="1293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482">
        <v>46281</v>
      </c>
      <c r="B18" s="1293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482">
        <v>46282</v>
      </c>
      <c r="B19" s="1293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482">
        <v>46283</v>
      </c>
      <c r="B20" s="1293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482">
        <v>46284</v>
      </c>
      <c r="B21" s="1293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482">
        <v>46285</v>
      </c>
      <c r="B22" s="1293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482">
        <v>46286</v>
      </c>
      <c r="B23" s="1293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482">
        <v>46287</v>
      </c>
      <c r="B24" s="1293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482">
        <v>46288</v>
      </c>
      <c r="B25" s="1293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482">
        <v>46289</v>
      </c>
      <c r="B26" s="1293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482">
        <v>46290</v>
      </c>
      <c r="B27" s="1293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482">
        <v>46291</v>
      </c>
      <c r="B28" s="1293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482">
        <v>46292</v>
      </c>
      <c r="B29" s="1293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482">
        <v>46293</v>
      </c>
      <c r="B30" s="1293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482">
        <v>46294</v>
      </c>
      <c r="B31" s="1293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482">
        <v>46295</v>
      </c>
      <c r="B32" s="1293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482">
        <v>46296</v>
      </c>
      <c r="B33" s="1293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482">
        <v>46297</v>
      </c>
      <c r="B34" s="1293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482">
        <v>46298</v>
      </c>
      <c r="B35" s="1293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482">
        <v>46299</v>
      </c>
      <c r="B36" s="1293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482">
        <v>46300</v>
      </c>
      <c r="B37" s="1293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482">
        <v>46301</v>
      </c>
      <c r="B38" s="1293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482">
        <v>46302</v>
      </c>
      <c r="B39" s="1293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482">
        <v>46303</v>
      </c>
      <c r="B40" s="1293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482">
        <v>46304</v>
      </c>
      <c r="B41" s="1293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482">
        <v>46305</v>
      </c>
      <c r="B42" s="1293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482">
        <v>46306</v>
      </c>
      <c r="B43" s="1293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482">
        <v>46307</v>
      </c>
      <c r="B44" s="1293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482">
        <v>46308</v>
      </c>
      <c r="B45" s="1293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482">
        <v>46309</v>
      </c>
      <c r="B46" s="1293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482">
        <v>46310</v>
      </c>
      <c r="B47" s="1293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482">
        <v>46311</v>
      </c>
      <c r="B48" s="1293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482">
        <v>46312</v>
      </c>
      <c r="B49" s="1293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482">
        <v>46313</v>
      </c>
      <c r="B50" s="1293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482">
        <v>46314</v>
      </c>
      <c r="B51" s="1293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482">
        <v>46315</v>
      </c>
      <c r="B52" s="1293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482">
        <v>46316</v>
      </c>
      <c r="B53" s="1293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482">
        <v>46317</v>
      </c>
      <c r="B54" s="1293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482">
        <v>46318</v>
      </c>
      <c r="B55" s="1293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482">
        <v>46319</v>
      </c>
      <c r="B56" s="1293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482">
        <v>46320</v>
      </c>
      <c r="B57" s="1293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482">
        <v>46321</v>
      </c>
      <c r="B58" s="1293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482">
        <v>46322</v>
      </c>
      <c r="B59" s="1293"/>
      <c r="C59" s="64"/>
      <c r="D59" s="67"/>
      <c r="E59" s="67"/>
      <c r="F59" s="61">
        <f t="shared" si="5"/>
        <v>0</v>
      </c>
      <c r="G59" s="65"/>
    </row>
    <row r="60" spans="1:18" x14ac:dyDescent="0.3">
      <c r="A60" s="1482">
        <v>46323</v>
      </c>
      <c r="B60" s="1293"/>
      <c r="C60" s="64"/>
      <c r="D60" s="67"/>
      <c r="E60" s="67"/>
      <c r="F60" s="61">
        <f t="shared" si="5"/>
        <v>0</v>
      </c>
      <c r="G60" s="65"/>
    </row>
    <row r="61" spans="1:18" x14ac:dyDescent="0.3">
      <c r="A61" s="1482">
        <v>46324</v>
      </c>
      <c r="B61" s="1293"/>
      <c r="C61" s="64"/>
      <c r="D61" s="67"/>
      <c r="E61" s="67"/>
      <c r="F61" s="61">
        <f t="shared" si="5"/>
        <v>0</v>
      </c>
      <c r="G61" s="65"/>
    </row>
    <row r="62" spans="1:18" x14ac:dyDescent="0.3">
      <c r="A62" s="1482">
        <v>46325</v>
      </c>
      <c r="B62" s="1293"/>
      <c r="C62" s="64"/>
      <c r="D62" s="67"/>
      <c r="E62" s="67"/>
      <c r="F62" s="61">
        <f t="shared" si="5"/>
        <v>0</v>
      </c>
      <c r="G62" s="65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2"/>
  <sheetViews>
    <sheetView zoomScale="81" zoomScaleNormal="100" workbookViewId="0">
      <pane ySplit="9" topLeftCell="A10" activePane="bottomLeft" state="frozen"/>
      <selection pane="bottomLeft" activeCell="C22" sqref="C22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" bestFit="1" customWidth="1"/>
    <col min="8" max="8" width="11.21875" style="1" bestFit="1" customWidth="1"/>
    <col min="9" max="9" width="10.77734375" style="1" bestFit="1" customWidth="1"/>
    <col min="10" max="12" width="15" style="12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486" t="s">
        <v>243</v>
      </c>
      <c r="F2" s="1487"/>
      <c r="G2" s="1487"/>
      <c r="H2" s="1487"/>
      <c r="I2" s="1487"/>
      <c r="J2" s="1487"/>
      <c r="K2" s="1487"/>
      <c r="L2" s="1487"/>
      <c r="M2" s="1487"/>
      <c r="N2" s="1487"/>
      <c r="O2" s="1487"/>
      <c r="P2" s="1487"/>
      <c r="Q2" s="1487"/>
      <c r="R2" s="1487"/>
      <c r="S2" s="1487"/>
      <c r="T2" s="1487"/>
      <c r="U2" s="1487"/>
      <c r="V2" s="1487"/>
      <c r="W2" s="1487"/>
      <c r="X2" s="1487"/>
      <c r="Y2" s="1487"/>
      <c r="Z2" s="1487"/>
      <c r="AA2" s="1487"/>
      <c r="AB2" s="1487"/>
      <c r="AC2" s="1487"/>
      <c r="AD2" s="1487"/>
      <c r="AE2" s="1487"/>
      <c r="AF2" s="1488"/>
    </row>
    <row r="3" spans="1:68" ht="24" thickBot="1" x14ac:dyDescent="0.5">
      <c r="E3" s="1486" t="s">
        <v>197</v>
      </c>
      <c r="F3" s="1487"/>
      <c r="G3" s="1487"/>
      <c r="H3" s="1487"/>
      <c r="I3" s="1487"/>
      <c r="J3" s="1487"/>
      <c r="K3" s="1487"/>
      <c r="L3" s="1487"/>
      <c r="M3" s="1487"/>
      <c r="N3" s="1487"/>
      <c r="O3" s="1487"/>
      <c r="P3" s="1487"/>
      <c r="Q3" s="1487"/>
      <c r="R3" s="1487"/>
      <c r="S3" s="1487"/>
      <c r="T3" s="1487"/>
      <c r="U3" s="1487"/>
      <c r="V3" s="1487"/>
      <c r="W3" s="1487"/>
      <c r="X3" s="1487"/>
      <c r="Y3" s="1487"/>
      <c r="Z3" s="1487"/>
      <c r="AA3" s="1487"/>
      <c r="AB3" s="1487"/>
      <c r="AC3" s="1487"/>
      <c r="AD3" s="1487"/>
      <c r="AE3" s="1487"/>
      <c r="AF3" s="1488"/>
      <c r="AJ3" s="136"/>
    </row>
    <row r="4" spans="1:68" ht="24" thickBot="1" x14ac:dyDescent="0.5">
      <c r="E4" s="1490" t="s">
        <v>537</v>
      </c>
      <c r="F4" s="1491"/>
      <c r="G4" s="1491"/>
      <c r="H4" s="1491"/>
      <c r="I4" s="1491"/>
      <c r="J4" s="1491"/>
      <c r="K4" s="1491"/>
      <c r="L4" s="1491"/>
      <c r="M4" s="1491"/>
      <c r="N4" s="1491"/>
      <c r="O4" s="1491"/>
      <c r="P4" s="1491"/>
      <c r="Q4" s="1491"/>
      <c r="R4" s="1491"/>
      <c r="S4" s="1491"/>
      <c r="T4" s="1491"/>
      <c r="U4" s="1491"/>
      <c r="V4" s="1491"/>
      <c r="W4" s="1491"/>
      <c r="X4" s="1491"/>
      <c r="Y4" s="1491"/>
      <c r="Z4" s="1491"/>
      <c r="AA4" s="1491"/>
      <c r="AB4" s="1491"/>
      <c r="AC4" s="1491"/>
      <c r="AD4" s="1491"/>
      <c r="AE4" s="1491"/>
      <c r="AF4" s="1492"/>
      <c r="AH4" s="422"/>
      <c r="AI4" s="2"/>
      <c r="AM4" s="2"/>
    </row>
    <row r="5" spans="1:68" x14ac:dyDescent="0.3">
      <c r="C5" s="10"/>
      <c r="G5" s="136"/>
      <c r="O5" s="10"/>
      <c r="AJ5" s="2"/>
      <c r="AS5" s="2"/>
    </row>
    <row r="6" spans="1:68" x14ac:dyDescent="0.3">
      <c r="O6" s="10"/>
      <c r="V6" s="2"/>
      <c r="W6" s="10"/>
      <c r="AD6" s="1110"/>
      <c r="AE6" s="1148"/>
      <c r="AG6" s="2"/>
      <c r="AI6" s="10"/>
      <c r="AL6" s="43"/>
    </row>
    <row r="7" spans="1:68" x14ac:dyDescent="0.3">
      <c r="B7" s="1376" t="s">
        <v>259</v>
      </c>
      <c r="C7" s="205" t="s">
        <v>325</v>
      </c>
      <c r="D7" s="205" t="s">
        <v>706</v>
      </c>
      <c r="E7" s="1376" t="s">
        <v>244</v>
      </c>
      <c r="F7" s="1376" t="s">
        <v>245</v>
      </c>
      <c r="G7" s="1376" t="s">
        <v>246</v>
      </c>
      <c r="H7" s="1376" t="s">
        <v>247</v>
      </c>
      <c r="I7" s="1376" t="s">
        <v>248</v>
      </c>
      <c r="J7" s="1489" t="s">
        <v>144</v>
      </c>
      <c r="K7" s="1493" t="s">
        <v>680</v>
      </c>
      <c r="L7" s="1493" t="s">
        <v>767</v>
      </c>
      <c r="M7" s="1376" t="s">
        <v>250</v>
      </c>
      <c r="N7" s="1364" t="s">
        <v>249</v>
      </c>
      <c r="O7" s="224" t="s">
        <v>249</v>
      </c>
      <c r="P7" s="1364" t="s">
        <v>295</v>
      </c>
      <c r="Q7" s="224" t="s">
        <v>292</v>
      </c>
      <c r="R7" s="224" t="s">
        <v>447</v>
      </c>
      <c r="S7" s="224" t="s">
        <v>449</v>
      </c>
      <c r="T7" s="224" t="s">
        <v>452</v>
      </c>
      <c r="U7" s="205" t="s">
        <v>282</v>
      </c>
      <c r="V7" s="1376" t="s">
        <v>251</v>
      </c>
      <c r="W7" s="205" t="s">
        <v>303</v>
      </c>
      <c r="X7" s="1376" t="s">
        <v>260</v>
      </c>
      <c r="Y7" s="1376"/>
      <c r="Z7" s="1376"/>
      <c r="AA7" s="1485" t="s">
        <v>262</v>
      </c>
      <c r="AB7" s="1485"/>
      <c r="AC7" s="1485"/>
      <c r="AD7" s="1376" t="s">
        <v>269</v>
      </c>
      <c r="AE7" s="1376" t="s">
        <v>290</v>
      </c>
      <c r="AF7" s="1485" t="s">
        <v>256</v>
      </c>
      <c r="AG7" s="1485"/>
      <c r="AH7" s="1485"/>
      <c r="AI7" s="1485"/>
      <c r="AJ7" s="1485"/>
      <c r="AK7" s="1485"/>
      <c r="AL7" s="1485" t="s">
        <v>266</v>
      </c>
      <c r="AM7" s="1485"/>
      <c r="AN7" s="1485"/>
      <c r="AO7" s="1485" t="s">
        <v>267</v>
      </c>
      <c r="AP7" s="1485"/>
      <c r="AQ7" s="1485"/>
      <c r="AR7" s="131"/>
      <c r="AS7" s="247" t="s">
        <v>331</v>
      </c>
      <c r="AT7" s="1496" t="s">
        <v>273</v>
      </c>
      <c r="AU7" s="1497"/>
      <c r="AV7" s="1498"/>
      <c r="AW7" s="1502" t="s">
        <v>300</v>
      </c>
      <c r="AX7" s="1151"/>
      <c r="AY7" s="1364" t="s">
        <v>301</v>
      </c>
      <c r="AZ7" s="1485" t="s">
        <v>661</v>
      </c>
      <c r="BA7" s="1485"/>
      <c r="BB7" s="1485"/>
      <c r="BC7" s="131" t="s">
        <v>293</v>
      </c>
      <c r="BD7" s="1485" t="s">
        <v>277</v>
      </c>
      <c r="BE7" s="1485"/>
      <c r="BF7" s="1485"/>
      <c r="BG7" s="1485" t="s">
        <v>761</v>
      </c>
      <c r="BH7" s="1485"/>
      <c r="BI7" s="1485"/>
      <c r="BJ7" s="1485" t="s">
        <v>763</v>
      </c>
      <c r="BK7" s="1485"/>
      <c r="BL7" s="1485"/>
    </row>
    <row r="8" spans="1:68" x14ac:dyDescent="0.3">
      <c r="B8" s="1376"/>
      <c r="C8" s="205" t="s">
        <v>296</v>
      </c>
      <c r="D8" s="205" t="s">
        <v>36</v>
      </c>
      <c r="E8" s="1376"/>
      <c r="F8" s="1376"/>
      <c r="G8" s="1376"/>
      <c r="H8" s="1376"/>
      <c r="I8" s="1376"/>
      <c r="J8" s="1489"/>
      <c r="K8" s="1494"/>
      <c r="L8" s="1494"/>
      <c r="M8" s="1376"/>
      <c r="N8" s="1365"/>
      <c r="O8" s="225" t="s">
        <v>316</v>
      </c>
      <c r="P8" s="1365"/>
      <c r="Q8" s="225" t="s">
        <v>54</v>
      </c>
      <c r="R8" s="225" t="s">
        <v>448</v>
      </c>
      <c r="S8" s="225" t="s">
        <v>450</v>
      </c>
      <c r="T8" s="225" t="s">
        <v>453</v>
      </c>
      <c r="U8" s="205" t="s">
        <v>283</v>
      </c>
      <c r="V8" s="1376"/>
      <c r="W8" s="205" t="s">
        <v>184</v>
      </c>
      <c r="X8" s="1376" t="s">
        <v>261</v>
      </c>
      <c r="Y8" s="1376"/>
      <c r="Z8" s="1376"/>
      <c r="AA8" s="1485" t="s">
        <v>466</v>
      </c>
      <c r="AB8" s="1485"/>
      <c r="AC8" s="1485"/>
      <c r="AD8" s="1376"/>
      <c r="AE8" s="1376"/>
      <c r="AF8" s="1485" t="s">
        <v>263</v>
      </c>
      <c r="AG8" s="1485"/>
      <c r="AH8" s="1485"/>
      <c r="AI8" s="1485" t="s">
        <v>264</v>
      </c>
      <c r="AJ8" s="1485"/>
      <c r="AK8" s="1485"/>
      <c r="AL8" s="1485" t="s">
        <v>265</v>
      </c>
      <c r="AM8" s="1485"/>
      <c r="AN8" s="1485"/>
      <c r="AO8" s="1485" t="s">
        <v>257</v>
      </c>
      <c r="AP8" s="1485"/>
      <c r="AQ8" s="1485"/>
      <c r="AR8" s="131" t="s">
        <v>258</v>
      </c>
      <c r="AS8" s="248" t="s">
        <v>294</v>
      </c>
      <c r="AT8" s="1499"/>
      <c r="AU8" s="1500"/>
      <c r="AV8" s="1501"/>
      <c r="AW8" s="1503"/>
      <c r="AX8" s="1152"/>
      <c r="AY8" s="1366"/>
      <c r="AZ8" s="1485" t="s">
        <v>261</v>
      </c>
      <c r="BA8" s="1485"/>
      <c r="BB8" s="1485"/>
      <c r="BC8" s="131" t="s">
        <v>294</v>
      </c>
      <c r="BD8" s="1485" t="s">
        <v>40</v>
      </c>
      <c r="BE8" s="1485"/>
      <c r="BF8" s="1485"/>
      <c r="BG8" s="1485" t="s">
        <v>762</v>
      </c>
      <c r="BH8" s="1485"/>
      <c r="BI8" s="1485"/>
      <c r="BJ8" s="1485" t="s">
        <v>40</v>
      </c>
      <c r="BK8" s="1485"/>
      <c r="BL8" s="1485"/>
    </row>
    <row r="9" spans="1:68" x14ac:dyDescent="0.3">
      <c r="B9" s="1376"/>
      <c r="C9" s="205" t="s">
        <v>297</v>
      </c>
      <c r="D9" s="205" t="s">
        <v>743</v>
      </c>
      <c r="E9" s="1376"/>
      <c r="F9" s="1376"/>
      <c r="G9" s="1376"/>
      <c r="H9" s="1376"/>
      <c r="I9" s="1376"/>
      <c r="J9" s="1489"/>
      <c r="K9" s="1495"/>
      <c r="L9" s="1495"/>
      <c r="M9" s="1376"/>
      <c r="N9" s="1366"/>
      <c r="O9" s="204" t="s">
        <v>315</v>
      </c>
      <c r="P9" s="1366"/>
      <c r="Q9" s="204" t="s">
        <v>70</v>
      </c>
      <c r="R9" s="204"/>
      <c r="S9" s="204" t="s">
        <v>451</v>
      </c>
      <c r="T9" s="204" t="s">
        <v>451</v>
      </c>
      <c r="U9" s="205" t="s">
        <v>284</v>
      </c>
      <c r="V9" s="1376"/>
      <c r="W9" s="205" t="s">
        <v>304</v>
      </c>
      <c r="X9" s="205" t="s">
        <v>253</v>
      </c>
      <c r="Y9" s="205" t="s">
        <v>254</v>
      </c>
      <c r="Z9" s="205" t="s">
        <v>255</v>
      </c>
      <c r="AA9" s="131" t="s">
        <v>253</v>
      </c>
      <c r="AB9" s="131" t="s">
        <v>254</v>
      </c>
      <c r="AC9" s="131" t="s">
        <v>255</v>
      </c>
      <c r="AD9" s="1376"/>
      <c r="AE9" s="1376"/>
      <c r="AF9" s="131" t="s">
        <v>253</v>
      </c>
      <c r="AG9" s="131" t="s">
        <v>254</v>
      </c>
      <c r="AH9" s="131" t="s">
        <v>255</v>
      </c>
      <c r="AI9" s="131" t="s">
        <v>253</v>
      </c>
      <c r="AJ9" s="131" t="s">
        <v>254</v>
      </c>
      <c r="AK9" s="131" t="s">
        <v>255</v>
      </c>
      <c r="AL9" s="131" t="s">
        <v>253</v>
      </c>
      <c r="AM9" s="131" t="s">
        <v>254</v>
      </c>
      <c r="AN9" s="131" t="s">
        <v>255</v>
      </c>
      <c r="AO9" s="131" t="s">
        <v>253</v>
      </c>
      <c r="AP9" s="131" t="s">
        <v>254</v>
      </c>
      <c r="AQ9" s="131" t="s">
        <v>255</v>
      </c>
      <c r="AR9" s="131" t="s">
        <v>253</v>
      </c>
      <c r="AS9" s="131" t="s">
        <v>70</v>
      </c>
      <c r="AT9" s="131" t="s">
        <v>253</v>
      </c>
      <c r="AU9" s="131" t="s">
        <v>254</v>
      </c>
      <c r="AV9" s="131" t="s">
        <v>255</v>
      </c>
      <c r="AW9" s="1504"/>
      <c r="AX9" s="226"/>
      <c r="AY9" s="131" t="s">
        <v>302</v>
      </c>
      <c r="AZ9" s="131" t="s">
        <v>253</v>
      </c>
      <c r="BA9" s="131" t="s">
        <v>254</v>
      </c>
      <c r="BB9" s="131" t="s">
        <v>255</v>
      </c>
      <c r="BC9" s="131" t="s">
        <v>70</v>
      </c>
      <c r="BD9" s="131" t="s">
        <v>253</v>
      </c>
      <c r="BE9" s="131" t="s">
        <v>254</v>
      </c>
      <c r="BF9" s="131" t="s">
        <v>255</v>
      </c>
      <c r="BG9" s="252" t="s">
        <v>253</v>
      </c>
      <c r="BH9" s="131" t="s">
        <v>254</v>
      </c>
      <c r="BI9" s="131" t="s">
        <v>255</v>
      </c>
      <c r="BJ9" s="131" t="s">
        <v>764</v>
      </c>
      <c r="BK9" s="131" t="s">
        <v>254</v>
      </c>
      <c r="BL9" s="252" t="s">
        <v>255</v>
      </c>
      <c r="BP9" s="12" t="s">
        <v>765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4">
        <f>(AY10*1000)/J10</f>
        <v>1.7953321364452424</v>
      </c>
      <c r="L10" s="1094"/>
      <c r="M10" s="486">
        <v>0.41</v>
      </c>
      <c r="N10" s="471">
        <f t="shared" ref="N10:N21" si="0">M10*J10*P10</f>
        <v>292.31359999999995</v>
      </c>
      <c r="O10" s="471"/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5">
        <v>133</v>
      </c>
      <c r="BJ10" s="1175">
        <f>BG10*$AY$10</f>
        <v>229</v>
      </c>
      <c r="BK10" s="1175">
        <f t="shared" ref="BK10:BL10" si="6">BH10*$AY$10</f>
        <v>231</v>
      </c>
      <c r="BL10" s="1175">
        <f t="shared" si="6"/>
        <v>133</v>
      </c>
      <c r="BM10" s="1176">
        <f>(BJ10+AR10+AO10)/N10</f>
        <v>0.86793570740465043</v>
      </c>
      <c r="BN10" s="824">
        <f>BM10*N10</f>
        <v>253.70941119999998</v>
      </c>
      <c r="BO10" s="1179">
        <f>BJ10/BN10</f>
        <v>0.9026074315370135</v>
      </c>
      <c r="BP10" s="1180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5">
        <f t="shared" ref="K11:K20" si="7">(AY11*1000)/J11</f>
        <v>1.8552875695732838</v>
      </c>
      <c r="L11" s="1095"/>
      <c r="M11" s="40">
        <v>0.43</v>
      </c>
      <c r="N11" s="39">
        <f t="shared" si="0"/>
        <v>300.14215000000002</v>
      </c>
      <c r="O11" s="39"/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4">
        <f t="shared" si="7"/>
        <v>1.545595054095827</v>
      </c>
      <c r="L12" s="1094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6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7">
        <f>(BJ12+AR12+AO12)/O12</f>
        <v>1.6265041031221315</v>
      </c>
      <c r="BN12" s="824">
        <f>BM12*O12</f>
        <v>531.81939700287501</v>
      </c>
      <c r="BO12" s="1179">
        <f t="shared" si="13"/>
        <v>0.91948507849809857</v>
      </c>
      <c r="BP12" s="1180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5">
        <f t="shared" si="7"/>
        <v>1.545595054095827</v>
      </c>
      <c r="L13" s="1095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4">
        <f t="shared" si="7"/>
        <v>2.3183925811437405</v>
      </c>
      <c r="L14" s="1094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7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7">
        <f>(BJ14+AR14+AO14)/O14</f>
        <v>3.161601080407022</v>
      </c>
      <c r="BN14" s="824">
        <f>BM14*O14</f>
        <v>844.10259373333326</v>
      </c>
      <c r="BO14" s="1179">
        <f t="shared" si="13"/>
        <v>0.9453827128649982</v>
      </c>
      <c r="BP14" s="1180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5">
        <f t="shared" si="7"/>
        <v>1.7964071856287425</v>
      </c>
      <c r="L15" s="1095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1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8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8">
        <f>BG15*$AY$15</f>
        <v>892.5</v>
      </c>
      <c r="BK15" s="1178">
        <f t="shared" ref="BK15:BL15" si="42">BH15*$AY$15</f>
        <v>891</v>
      </c>
      <c r="BL15" s="1178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4">
        <f t="shared" si="7"/>
        <v>1.9870181480990861</v>
      </c>
      <c r="L16" s="1094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AVERAGE('LT Ball Mill'!F67:F75)</f>
        <v>0.53555555555555556</v>
      </c>
      <c r="Y16" s="818">
        <f>AVERAGE('LT Ball Mill'!G67:G75)</f>
        <v>0.53555555555555556</v>
      </c>
      <c r="Z16" s="818">
        <f>AVERAGE('LT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81">
        <v>2</v>
      </c>
      <c r="AX16" s="981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5">
        <f t="shared" si="7"/>
        <v>1.5463917525773196</v>
      </c>
      <c r="L17" s="1095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AVERAGE('LT Ball Mill'!F76:F87)</f>
        <v>0.58483333333333321</v>
      </c>
      <c r="Y17" s="133">
        <f>AVERAGE('LT Ball Mill'!G76:G87)</f>
        <v>0.58833333333333337</v>
      </c>
      <c r="Z17" s="133">
        <f>AVERAGE('LT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82">
        <v>3</v>
      </c>
      <c r="AX17" s="982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8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897">
        <v>46286</v>
      </c>
      <c r="I18" s="817">
        <v>0.33333333333333331</v>
      </c>
      <c r="J18" s="487">
        <v>1016</v>
      </c>
      <c r="K18" s="1094">
        <f t="shared" si="7"/>
        <v>1.4763779527559056</v>
      </c>
      <c r="L18" s="1094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6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81">
        <v>2</v>
      </c>
      <c r="AX18" s="981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3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62">
        <v>46290</v>
      </c>
      <c r="I19" s="102">
        <v>0.57638888888888884</v>
      </c>
      <c r="J19" s="13">
        <v>980</v>
      </c>
      <c r="K19" s="1095">
        <f t="shared" si="7"/>
        <v>1.5306122448979591</v>
      </c>
      <c r="L19" s="1095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82">
        <v>3</v>
      </c>
      <c r="AX19" s="982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8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4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40">
        <v>46291</v>
      </c>
      <c r="G20" s="1141">
        <v>0.52083333333333337</v>
      </c>
      <c r="H20" s="955">
        <v>46292</v>
      </c>
      <c r="I20" s="1141">
        <v>0.625</v>
      </c>
      <c r="J20" s="451">
        <v>917</v>
      </c>
      <c r="K20" s="1142">
        <f t="shared" si="7"/>
        <v>1.6357688113413305</v>
      </c>
      <c r="L20" s="1142"/>
      <c r="M20" s="1143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7">
        <f>AVERAGE('Milling and Leach Feed'!T55:T59)</f>
        <v>0.7294666666666666</v>
      </c>
      <c r="Y20" s="1147">
        <f>AVERAGE('Milling and Leach Feed'!U55:U59)</f>
        <v>1.3033333333333335</v>
      </c>
      <c r="Z20" s="1147">
        <f>AVERAGE('Milling and Leach Feed'!V55:V59)</f>
        <v>18.880000000000003</v>
      </c>
      <c r="AA20" s="1147">
        <f>SUM('Milling and Leach Feed'!W55:W59)/'Au Cal Leaching Tank'!$O$20</f>
        <v>0.68413819284746402</v>
      </c>
      <c r="AB20" s="1147">
        <f>SUM('Milling and Leach Feed'!X55:X58)/'Au Cal Leaching Tank'!$O$20</f>
        <v>1.4868757002764379</v>
      </c>
      <c r="AC20" s="1147">
        <f>SUM('Milling and Leach Feed'!Y55:Y58)/'Au Cal Leaching Tank'!$O$20</f>
        <v>17.856298210974828</v>
      </c>
      <c r="AD20" s="1147">
        <f>X20-AA20</f>
        <v>4.5328473819202575E-2</v>
      </c>
      <c r="AE20" s="1026">
        <f t="shared" si="33"/>
        <v>1.6032936472354233E-2</v>
      </c>
      <c r="AF20" s="1147">
        <f>'LT Floculation'!G16</f>
        <v>0.13305555555555554</v>
      </c>
      <c r="AG20" s="1147">
        <f>'LT Floculation'!H16</f>
        <v>0.65888888888888886</v>
      </c>
      <c r="AH20" s="1147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6">
        <f t="shared" si="26"/>
        <v>0.71274456693932797</v>
      </c>
      <c r="AU20" s="1026">
        <f>IFERROR((AM20-AP20)/AM20,"")</f>
        <v>0.494458653026428</v>
      </c>
      <c r="AV20" s="1026">
        <f t="shared" ref="AV20" si="67">IFERROR((AN20-AQ20)/AN20,"")</f>
        <v>0.14577292823445687</v>
      </c>
      <c r="AW20" s="1027">
        <v>2</v>
      </c>
      <c r="AX20" s="1027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6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768</v>
      </c>
      <c r="I21" s="102">
        <v>0.58333333333333337</v>
      </c>
      <c r="J21" s="13">
        <v>971</v>
      </c>
      <c r="K21" s="13">
        <v>1.2</v>
      </c>
      <c r="L21" s="419">
        <f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X21-AA21</f>
        <v>-1.4548095642693437E-2</v>
      </c>
      <c r="AE21" s="38">
        <f t="shared" si="33"/>
        <v>-6.0897119410072541E-3</v>
      </c>
      <c r="AF21" s="133">
        <v>0.128</v>
      </c>
      <c r="AG21" s="133">
        <v>0.94</v>
      </c>
      <c r="AH21" s="133">
        <v>20.77</v>
      </c>
      <c r="AI21" s="133">
        <v>0.04</v>
      </c>
      <c r="AJ21" s="6"/>
      <c r="AK21" s="6"/>
      <c r="AL21" s="39">
        <f t="shared" ref="AL21" si="70">$O21*X21</f>
        <v>227.26259358000001</v>
      </c>
      <c r="AM21" s="39">
        <f t="shared" ref="AM21" si="71">$O21*Y21</f>
        <v>531.97860060000005</v>
      </c>
      <c r="AN21" s="39">
        <f>$O21*AC21</f>
        <v>6492.3626531110931</v>
      </c>
      <c r="AO21" s="39">
        <f t="shared" ref="AO21" si="72">AF21*$O21</f>
        <v>49.307212800000009</v>
      </c>
      <c r="AP21" s="39">
        <f t="shared" ref="AP21" si="73">AG21*$O21</f>
        <v>362.09984400000002</v>
      </c>
      <c r="AQ21" s="39">
        <f t="shared" ref="AQ21" si="74">AH21*$O21</f>
        <v>8000.865702000001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 t="shared" si="28"/>
        <v>-0.23235039838171148</v>
      </c>
      <c r="AW21" s="982">
        <v>3</v>
      </c>
      <c r="AX21" s="982"/>
      <c r="AY21" s="13">
        <v>1.5</v>
      </c>
      <c r="AZ21" s="39">
        <f>(BD11+BD13+BD15+BD17+BD19+BD21)/$AY$21</f>
        <v>752.6636551141205</v>
      </c>
      <c r="BA21" s="39">
        <f t="shared" ref="BA21:BB21" si="75">(BE11+BE13+BE15+BE17+BE19+BE21)/$AY$21</f>
        <v>628.37515860462975</v>
      </c>
      <c r="BB21" s="39">
        <f t="shared" si="75"/>
        <v>155.21357061681024</v>
      </c>
      <c r="BC21" s="938">
        <v>12</v>
      </c>
      <c r="BD21" s="39">
        <f>IFERROR((AL21-AO21-AR21),"")</f>
        <v>147.25624478</v>
      </c>
      <c r="BE21" s="39">
        <f t="shared" ref="BE21" si="76">(AM21-AP21)</f>
        <v>169.87875660000003</v>
      </c>
      <c r="BF21" s="39">
        <f>(AN21-AQ21)</f>
        <v>-1508.5030488889079</v>
      </c>
      <c r="BG21" s="6"/>
      <c r="BH21" s="6"/>
      <c r="BI21" s="6"/>
      <c r="BJ21" s="6"/>
      <c r="BK21" s="6"/>
      <c r="BL21" s="6"/>
    </row>
    <row r="22" spans="1:66" s="954" customFormat="1" x14ac:dyDescent="0.3">
      <c r="B22" s="451">
        <v>13</v>
      </c>
      <c r="C22" s="452"/>
      <c r="D22" s="452"/>
      <c r="E22" s="451">
        <v>2</v>
      </c>
      <c r="F22" s="451"/>
      <c r="G22" s="452"/>
      <c r="H22" s="452"/>
      <c r="I22" s="452"/>
      <c r="J22" s="451"/>
      <c r="K22" s="451"/>
      <c r="L22" s="451"/>
      <c r="M22" s="451"/>
      <c r="N22" s="452"/>
      <c r="O22" s="452"/>
      <c r="P22" s="451"/>
      <c r="Q22" s="451">
        <v>2</v>
      </c>
      <c r="R22" s="451"/>
      <c r="S22" s="451"/>
      <c r="T22" s="451">
        <v>108</v>
      </c>
      <c r="U22" s="452"/>
      <c r="V22" s="673" t="str">
        <f t="shared" si="45"/>
        <v/>
      </c>
      <c r="W22" s="452"/>
      <c r="X22" s="452"/>
      <c r="Y22" s="452"/>
      <c r="Z22" s="452"/>
      <c r="AA22" s="452"/>
      <c r="AB22" s="452"/>
      <c r="AC22" s="452"/>
      <c r="AD22" s="452"/>
      <c r="AE22" s="452"/>
      <c r="AF22" s="452"/>
      <c r="AG22" s="452"/>
      <c r="AH22" s="452"/>
      <c r="AI22" s="452"/>
      <c r="AJ22" s="452"/>
      <c r="AK22" s="452"/>
      <c r="AL22" s="452"/>
      <c r="AM22" s="452"/>
      <c r="AN22" s="452"/>
      <c r="AO22" s="452"/>
      <c r="AP22" s="452"/>
      <c r="AQ22" s="452"/>
      <c r="AR22" s="452"/>
      <c r="AS22" s="673">
        <v>13</v>
      </c>
      <c r="AT22" s="1026" t="str">
        <f t="shared" si="26"/>
        <v/>
      </c>
      <c r="AU22" s="1026" t="str">
        <f t="shared" si="27"/>
        <v/>
      </c>
      <c r="AV22" s="1026" t="str">
        <f t="shared" si="28"/>
        <v/>
      </c>
      <c r="AW22" s="1027">
        <v>2</v>
      </c>
      <c r="AX22" s="1027"/>
      <c r="AY22" s="451">
        <v>1.5</v>
      </c>
      <c r="AZ22" s="452"/>
      <c r="BA22" s="452"/>
      <c r="BB22" s="1028"/>
      <c r="BC22" s="1028"/>
      <c r="BD22" s="673">
        <f t="shared" ref="BD22:BD59" si="77">IFERROR((AL22-AO22-AR22),"")</f>
        <v>0</v>
      </c>
      <c r="BE22" s="673">
        <f t="shared" si="69"/>
        <v>0</v>
      </c>
      <c r="BF22" s="673">
        <f t="shared" ref="BF22:BF59" si="78">(AN22-AQ22)</f>
        <v>0</v>
      </c>
      <c r="BG22" s="452"/>
      <c r="BH22" s="452"/>
      <c r="BI22" s="1174"/>
      <c r="BJ22" s="452"/>
      <c r="BK22" s="452"/>
      <c r="BL22" s="452"/>
    </row>
    <row r="23" spans="1:66" x14ac:dyDescent="0.3">
      <c r="B23" s="13">
        <v>14</v>
      </c>
      <c r="C23" s="6"/>
      <c r="D23" s="6"/>
      <c r="E23" s="13">
        <v>3</v>
      </c>
      <c r="F23" s="13"/>
      <c r="G23" s="6"/>
      <c r="H23" s="6"/>
      <c r="I23" s="6"/>
      <c r="J23" s="13"/>
      <c r="K23" s="13"/>
      <c r="L23" s="13"/>
      <c r="M23" s="13"/>
      <c r="N23" s="6"/>
      <c r="O23" s="6"/>
      <c r="P23" s="13"/>
      <c r="Q23" s="13">
        <v>3</v>
      </c>
      <c r="R23" s="13"/>
      <c r="S23" s="13"/>
      <c r="T23" s="13">
        <v>108</v>
      </c>
      <c r="U23" s="6"/>
      <c r="V23" s="39" t="str">
        <f t="shared" si="45"/>
        <v/>
      </c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39">
        <v>14</v>
      </c>
      <c r="AT23" s="38" t="str">
        <f t="shared" si="26"/>
        <v/>
      </c>
      <c r="AU23" s="38" t="str">
        <f t="shared" si="27"/>
        <v/>
      </c>
      <c r="AV23" s="38" t="str">
        <f t="shared" si="28"/>
        <v/>
      </c>
      <c r="AW23" s="982">
        <v>3</v>
      </c>
      <c r="AX23" s="982"/>
      <c r="AY23" s="13">
        <v>1.5</v>
      </c>
      <c r="AZ23" s="6"/>
      <c r="BA23" s="6"/>
      <c r="BB23" s="215"/>
      <c r="BC23" s="215"/>
      <c r="BD23" s="39">
        <f t="shared" si="77"/>
        <v>0</v>
      </c>
      <c r="BE23" s="39">
        <f t="shared" si="69"/>
        <v>0</v>
      </c>
      <c r="BF23" s="39">
        <f t="shared" si="78"/>
        <v>0</v>
      </c>
      <c r="BG23" s="6"/>
      <c r="BH23" s="6"/>
      <c r="BI23" s="6"/>
      <c r="BJ23" s="6"/>
      <c r="BK23" s="6"/>
      <c r="BL23" s="6"/>
    </row>
    <row r="24" spans="1:66" s="954" customFormat="1" x14ac:dyDescent="0.3">
      <c r="B24" s="451">
        <v>15</v>
      </c>
      <c r="C24" s="452"/>
      <c r="D24" s="452"/>
      <c r="E24" s="451">
        <v>2</v>
      </c>
      <c r="F24" s="451"/>
      <c r="G24" s="452"/>
      <c r="H24" s="452"/>
      <c r="I24" s="452"/>
      <c r="J24" s="451"/>
      <c r="K24" s="451"/>
      <c r="L24" s="451"/>
      <c r="M24" s="451"/>
      <c r="N24" s="452"/>
      <c r="O24" s="452"/>
      <c r="P24" s="451"/>
      <c r="Q24" s="451">
        <v>2</v>
      </c>
      <c r="R24" s="451"/>
      <c r="S24" s="451"/>
      <c r="T24" s="451">
        <v>108</v>
      </c>
      <c r="U24" s="452"/>
      <c r="V24" s="673" t="str">
        <f t="shared" si="45"/>
        <v/>
      </c>
      <c r="W24" s="452"/>
      <c r="X24" s="452"/>
      <c r="Y24" s="452"/>
      <c r="Z24" s="452"/>
      <c r="AA24" s="452"/>
      <c r="AB24" s="452"/>
      <c r="AC24" s="452"/>
      <c r="AD24" s="452"/>
      <c r="AE24" s="452"/>
      <c r="AF24" s="452"/>
      <c r="AG24" s="452"/>
      <c r="AH24" s="452"/>
      <c r="AI24" s="452"/>
      <c r="AJ24" s="452"/>
      <c r="AK24" s="452"/>
      <c r="AM24" s="452"/>
      <c r="AN24" s="452"/>
      <c r="AO24" s="452"/>
      <c r="AP24" s="452"/>
      <c r="AQ24" s="452"/>
      <c r="AR24" s="452"/>
      <c r="AS24" s="673">
        <v>15</v>
      </c>
      <c r="AT24" s="1026" t="str">
        <f t="shared" si="26"/>
        <v/>
      </c>
      <c r="AU24" s="1026" t="str">
        <f t="shared" si="27"/>
        <v/>
      </c>
      <c r="AV24" s="1026" t="str">
        <f t="shared" si="28"/>
        <v/>
      </c>
      <c r="AW24" s="1029"/>
      <c r="AX24" s="1029"/>
      <c r="AY24" s="451"/>
      <c r="AZ24" s="452"/>
      <c r="BA24" s="452"/>
      <c r="BB24" s="1028"/>
      <c r="BC24" s="1028"/>
      <c r="BD24" s="673">
        <f t="shared" si="77"/>
        <v>0</v>
      </c>
      <c r="BE24" s="673">
        <f t="shared" si="69"/>
        <v>0</v>
      </c>
      <c r="BF24" s="673">
        <f t="shared" si="78"/>
        <v>0</v>
      </c>
      <c r="BG24" s="452"/>
      <c r="BH24" s="452"/>
      <c r="BI24" s="452"/>
      <c r="BJ24" s="452"/>
      <c r="BK24" s="452"/>
      <c r="BL24" s="452"/>
    </row>
    <row r="25" spans="1:66" x14ac:dyDescent="0.3">
      <c r="B25" s="13">
        <v>16</v>
      </c>
      <c r="C25" s="6"/>
      <c r="D25" s="6"/>
      <c r="E25" s="13">
        <v>3</v>
      </c>
      <c r="F25" s="13"/>
      <c r="G25" s="6"/>
      <c r="H25" s="6"/>
      <c r="I25" s="6"/>
      <c r="J25" s="13"/>
      <c r="K25" s="13"/>
      <c r="L25" s="13"/>
      <c r="M25" s="13"/>
      <c r="N25" s="6"/>
      <c r="O25" s="6"/>
      <c r="P25" s="13"/>
      <c r="Q25" s="13">
        <v>3</v>
      </c>
      <c r="R25" s="13"/>
      <c r="S25" s="13"/>
      <c r="T25" s="13">
        <v>108</v>
      </c>
      <c r="U25" s="6"/>
      <c r="V25" s="39" t="str">
        <f t="shared" si="45"/>
        <v/>
      </c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39">
        <v>16</v>
      </c>
      <c r="AT25" s="38" t="str">
        <f t="shared" si="26"/>
        <v/>
      </c>
      <c r="AU25" s="38" t="str">
        <f t="shared" si="27"/>
        <v/>
      </c>
      <c r="AV25" s="38" t="str">
        <f t="shared" si="28"/>
        <v/>
      </c>
      <c r="AW25" s="227"/>
      <c r="AX25" s="227"/>
      <c r="AY25" s="13"/>
      <c r="AZ25" s="6"/>
      <c r="BA25" s="6"/>
      <c r="BB25" s="215"/>
      <c r="BC25" s="215"/>
      <c r="BD25" s="39">
        <f t="shared" si="77"/>
        <v>0</v>
      </c>
      <c r="BE25" s="39">
        <f t="shared" si="69"/>
        <v>0</v>
      </c>
      <c r="BF25" s="39">
        <f t="shared" si="78"/>
        <v>0</v>
      </c>
      <c r="BG25" s="6"/>
      <c r="BH25" s="6"/>
      <c r="BI25" s="6"/>
      <c r="BJ25" s="6"/>
      <c r="BK25" s="6"/>
      <c r="BL25" s="6"/>
    </row>
    <row r="26" spans="1:66" s="954" customFormat="1" x14ac:dyDescent="0.3">
      <c r="B26" s="451">
        <v>17</v>
      </c>
      <c r="C26" s="452"/>
      <c r="D26" s="452"/>
      <c r="E26" s="451">
        <v>2</v>
      </c>
      <c r="F26" s="451"/>
      <c r="G26" s="452"/>
      <c r="H26" s="452"/>
      <c r="I26" s="452"/>
      <c r="J26" s="451"/>
      <c r="K26" s="451"/>
      <c r="L26" s="451"/>
      <c r="M26" s="451"/>
      <c r="N26" s="452"/>
      <c r="O26" s="452"/>
      <c r="P26" s="451"/>
      <c r="Q26" s="451">
        <v>2</v>
      </c>
      <c r="R26" s="451"/>
      <c r="S26" s="451"/>
      <c r="T26" s="451">
        <v>108</v>
      </c>
      <c r="U26" s="452"/>
      <c r="V26" s="673" t="str">
        <f t="shared" si="45"/>
        <v/>
      </c>
      <c r="W26" s="452"/>
      <c r="X26" s="452"/>
      <c r="Y26" s="452"/>
      <c r="Z26" s="452"/>
      <c r="AA26" s="452"/>
      <c r="AB26" s="452"/>
      <c r="AC26" s="452"/>
      <c r="AD26" s="452"/>
      <c r="AE26" s="452"/>
      <c r="AF26" s="452"/>
      <c r="AG26" s="452"/>
      <c r="AH26" s="452"/>
      <c r="AI26" s="452"/>
      <c r="AJ26" s="452"/>
      <c r="AK26" s="452"/>
      <c r="AL26" s="452"/>
      <c r="AM26" s="452"/>
      <c r="AN26" s="452"/>
      <c r="AO26" s="452"/>
      <c r="AP26" s="452"/>
      <c r="AQ26" s="452"/>
      <c r="AR26" s="452"/>
      <c r="AS26" s="673">
        <v>17</v>
      </c>
      <c r="AT26" s="1026" t="str">
        <f t="shared" si="26"/>
        <v/>
      </c>
      <c r="AU26" s="1026" t="str">
        <f t="shared" si="27"/>
        <v/>
      </c>
      <c r="AV26" s="1026" t="str">
        <f t="shared" si="28"/>
        <v/>
      </c>
      <c r="AW26" s="1029"/>
      <c r="AX26" s="1029"/>
      <c r="AY26" s="451"/>
      <c r="AZ26" s="452"/>
      <c r="BA26" s="452"/>
      <c r="BB26" s="1028"/>
      <c r="BC26" s="1028"/>
      <c r="BD26" s="673">
        <f t="shared" si="77"/>
        <v>0</v>
      </c>
      <c r="BE26" s="673">
        <f t="shared" si="69"/>
        <v>0</v>
      </c>
      <c r="BF26" s="673">
        <f t="shared" si="78"/>
        <v>0</v>
      </c>
      <c r="BG26" s="452"/>
      <c r="BH26" s="452"/>
      <c r="BI26" s="452"/>
      <c r="BJ26" s="452"/>
      <c r="BK26" s="452"/>
      <c r="BL26" s="452"/>
    </row>
    <row r="27" spans="1:66" x14ac:dyDescent="0.3">
      <c r="B27" s="13">
        <v>18</v>
      </c>
      <c r="C27" s="6"/>
      <c r="D27" s="6"/>
      <c r="E27" s="13">
        <v>3</v>
      </c>
      <c r="F27" s="13"/>
      <c r="G27" s="6"/>
      <c r="H27" s="6"/>
      <c r="I27" s="6"/>
      <c r="J27" s="13"/>
      <c r="K27" s="13"/>
      <c r="L27" s="13"/>
      <c r="M27" s="13"/>
      <c r="N27" s="6"/>
      <c r="O27" s="6"/>
      <c r="P27" s="13"/>
      <c r="Q27" s="13">
        <v>3</v>
      </c>
      <c r="R27" s="13"/>
      <c r="S27" s="13"/>
      <c r="T27" s="13">
        <v>108</v>
      </c>
      <c r="U27" s="6"/>
      <c r="V27" s="39" t="str">
        <f t="shared" si="45"/>
        <v/>
      </c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39">
        <v>18</v>
      </c>
      <c r="AT27" s="38" t="str">
        <f t="shared" si="26"/>
        <v/>
      </c>
      <c r="AU27" s="38" t="str">
        <f t="shared" si="27"/>
        <v/>
      </c>
      <c r="AV27" s="38" t="str">
        <f t="shared" si="28"/>
        <v/>
      </c>
      <c r="AW27" s="227"/>
      <c r="AX27" s="227"/>
      <c r="AY27" s="13"/>
      <c r="AZ27" s="6"/>
      <c r="BA27" s="6"/>
      <c r="BB27" s="215"/>
      <c r="BC27" s="215"/>
      <c r="BD27" s="39">
        <f t="shared" si="77"/>
        <v>0</v>
      </c>
      <c r="BE27" s="39">
        <f t="shared" si="69"/>
        <v>0</v>
      </c>
      <c r="BF27" s="39">
        <f t="shared" si="78"/>
        <v>0</v>
      </c>
      <c r="BG27" s="6"/>
      <c r="BH27" s="6"/>
      <c r="BI27" s="6"/>
      <c r="BJ27" s="6"/>
      <c r="BK27" s="6"/>
      <c r="BL27" s="6"/>
    </row>
    <row r="28" spans="1:66" s="954" customFormat="1" x14ac:dyDescent="0.3">
      <c r="B28" s="451">
        <v>19</v>
      </c>
      <c r="C28" s="452"/>
      <c r="D28" s="452"/>
      <c r="E28" s="451">
        <v>2</v>
      </c>
      <c r="F28" s="451"/>
      <c r="G28" s="452"/>
      <c r="H28" s="452"/>
      <c r="I28" s="452"/>
      <c r="J28" s="451"/>
      <c r="K28" s="451"/>
      <c r="L28" s="451"/>
      <c r="M28" s="451"/>
      <c r="N28" s="452"/>
      <c r="O28" s="452"/>
      <c r="P28" s="451"/>
      <c r="Q28" s="451">
        <v>2</v>
      </c>
      <c r="R28" s="451"/>
      <c r="S28" s="451"/>
      <c r="T28" s="451">
        <v>108</v>
      </c>
      <c r="U28" s="452"/>
      <c r="V28" s="673" t="str">
        <f t="shared" si="45"/>
        <v/>
      </c>
      <c r="W28" s="452"/>
      <c r="X28" s="452"/>
      <c r="Y28" s="452"/>
      <c r="Z28" s="452"/>
      <c r="AA28" s="452"/>
      <c r="AB28" s="452"/>
      <c r="AC28" s="452"/>
      <c r="AD28" s="452"/>
      <c r="AE28" s="452"/>
      <c r="AF28" s="452"/>
      <c r="AG28" s="452"/>
      <c r="AH28" s="452"/>
      <c r="AI28" s="452"/>
      <c r="AJ28" s="452"/>
      <c r="AK28" s="452"/>
      <c r="AL28" s="452"/>
      <c r="AM28" s="452"/>
      <c r="AN28" s="452"/>
      <c r="AO28" s="452"/>
      <c r="AP28" s="452"/>
      <c r="AQ28" s="452"/>
      <c r="AR28" s="452"/>
      <c r="AS28" s="673">
        <v>19</v>
      </c>
      <c r="AT28" s="1026" t="str">
        <f t="shared" si="26"/>
        <v/>
      </c>
      <c r="AU28" s="1026" t="str">
        <f t="shared" si="27"/>
        <v/>
      </c>
      <c r="AV28" s="1026" t="str">
        <f t="shared" si="28"/>
        <v/>
      </c>
      <c r="AW28" s="1029"/>
      <c r="AX28" s="1029"/>
      <c r="AY28" s="451"/>
      <c r="AZ28" s="452"/>
      <c r="BA28" s="452"/>
      <c r="BB28" s="1028"/>
      <c r="BC28" s="1028"/>
      <c r="BD28" s="673">
        <f t="shared" si="77"/>
        <v>0</v>
      </c>
      <c r="BE28" s="673">
        <f t="shared" si="69"/>
        <v>0</v>
      </c>
      <c r="BF28" s="673">
        <f t="shared" si="78"/>
        <v>0</v>
      </c>
      <c r="BG28" s="452"/>
      <c r="BH28" s="452"/>
      <c r="BI28" s="452"/>
      <c r="BJ28" s="452"/>
      <c r="BK28" s="452"/>
      <c r="BL28" s="452"/>
    </row>
    <row r="29" spans="1:66" x14ac:dyDescent="0.3">
      <c r="B29" s="13">
        <v>20</v>
      </c>
      <c r="C29" s="6"/>
      <c r="D29" s="6"/>
      <c r="E29" s="13">
        <v>3</v>
      </c>
      <c r="F29" s="13"/>
      <c r="G29" s="6"/>
      <c r="H29" s="6"/>
      <c r="I29" s="6"/>
      <c r="J29" s="13"/>
      <c r="K29" s="13"/>
      <c r="L29" s="13"/>
      <c r="M29" s="13"/>
      <c r="N29" s="6"/>
      <c r="O29" s="6"/>
      <c r="P29" s="13"/>
      <c r="Q29" s="13">
        <v>3</v>
      </c>
      <c r="R29" s="13"/>
      <c r="S29" s="13"/>
      <c r="T29" s="13">
        <v>108</v>
      </c>
      <c r="U29" s="6"/>
      <c r="V29" s="39" t="str">
        <f t="shared" si="45"/>
        <v/>
      </c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39">
        <v>20</v>
      </c>
      <c r="AT29" s="38" t="str">
        <f t="shared" si="26"/>
        <v/>
      </c>
      <c r="AU29" s="38" t="str">
        <f t="shared" si="27"/>
        <v/>
      </c>
      <c r="AV29" s="38" t="str">
        <f t="shared" si="28"/>
        <v/>
      </c>
      <c r="AW29" s="227"/>
      <c r="AX29" s="227"/>
      <c r="AY29" s="13"/>
      <c r="AZ29" s="6"/>
      <c r="BA29" s="6"/>
      <c r="BB29" s="215"/>
      <c r="BC29" s="215"/>
      <c r="BD29" s="39">
        <f t="shared" si="77"/>
        <v>0</v>
      </c>
      <c r="BE29" s="39">
        <f t="shared" si="69"/>
        <v>0</v>
      </c>
      <c r="BF29" s="39">
        <f t="shared" si="78"/>
        <v>0</v>
      </c>
      <c r="BG29" s="6"/>
      <c r="BH29" s="6"/>
      <c r="BI29" s="6"/>
      <c r="BJ29" s="6"/>
      <c r="BK29" s="6"/>
      <c r="BL29" s="6"/>
    </row>
    <row r="30" spans="1:66" s="954" customFormat="1" x14ac:dyDescent="0.3">
      <c r="B30" s="451">
        <v>21</v>
      </c>
      <c r="C30" s="452"/>
      <c r="D30" s="452"/>
      <c r="E30" s="451">
        <v>2</v>
      </c>
      <c r="F30" s="451"/>
      <c r="G30" s="452"/>
      <c r="H30" s="452"/>
      <c r="I30" s="452"/>
      <c r="J30" s="451"/>
      <c r="K30" s="451"/>
      <c r="L30" s="451"/>
      <c r="M30" s="451"/>
      <c r="N30" s="452"/>
      <c r="O30" s="452"/>
      <c r="P30" s="451"/>
      <c r="Q30" s="451">
        <v>2</v>
      </c>
      <c r="R30" s="451"/>
      <c r="S30" s="451"/>
      <c r="T30" s="451">
        <v>108</v>
      </c>
      <c r="U30" s="452"/>
      <c r="V30" s="673" t="str">
        <f t="shared" si="45"/>
        <v/>
      </c>
      <c r="W30" s="452"/>
      <c r="X30" s="452"/>
      <c r="Y30" s="452"/>
      <c r="Z30" s="452"/>
      <c r="AA30" s="452"/>
      <c r="AB30" s="452"/>
      <c r="AC30" s="452"/>
      <c r="AD30" s="452"/>
      <c r="AE30" s="452"/>
      <c r="AF30" s="452"/>
      <c r="AG30" s="452"/>
      <c r="AH30" s="452"/>
      <c r="AI30" s="452"/>
      <c r="AJ30" s="452"/>
      <c r="AK30" s="452"/>
      <c r="AL30" s="452"/>
      <c r="AM30" s="452"/>
      <c r="AN30" s="452"/>
      <c r="AO30" s="452"/>
      <c r="AP30" s="452"/>
      <c r="AQ30" s="452"/>
      <c r="AR30" s="452"/>
      <c r="AS30" s="673">
        <v>21</v>
      </c>
      <c r="AT30" s="1026" t="str">
        <f t="shared" si="26"/>
        <v/>
      </c>
      <c r="AU30" s="1026" t="str">
        <f t="shared" si="27"/>
        <v/>
      </c>
      <c r="AV30" s="1026" t="str">
        <f t="shared" si="28"/>
        <v/>
      </c>
      <c r="AW30" s="1029"/>
      <c r="AX30" s="1029"/>
      <c r="AY30" s="451"/>
      <c r="AZ30" s="452"/>
      <c r="BA30" s="452"/>
      <c r="BB30" s="1028"/>
      <c r="BC30" s="1028"/>
      <c r="BD30" s="673">
        <f t="shared" si="77"/>
        <v>0</v>
      </c>
      <c r="BE30" s="673">
        <f t="shared" si="69"/>
        <v>0</v>
      </c>
      <c r="BF30" s="673">
        <f t="shared" si="78"/>
        <v>0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6"/>
      <c r="D31" s="6"/>
      <c r="E31" s="13">
        <v>3</v>
      </c>
      <c r="F31" s="13"/>
      <c r="G31" s="6"/>
      <c r="H31" s="6"/>
      <c r="I31" s="6"/>
      <c r="J31" s="13"/>
      <c r="K31" s="13"/>
      <c r="L31" s="13"/>
      <c r="M31" s="13"/>
      <c r="N31" s="6"/>
      <c r="O31" s="6"/>
      <c r="P31" s="13"/>
      <c r="Q31" s="13">
        <v>3</v>
      </c>
      <c r="R31" s="13"/>
      <c r="S31" s="13"/>
      <c r="T31" s="13">
        <v>108</v>
      </c>
      <c r="U31" s="6"/>
      <c r="V31" s="39" t="str">
        <f t="shared" si="45"/>
        <v/>
      </c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227"/>
      <c r="AX31" s="227"/>
      <c r="AY31" s="13"/>
      <c r="AZ31" s="6"/>
      <c r="BA31" s="6"/>
      <c r="BB31" s="215"/>
      <c r="BC31" s="215"/>
      <c r="BD31" s="39">
        <f t="shared" si="77"/>
        <v>0</v>
      </c>
      <c r="BE31" s="39">
        <f t="shared" si="69"/>
        <v>0</v>
      </c>
      <c r="BF31" s="39">
        <f t="shared" si="78"/>
        <v>0</v>
      </c>
      <c r="BG31" s="6"/>
      <c r="BH31" s="6"/>
      <c r="BI31" s="6"/>
      <c r="BJ31" s="6"/>
      <c r="BK31" s="6"/>
      <c r="BL31" s="6"/>
    </row>
    <row r="32" spans="1:66" x14ac:dyDescent="0.3">
      <c r="B32" s="451">
        <v>23</v>
      </c>
      <c r="C32" s="6"/>
      <c r="D32" s="6"/>
      <c r="E32" s="451">
        <v>2</v>
      </c>
      <c r="F32" s="13"/>
      <c r="G32" s="6"/>
      <c r="H32" s="6"/>
      <c r="I32" s="6"/>
      <c r="J32" s="13"/>
      <c r="K32" s="13"/>
      <c r="L32" s="13"/>
      <c r="M32" s="13"/>
      <c r="N32" s="6"/>
      <c r="O32" s="6"/>
      <c r="P32" s="13"/>
      <c r="Q32" s="451">
        <v>2</v>
      </c>
      <c r="R32" s="13"/>
      <c r="S32" s="13"/>
      <c r="T32" s="451">
        <v>108</v>
      </c>
      <c r="U32" s="6"/>
      <c r="V32" s="39" t="str">
        <f t="shared" si="45"/>
        <v/>
      </c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459">
        <v>23</v>
      </c>
      <c r="AT32" s="38" t="str">
        <f t="shared" si="26"/>
        <v/>
      </c>
      <c r="AU32" s="38" t="str">
        <f t="shared" si="27"/>
        <v/>
      </c>
      <c r="AV32" s="38" t="str">
        <f t="shared" si="28"/>
        <v/>
      </c>
      <c r="AW32" s="227"/>
      <c r="AX32" s="227"/>
      <c r="AY32" s="13"/>
      <c r="AZ32" s="6"/>
      <c r="BA32" s="6"/>
      <c r="BB32" s="215"/>
      <c r="BC32" s="215"/>
      <c r="BD32" s="673">
        <f t="shared" si="77"/>
        <v>0</v>
      </c>
      <c r="BE32" s="673">
        <f t="shared" si="69"/>
        <v>0</v>
      </c>
      <c r="BF32" s="673">
        <f t="shared" si="78"/>
        <v>0</v>
      </c>
      <c r="BG32" s="6"/>
      <c r="BH32" s="6"/>
      <c r="BI32" s="6"/>
      <c r="BJ32" s="6"/>
      <c r="BK32" s="6"/>
      <c r="BL32" s="6"/>
    </row>
    <row r="33" spans="2:64" x14ac:dyDescent="0.3">
      <c r="B33" s="13">
        <v>24</v>
      </c>
      <c r="C33" s="6"/>
      <c r="D33" s="6"/>
      <c r="E33" s="13">
        <v>3</v>
      </c>
      <c r="F33" s="13"/>
      <c r="G33" s="6"/>
      <c r="H33" s="6"/>
      <c r="I33" s="6"/>
      <c r="J33" s="13"/>
      <c r="K33" s="13"/>
      <c r="L33" s="13"/>
      <c r="M33" s="13"/>
      <c r="N33" s="6"/>
      <c r="O33" s="6"/>
      <c r="P33" s="13"/>
      <c r="Q33" s="13">
        <v>3</v>
      </c>
      <c r="R33" s="13"/>
      <c r="S33" s="13"/>
      <c r="T33" s="13">
        <v>108</v>
      </c>
      <c r="U33" s="6"/>
      <c r="V33" s="39" t="str">
        <f t="shared" si="45"/>
        <v/>
      </c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227"/>
      <c r="AX33" s="227"/>
      <c r="AY33" s="13"/>
      <c r="AZ33" s="6"/>
      <c r="BA33" s="6"/>
      <c r="BB33" s="215"/>
      <c r="BC33" s="215"/>
      <c r="BD33" s="39">
        <f t="shared" si="77"/>
        <v>0</v>
      </c>
      <c r="BE33" s="39">
        <f t="shared" si="69"/>
        <v>0</v>
      </c>
      <c r="BF33" s="39">
        <f t="shared" si="78"/>
        <v>0</v>
      </c>
      <c r="BG33" s="6"/>
      <c r="BH33" s="6"/>
      <c r="BI33" s="6"/>
      <c r="BJ33" s="6"/>
      <c r="BK33" s="6"/>
      <c r="BL33" s="6"/>
    </row>
    <row r="34" spans="2:64" x14ac:dyDescent="0.3">
      <c r="B34" s="451">
        <v>25</v>
      </c>
      <c r="C34" s="6"/>
      <c r="D34" s="6"/>
      <c r="E34" s="451">
        <v>2</v>
      </c>
      <c r="F34" s="13"/>
      <c r="G34" s="6"/>
      <c r="H34" s="6"/>
      <c r="I34" s="6"/>
      <c r="J34" s="13"/>
      <c r="K34" s="13"/>
      <c r="L34" s="13"/>
      <c r="M34" s="13"/>
      <c r="N34" s="6"/>
      <c r="O34" s="6"/>
      <c r="P34" s="13"/>
      <c r="Q34" s="451">
        <v>2</v>
      </c>
      <c r="R34" s="13"/>
      <c r="S34" s="13"/>
      <c r="T34" s="451">
        <v>108</v>
      </c>
      <c r="U34" s="6"/>
      <c r="V34" s="39" t="str">
        <f t="shared" si="45"/>
        <v/>
      </c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39">
        <v>25</v>
      </c>
      <c r="AT34" s="38" t="str">
        <f t="shared" si="26"/>
        <v/>
      </c>
      <c r="AU34" s="38" t="str">
        <f t="shared" si="27"/>
        <v/>
      </c>
      <c r="AV34" s="38" t="str">
        <f t="shared" si="28"/>
        <v/>
      </c>
      <c r="AW34" s="227"/>
      <c r="AX34" s="227"/>
      <c r="AY34" s="13"/>
      <c r="AZ34" s="6"/>
      <c r="BA34" s="6"/>
      <c r="BB34" s="215"/>
      <c r="BC34" s="215"/>
      <c r="BD34" s="673">
        <f t="shared" si="77"/>
        <v>0</v>
      </c>
      <c r="BE34" s="673">
        <f t="shared" si="69"/>
        <v>0</v>
      </c>
      <c r="BF34" s="673">
        <f t="shared" si="78"/>
        <v>0</v>
      </c>
      <c r="BG34" s="6"/>
      <c r="BH34" s="6"/>
      <c r="BI34" s="6"/>
      <c r="BJ34" s="6"/>
      <c r="BK34" s="6"/>
      <c r="BL34" s="6"/>
    </row>
    <row r="35" spans="2:64" x14ac:dyDescent="0.3">
      <c r="B35" s="13">
        <v>26</v>
      </c>
      <c r="C35" s="6"/>
      <c r="D35" s="6"/>
      <c r="E35" s="13">
        <v>3</v>
      </c>
      <c r="F35" s="13"/>
      <c r="G35" s="6"/>
      <c r="H35" s="6"/>
      <c r="I35" s="6"/>
      <c r="J35" s="13"/>
      <c r="K35" s="13"/>
      <c r="L35" s="13"/>
      <c r="M35" s="13"/>
      <c r="N35" s="6"/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227"/>
      <c r="AX35" s="227"/>
      <c r="AY35" s="13"/>
      <c r="AZ35" s="6"/>
      <c r="BA35" s="6"/>
      <c r="BB35" s="215"/>
      <c r="BC35" s="215"/>
      <c r="BD35" s="39">
        <f t="shared" si="77"/>
        <v>0</v>
      </c>
      <c r="BE35" s="39">
        <f t="shared" si="69"/>
        <v>0</v>
      </c>
      <c r="BF35" s="39">
        <f t="shared" si="78"/>
        <v>0</v>
      </c>
      <c r="BG35" s="6"/>
      <c r="BH35" s="6"/>
      <c r="BI35" s="6"/>
      <c r="BJ35" s="6"/>
      <c r="BK35" s="6"/>
      <c r="BL35" s="6"/>
    </row>
    <row r="36" spans="2:64" x14ac:dyDescent="0.3">
      <c r="B36" s="451">
        <v>27</v>
      </c>
      <c r="C36" s="6"/>
      <c r="D36" s="6"/>
      <c r="E36" s="451">
        <v>2</v>
      </c>
      <c r="F36" s="13"/>
      <c r="G36" s="6"/>
      <c r="H36" s="6"/>
      <c r="I36" s="6"/>
      <c r="J36" s="13"/>
      <c r="K36" s="13"/>
      <c r="L36" s="13"/>
      <c r="M36" s="13"/>
      <c r="N36" s="6"/>
      <c r="O36" s="6"/>
      <c r="P36" s="13"/>
      <c r="Q36" s="451">
        <v>2</v>
      </c>
      <c r="R36" s="13"/>
      <c r="S36" s="13"/>
      <c r="T36" s="451">
        <v>108</v>
      </c>
      <c r="U36" s="6"/>
      <c r="V36" s="39" t="str">
        <f t="shared" si="45"/>
        <v/>
      </c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39">
        <v>27</v>
      </c>
      <c r="AT36" s="38" t="str">
        <f t="shared" si="26"/>
        <v/>
      </c>
      <c r="AU36" s="38" t="str">
        <f t="shared" si="27"/>
        <v/>
      </c>
      <c r="AV36" s="38" t="str">
        <f t="shared" si="28"/>
        <v/>
      </c>
      <c r="AW36" s="227"/>
      <c r="AX36" s="227"/>
      <c r="AY36" s="13"/>
      <c r="AZ36" s="6"/>
      <c r="BA36" s="6"/>
      <c r="BB36" s="215"/>
      <c r="BC36" s="215"/>
      <c r="BD36" s="673">
        <f t="shared" si="77"/>
        <v>0</v>
      </c>
      <c r="BE36" s="673">
        <f t="shared" si="69"/>
        <v>0</v>
      </c>
      <c r="BF36" s="673">
        <f t="shared" si="78"/>
        <v>0</v>
      </c>
      <c r="BG36" s="6"/>
      <c r="BH36" s="6"/>
      <c r="BI36" s="6"/>
      <c r="BJ36" s="6"/>
      <c r="BK36" s="6"/>
      <c r="BL36" s="6"/>
    </row>
    <row r="37" spans="2:64" x14ac:dyDescent="0.3">
      <c r="B37" s="13">
        <v>28</v>
      </c>
      <c r="C37" s="6"/>
      <c r="D37" s="6"/>
      <c r="E37" s="13">
        <v>3</v>
      </c>
      <c r="F37" s="13"/>
      <c r="G37" s="6"/>
      <c r="H37" s="6"/>
      <c r="I37" s="6"/>
      <c r="J37" s="13"/>
      <c r="K37" s="13"/>
      <c r="L37" s="13"/>
      <c r="M37" s="13"/>
      <c r="N37" s="6"/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227"/>
      <c r="AX37" s="227"/>
      <c r="AY37" s="13"/>
      <c r="AZ37" s="6"/>
      <c r="BA37" s="6"/>
      <c r="BB37" s="215"/>
      <c r="BC37" s="215"/>
      <c r="BD37" s="39">
        <f t="shared" si="77"/>
        <v>0</v>
      </c>
      <c r="BE37" s="39">
        <f t="shared" si="69"/>
        <v>0</v>
      </c>
      <c r="BF37" s="39">
        <f t="shared" si="78"/>
        <v>0</v>
      </c>
      <c r="BG37" s="6"/>
      <c r="BH37" s="6"/>
      <c r="BI37" s="6"/>
      <c r="BJ37" s="6"/>
      <c r="BK37" s="6"/>
      <c r="BL37" s="6"/>
    </row>
    <row r="38" spans="2:64" x14ac:dyDescent="0.3">
      <c r="B38" s="451">
        <v>29</v>
      </c>
      <c r="C38" s="6"/>
      <c r="D38" s="6"/>
      <c r="E38" s="451">
        <v>2</v>
      </c>
      <c r="F38" s="13"/>
      <c r="G38" s="6"/>
      <c r="H38" s="6"/>
      <c r="I38" s="6"/>
      <c r="J38" s="13"/>
      <c r="K38" s="13"/>
      <c r="L38" s="13"/>
      <c r="M38" s="13"/>
      <c r="N38" s="6"/>
      <c r="O38" s="6"/>
      <c r="P38" s="13"/>
      <c r="Q38" s="451">
        <v>2</v>
      </c>
      <c r="R38" s="13"/>
      <c r="S38" s="13"/>
      <c r="T38" s="451">
        <v>108</v>
      </c>
      <c r="U38" s="6"/>
      <c r="V38" s="39" t="str">
        <f t="shared" si="45"/>
        <v/>
      </c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459">
        <v>29</v>
      </c>
      <c r="AT38" s="38" t="str">
        <f t="shared" si="26"/>
        <v/>
      </c>
      <c r="AU38" s="38" t="str">
        <f t="shared" si="27"/>
        <v/>
      </c>
      <c r="AV38" s="38" t="str">
        <f t="shared" si="28"/>
        <v/>
      </c>
      <c r="AW38" s="227"/>
      <c r="AX38" s="227"/>
      <c r="AY38" s="13"/>
      <c r="AZ38" s="6"/>
      <c r="BA38" s="6"/>
      <c r="BB38" s="215"/>
      <c r="BC38" s="215"/>
      <c r="BD38" s="673">
        <f t="shared" si="77"/>
        <v>0</v>
      </c>
      <c r="BE38" s="673">
        <f t="shared" si="69"/>
        <v>0</v>
      </c>
      <c r="BF38" s="673">
        <f t="shared" si="78"/>
        <v>0</v>
      </c>
      <c r="BG38" s="6"/>
      <c r="BH38" s="6"/>
      <c r="BI38" s="6"/>
      <c r="BJ38" s="6"/>
      <c r="BK38" s="6"/>
      <c r="BL38" s="6"/>
    </row>
    <row r="39" spans="2:64" x14ac:dyDescent="0.3">
      <c r="B39" s="13">
        <v>30</v>
      </c>
      <c r="C39" s="6"/>
      <c r="D39" s="6"/>
      <c r="E39" s="13">
        <v>3</v>
      </c>
      <c r="F39" s="13"/>
      <c r="G39" s="6"/>
      <c r="H39" s="6"/>
      <c r="I39" s="6"/>
      <c r="J39" s="13"/>
      <c r="K39" s="13"/>
      <c r="L39" s="13"/>
      <c r="M39" s="13"/>
      <c r="N39" s="6"/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215"/>
      <c r="BD39" s="39">
        <f t="shared" si="77"/>
        <v>0</v>
      </c>
      <c r="BE39" s="39">
        <f t="shared" si="69"/>
        <v>0</v>
      </c>
      <c r="BF39" s="39">
        <f t="shared" si="78"/>
        <v>0</v>
      </c>
      <c r="BG39" s="6"/>
      <c r="BH39" s="6"/>
      <c r="BI39" s="6"/>
      <c r="BJ39" s="6"/>
      <c r="BK39" s="6"/>
      <c r="BL39" s="6"/>
    </row>
    <row r="40" spans="2:64" x14ac:dyDescent="0.3">
      <c r="B40" s="451">
        <v>31</v>
      </c>
      <c r="C40" s="6"/>
      <c r="D40" s="6"/>
      <c r="E40" s="451">
        <v>2</v>
      </c>
      <c r="F40" s="13"/>
      <c r="G40" s="6"/>
      <c r="H40" s="6"/>
      <c r="I40" s="6"/>
      <c r="J40" s="13"/>
      <c r="K40" s="13"/>
      <c r="L40" s="13"/>
      <c r="M40" s="13"/>
      <c r="N40" s="6"/>
      <c r="O40" s="6"/>
      <c r="P40" s="13"/>
      <c r="Q40" s="451">
        <v>2</v>
      </c>
      <c r="R40" s="13"/>
      <c r="S40" s="13"/>
      <c r="T40" s="451">
        <v>108</v>
      </c>
      <c r="U40" s="6"/>
      <c r="V40" s="39" t="str">
        <f t="shared" si="45"/>
        <v/>
      </c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39">
        <v>31</v>
      </c>
      <c r="AT40" s="38" t="str">
        <f t="shared" si="26"/>
        <v/>
      </c>
      <c r="AU40" s="38" t="str">
        <f t="shared" si="27"/>
        <v/>
      </c>
      <c r="AV40" s="38" t="str">
        <f t="shared" si="28"/>
        <v/>
      </c>
      <c r="AW40" s="227"/>
      <c r="AX40" s="227"/>
      <c r="AY40" s="13"/>
      <c r="AZ40" s="6"/>
      <c r="BA40" s="6"/>
      <c r="BB40" s="215"/>
      <c r="BC40" s="215"/>
      <c r="BD40" s="673">
        <f t="shared" si="77"/>
        <v>0</v>
      </c>
      <c r="BE40" s="673">
        <f t="shared" si="69"/>
        <v>0</v>
      </c>
      <c r="BF40" s="673">
        <f t="shared" si="78"/>
        <v>0</v>
      </c>
      <c r="BG40" s="6"/>
      <c r="BH40" s="6"/>
      <c r="BI40" s="6"/>
      <c r="BJ40" s="6"/>
      <c r="BK40" s="6"/>
      <c r="BL40" s="6"/>
    </row>
    <row r="41" spans="2:64" x14ac:dyDescent="0.3">
      <c r="B41" s="13">
        <v>32</v>
      </c>
      <c r="C41" s="6"/>
      <c r="D41" s="6"/>
      <c r="E41" s="13">
        <v>3</v>
      </c>
      <c r="F41" s="13"/>
      <c r="G41" s="6"/>
      <c r="H41" s="6"/>
      <c r="I41" s="6"/>
      <c r="J41" s="13"/>
      <c r="K41" s="13"/>
      <c r="L41" s="13"/>
      <c r="M41" s="13"/>
      <c r="N41" s="6"/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>
        <f t="shared" si="77"/>
        <v>0</v>
      </c>
      <c r="BE41" s="39">
        <f t="shared" si="69"/>
        <v>0</v>
      </c>
      <c r="BF41" s="39">
        <f t="shared" si="78"/>
        <v>0</v>
      </c>
      <c r="BG41" s="6"/>
      <c r="BH41" s="6"/>
      <c r="BI41" s="6"/>
      <c r="BJ41" s="6"/>
      <c r="BK41" s="6"/>
      <c r="BL41" s="6"/>
    </row>
    <row r="42" spans="2:64" x14ac:dyDescent="0.3">
      <c r="B42" s="451">
        <v>33</v>
      </c>
      <c r="C42" s="6"/>
      <c r="D42" s="6"/>
      <c r="E42" s="451">
        <v>2</v>
      </c>
      <c r="F42" s="13"/>
      <c r="G42" s="6"/>
      <c r="H42" s="6"/>
      <c r="I42" s="6"/>
      <c r="J42" s="13"/>
      <c r="K42" s="13"/>
      <c r="L42" s="13"/>
      <c r="M42" s="13"/>
      <c r="N42" s="6"/>
      <c r="O42" s="6"/>
      <c r="P42" s="13"/>
      <c r="Q42" s="451">
        <v>2</v>
      </c>
      <c r="R42" s="13"/>
      <c r="S42" s="13"/>
      <c r="T42" s="451">
        <v>108</v>
      </c>
      <c r="U42" s="6"/>
      <c r="V42" s="39" t="str">
        <f t="shared" si="45"/>
        <v/>
      </c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39">
        <v>33</v>
      </c>
      <c r="AT42" s="38" t="str">
        <f t="shared" si="26"/>
        <v/>
      </c>
      <c r="AU42" s="38" t="str">
        <f t="shared" si="27"/>
        <v/>
      </c>
      <c r="AV42" s="38" t="str">
        <f t="shared" si="28"/>
        <v/>
      </c>
      <c r="AW42" s="227"/>
      <c r="AX42" s="227"/>
      <c r="AY42" s="13"/>
      <c r="AZ42" s="6"/>
      <c r="BA42" s="6"/>
      <c r="BB42" s="215"/>
      <c r="BC42" s="215"/>
      <c r="BD42" s="673">
        <f t="shared" si="77"/>
        <v>0</v>
      </c>
      <c r="BE42" s="673">
        <f t="shared" si="69"/>
        <v>0</v>
      </c>
      <c r="BF42" s="673">
        <f t="shared" si="78"/>
        <v>0</v>
      </c>
      <c r="BG42" s="6"/>
      <c r="BH42" s="6"/>
      <c r="BI42" s="6"/>
      <c r="BJ42" s="6"/>
      <c r="BK42" s="6"/>
      <c r="BL42" s="6"/>
    </row>
    <row r="43" spans="2:64" x14ac:dyDescent="0.3">
      <c r="B43" s="13">
        <v>34</v>
      </c>
      <c r="C43" s="6"/>
      <c r="D43" s="6"/>
      <c r="E43" s="13">
        <v>3</v>
      </c>
      <c r="F43" s="13"/>
      <c r="G43" s="6"/>
      <c r="H43" s="6"/>
      <c r="I43" s="6"/>
      <c r="J43" s="13"/>
      <c r="K43" s="13"/>
      <c r="L43" s="13"/>
      <c r="M43" s="13"/>
      <c r="N43" s="6"/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>
        <f t="shared" si="77"/>
        <v>0</v>
      </c>
      <c r="BE43" s="39">
        <f t="shared" si="69"/>
        <v>0</v>
      </c>
      <c r="BF43" s="39">
        <f t="shared" si="78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6"/>
      <c r="H44" s="6"/>
      <c r="I44" s="6"/>
      <c r="J44" s="13"/>
      <c r="K44" s="13"/>
      <c r="L44" s="13"/>
      <c r="M44" s="13"/>
      <c r="N44" s="6"/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>
        <f t="shared" si="77"/>
        <v>0</v>
      </c>
      <c r="BE44" s="673">
        <f t="shared" si="69"/>
        <v>0</v>
      </c>
      <c r="BF44" s="673">
        <f t="shared" si="78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6"/>
      <c r="H45" s="6"/>
      <c r="I45" s="6"/>
      <c r="J45" s="13"/>
      <c r="K45" s="13"/>
      <c r="L45" s="13"/>
      <c r="M45" s="13"/>
      <c r="N45" s="6"/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>
        <f t="shared" si="77"/>
        <v>0</v>
      </c>
      <c r="BE45" s="39">
        <f t="shared" si="69"/>
        <v>0</v>
      </c>
      <c r="BF45" s="39">
        <f t="shared" si="78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6"/>
      <c r="H46" s="6"/>
      <c r="I46" s="6"/>
      <c r="J46" s="13"/>
      <c r="K46" s="13"/>
      <c r="L46" s="13"/>
      <c r="M46" s="13"/>
      <c r="N46" s="6"/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>
        <f t="shared" si="77"/>
        <v>0</v>
      </c>
      <c r="BE46" s="673">
        <f t="shared" si="69"/>
        <v>0</v>
      </c>
      <c r="BF46" s="673">
        <f t="shared" si="78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6"/>
      <c r="H47" s="6"/>
      <c r="I47" s="6"/>
      <c r="J47" s="13"/>
      <c r="K47" s="13"/>
      <c r="L47" s="13"/>
      <c r="M47" s="13"/>
      <c r="N47" s="6"/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>
        <f t="shared" si="77"/>
        <v>0</v>
      </c>
      <c r="BE47" s="39">
        <f t="shared" si="69"/>
        <v>0</v>
      </c>
      <c r="BF47" s="39">
        <f t="shared" si="78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6"/>
      <c r="H48" s="6"/>
      <c r="I48" s="6"/>
      <c r="J48" s="13"/>
      <c r="K48" s="13"/>
      <c r="L48" s="13"/>
      <c r="M48" s="13"/>
      <c r="N48" s="6"/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>
        <f t="shared" si="77"/>
        <v>0</v>
      </c>
      <c r="BE48" s="673">
        <f t="shared" si="69"/>
        <v>0</v>
      </c>
      <c r="BF48" s="673">
        <f t="shared" si="78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6"/>
      <c r="H49" s="6"/>
      <c r="I49" s="6"/>
      <c r="J49" s="13"/>
      <c r="K49" s="13"/>
      <c r="L49" s="13"/>
      <c r="M49" s="13"/>
      <c r="N49" s="6"/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>
        <f t="shared" si="77"/>
        <v>0</v>
      </c>
      <c r="BE49" s="39">
        <f t="shared" si="69"/>
        <v>0</v>
      </c>
      <c r="BF49" s="39">
        <f t="shared" si="78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6"/>
      <c r="H50" s="6"/>
      <c r="I50" s="6"/>
      <c r="J50" s="13"/>
      <c r="K50" s="13"/>
      <c r="L50" s="13"/>
      <c r="M50" s="13"/>
      <c r="N50" s="6"/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>
        <f t="shared" si="77"/>
        <v>0</v>
      </c>
      <c r="BE50" s="673">
        <f t="shared" si="69"/>
        <v>0</v>
      </c>
      <c r="BF50" s="673">
        <f t="shared" si="78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6"/>
      <c r="H51" s="6"/>
      <c r="I51" s="6"/>
      <c r="J51" s="13"/>
      <c r="K51" s="13"/>
      <c r="L51" s="13"/>
      <c r="M51" s="13"/>
      <c r="N51" s="6"/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>
        <f t="shared" si="77"/>
        <v>0</v>
      </c>
      <c r="BE51" s="39">
        <f t="shared" si="69"/>
        <v>0</v>
      </c>
      <c r="BF51" s="39">
        <f t="shared" si="78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6"/>
      <c r="H52" s="6"/>
      <c r="I52" s="6"/>
      <c r="J52" s="13"/>
      <c r="K52" s="13"/>
      <c r="L52" s="13"/>
      <c r="M52" s="13"/>
      <c r="N52" s="6"/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>
        <f t="shared" si="77"/>
        <v>0</v>
      </c>
      <c r="BE52" s="673">
        <f t="shared" si="69"/>
        <v>0</v>
      </c>
      <c r="BF52" s="673">
        <f t="shared" si="78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6"/>
      <c r="H53" s="6"/>
      <c r="I53" s="6"/>
      <c r="J53" s="13"/>
      <c r="K53" s="13"/>
      <c r="L53" s="13"/>
      <c r="M53" s="13"/>
      <c r="N53" s="6"/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>
        <f t="shared" si="77"/>
        <v>0</v>
      </c>
      <c r="BE53" s="39">
        <f t="shared" si="69"/>
        <v>0</v>
      </c>
      <c r="BF53" s="39">
        <f t="shared" si="78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6"/>
      <c r="H54" s="6"/>
      <c r="I54" s="6"/>
      <c r="J54" s="13"/>
      <c r="K54" s="13"/>
      <c r="L54" s="13"/>
      <c r="M54" s="13"/>
      <c r="N54" s="6"/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>
        <f t="shared" si="77"/>
        <v>0</v>
      </c>
      <c r="BE54" s="673">
        <f t="shared" si="69"/>
        <v>0</v>
      </c>
      <c r="BF54" s="673">
        <f t="shared" si="78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6"/>
      <c r="H55" s="6"/>
      <c r="I55" s="6"/>
      <c r="J55" s="13"/>
      <c r="K55" s="13"/>
      <c r="L55" s="13"/>
      <c r="M55" s="13"/>
      <c r="N55" s="6"/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>
        <f t="shared" si="77"/>
        <v>0</v>
      </c>
      <c r="BE55" s="39">
        <f t="shared" si="69"/>
        <v>0</v>
      </c>
      <c r="BF55" s="39">
        <f t="shared" si="78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6"/>
      <c r="H56" s="6"/>
      <c r="I56" s="6"/>
      <c r="J56" s="13"/>
      <c r="K56" s="13"/>
      <c r="L56" s="13"/>
      <c r="M56" s="13"/>
      <c r="N56" s="6"/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>
        <f t="shared" si="77"/>
        <v>0</v>
      </c>
      <c r="BE56" s="673">
        <f t="shared" si="69"/>
        <v>0</v>
      </c>
      <c r="BF56" s="673">
        <f t="shared" si="78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6"/>
      <c r="H57" s="6"/>
      <c r="I57" s="6"/>
      <c r="J57" s="13"/>
      <c r="K57" s="13"/>
      <c r="L57" s="13"/>
      <c r="M57" s="13"/>
      <c r="N57" s="6"/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>
        <f t="shared" si="77"/>
        <v>0</v>
      </c>
      <c r="BE57" s="39">
        <f t="shared" si="69"/>
        <v>0</v>
      </c>
      <c r="BF57" s="39">
        <f t="shared" si="78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6"/>
      <c r="H58" s="6"/>
      <c r="I58" s="6"/>
      <c r="J58" s="13"/>
      <c r="K58" s="13"/>
      <c r="L58" s="13"/>
      <c r="M58" s="13"/>
      <c r="N58" s="6"/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>
        <f t="shared" si="77"/>
        <v>0</v>
      </c>
      <c r="BE58" s="673">
        <f t="shared" si="69"/>
        <v>0</v>
      </c>
      <c r="BF58" s="673">
        <f t="shared" si="78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6"/>
      <c r="H59" s="6"/>
      <c r="I59" s="6"/>
      <c r="J59" s="13"/>
      <c r="K59" s="13"/>
      <c r="L59" s="13"/>
      <c r="M59" s="13"/>
      <c r="N59" s="6"/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>
        <f t="shared" si="77"/>
        <v>0</v>
      </c>
      <c r="BE59" s="39">
        <f t="shared" si="69"/>
        <v>0</v>
      </c>
      <c r="BF59" s="39">
        <f t="shared" si="78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37.908333333333331</v>
      </c>
      <c r="D60" s="135">
        <f>AVERAGE(D10:D59)</f>
        <v>8.6503110555921428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374.2337837500001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0.69086382275132274</v>
      </c>
      <c r="Y60" s="207">
        <f>AVERAGE(Y10:Y59)</f>
        <v>0.80796461640211648</v>
      </c>
      <c r="Z60" s="207">
        <f>AVERAGE(Z10:Z59)</f>
        <v>11.568761574074074</v>
      </c>
      <c r="AA60" s="207">
        <f>AVERAGE(AA10:AA59)</f>
        <v>0.67293435388177425</v>
      </c>
      <c r="AB60" s="207">
        <f t="shared" ref="AB60:AC60" si="79">AVERAGE(AB10:AB59)</f>
        <v>0.80640480099848277</v>
      </c>
      <c r="AC60" s="207">
        <f t="shared" si="79"/>
        <v>11.329079886168605</v>
      </c>
      <c r="AD60" s="134"/>
      <c r="AE60" s="134"/>
      <c r="AF60" s="207">
        <f>AVERAGE(AF10:AF59)</f>
        <v>9.5149999999999998E-2</v>
      </c>
      <c r="AG60" s="207">
        <f t="shared" ref="AG60:AI60" si="80">AVERAGE(AG10:AG59)</f>
        <v>0.37657407407407412</v>
      </c>
      <c r="AH60" s="207">
        <f t="shared" si="80"/>
        <v>10.881162037037036</v>
      </c>
      <c r="AI60" s="207">
        <f t="shared" si="80"/>
        <v>2.608333333333333E-2</v>
      </c>
      <c r="AJ60" s="134"/>
      <c r="AK60" s="134"/>
      <c r="AL60" s="135">
        <f>SUM(AL10:AL59)</f>
        <v>2768.3433251270421</v>
      </c>
      <c r="AM60" s="135">
        <f t="shared" ref="AM60:AN60" si="81">SUM(AM10:AM59)</f>
        <v>3362.06950184366</v>
      </c>
      <c r="AN60" s="135">
        <f t="shared" si="81"/>
        <v>48304.761469779078</v>
      </c>
      <c r="AO60" s="135">
        <f>SUM(AO10:AO59)</f>
        <v>387.72331697290275</v>
      </c>
      <c r="AP60" s="135">
        <f t="shared" ref="AP60:AR60" si="82">SUM(AP10:AP59)</f>
        <v>1592.7629814705558</v>
      </c>
      <c r="AQ60" s="135">
        <f t="shared" si="82"/>
        <v>45982.050583922508</v>
      </c>
      <c r="AR60" s="135">
        <f t="shared" si="82"/>
        <v>193.14004204</v>
      </c>
      <c r="AS60" s="134"/>
      <c r="AT60" s="232">
        <f>AVERAGE(AT10:AT59)</f>
        <v>0.78601784234802674</v>
      </c>
      <c r="AU60" s="232">
        <f t="shared" ref="AU60:AV60" si="83">AVERAGE(AU10:AU59)</f>
        <v>0.54565577449051206</v>
      </c>
      <c r="AV60" s="232">
        <f t="shared" si="83"/>
        <v>7.9923219394369319E-2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454.9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SUM(N10:N11)+SUM(O12:O59)</f>
        <v>3994.3035052499999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4">
        <f>SUM(BD10:BD59)</f>
        <v>2187.4799661141392</v>
      </c>
      <c r="BE61" s="984">
        <f>SUM(BE10:BE59)</f>
        <v>1769.3065203731048</v>
      </c>
      <c r="BF61" s="984">
        <f>SUM(BF10:BF59)</f>
        <v>2322.7108858565807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205</v>
      </c>
      <c r="X62" s="244">
        <f>MEDIAN(X10:X59)</f>
        <v>0.64487500000000009</v>
      </c>
      <c r="Y62" s="244">
        <f t="shared" ref="Y62:Z62" si="84">MEDIAN(Y10:Y59)</f>
        <v>0.70041666666666669</v>
      </c>
      <c r="Z62" s="244">
        <f t="shared" si="84"/>
        <v>9.4826388888888893</v>
      </c>
      <c r="AA62" s="244">
        <f>MEDIAN(AA10:AA59)</f>
        <v>0.63680830617586415</v>
      </c>
      <c r="AB62" s="244">
        <f t="shared" ref="AB62:AC62" si="85">MEDIAN(AB10:AB59)</f>
        <v>0.70562215346358503</v>
      </c>
      <c r="AC62" s="244">
        <f t="shared" si="85"/>
        <v>9.5941564277004581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O63" s="10"/>
      <c r="V63" s="39" t="str">
        <f t="shared" si="45"/>
        <v/>
      </c>
      <c r="AL63" s="43">
        <f>AL60-(AO60+AR60)</f>
        <v>2187.4799661141396</v>
      </c>
      <c r="BD63" s="10">
        <f>BD61*0.8</f>
        <v>1749.9839728913114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59" x14ac:dyDescent="0.3">
      <c r="E65" s="10">
        <f>(O19+O20)/SUM(C19:C20)</f>
        <v>8.5546918470971463</v>
      </c>
      <c r="AO65" s="1221" t="s">
        <v>310</v>
      </c>
      <c r="AP65" s="1221"/>
      <c r="AQ65" s="1221"/>
      <c r="AR65" s="1221"/>
      <c r="AS65" s="249"/>
      <c r="AT65" s="131" t="s">
        <v>331</v>
      </c>
      <c r="AU65" s="1485" t="s">
        <v>260</v>
      </c>
      <c r="AV65" s="1485"/>
      <c r="AW65" s="1485"/>
      <c r="AX65" s="429"/>
      <c r="AY65" s="1248" t="s">
        <v>256</v>
      </c>
      <c r="AZ65" s="1249"/>
      <c r="BA65" s="1249"/>
      <c r="BB65" s="1249"/>
      <c r="BC65" s="1249"/>
      <c r="BD65" s="1250"/>
      <c r="BE65" s="1508" t="s">
        <v>277</v>
      </c>
      <c r="BF65" s="1509"/>
      <c r="BG65" s="1510"/>
    </row>
    <row r="66" spans="5:59" x14ac:dyDescent="0.3">
      <c r="F66" s="43"/>
      <c r="J66" s="223" t="s">
        <v>305</v>
      </c>
      <c r="K66" s="223"/>
      <c r="L66" s="223"/>
      <c r="M66" s="223" t="s">
        <v>306</v>
      </c>
      <c r="N66" s="223" t="s">
        <v>307</v>
      </c>
      <c r="O66" s="223"/>
      <c r="P66" s="223" t="s">
        <v>308</v>
      </c>
      <c r="Q66" s="223"/>
      <c r="R66" s="223"/>
      <c r="S66" s="223"/>
      <c r="T66" s="223"/>
      <c r="U66" s="223" t="s">
        <v>309</v>
      </c>
      <c r="AO66" s="223"/>
      <c r="AP66" s="223" t="s">
        <v>253</v>
      </c>
      <c r="AQ66" s="223" t="s">
        <v>254</v>
      </c>
      <c r="AR66" s="223" t="s">
        <v>255</v>
      </c>
      <c r="AS66" s="249"/>
      <c r="AT66" s="131" t="s">
        <v>294</v>
      </c>
      <c r="AU66" s="1485" t="s">
        <v>261</v>
      </c>
      <c r="AV66" s="1485"/>
      <c r="AW66" s="1485"/>
      <c r="AX66" s="429"/>
      <c r="AY66" s="1248" t="s">
        <v>263</v>
      </c>
      <c r="AZ66" s="1249"/>
      <c r="BA66" s="1250"/>
      <c r="BB66" s="1248" t="s">
        <v>264</v>
      </c>
      <c r="BC66" s="1249"/>
      <c r="BD66" s="1250"/>
      <c r="BE66" s="1248" t="s">
        <v>40</v>
      </c>
      <c r="BF66" s="1249"/>
      <c r="BG66" s="1250"/>
    </row>
    <row r="67" spans="5:59" x14ac:dyDescent="0.3">
      <c r="F67" s="43"/>
      <c r="J67" s="39">
        <f>SUM(C10:C59)</f>
        <v>454.9</v>
      </c>
      <c r="K67" s="39"/>
      <c r="L67" s="39"/>
      <c r="M67" s="39">
        <f>'Milling Down Time Hours'!P60</f>
        <v>317.63333333333333</v>
      </c>
      <c r="N67" s="39">
        <f>N61/J67</f>
        <v>8.7806188288634868</v>
      </c>
      <c r="O67" s="39"/>
      <c r="P67" s="39">
        <f>(N61/J68)</f>
        <v>210.7348518927237</v>
      </c>
      <c r="Q67" s="39"/>
      <c r="R67" s="39"/>
      <c r="S67" s="39"/>
      <c r="T67" s="39"/>
      <c r="U67" s="39">
        <f>(J67+M67)/24</f>
        <v>32.18888888888889</v>
      </c>
      <c r="AO67" s="13" t="s">
        <v>330</v>
      </c>
      <c r="AP67" s="133">
        <f>AVERAGE(X10:X15)</f>
        <v>0.7364814814814814</v>
      </c>
      <c r="AQ67" s="133">
        <f t="shared" ref="AQ67:AR67" si="86">AVERAGE(Y10:Y15)</f>
        <v>0.64749537037037042</v>
      </c>
      <c r="AR67" s="133">
        <f t="shared" si="86"/>
        <v>8.5190601851851842</v>
      </c>
      <c r="AS67" s="244"/>
      <c r="AT67" s="131" t="s">
        <v>70</v>
      </c>
      <c r="AU67" s="131" t="s">
        <v>253</v>
      </c>
      <c r="AV67" s="131" t="s">
        <v>254</v>
      </c>
      <c r="AW67" s="226" t="s">
        <v>255</v>
      </c>
      <c r="AX67" s="226"/>
      <c r="AY67" s="131" t="s">
        <v>253</v>
      </c>
      <c r="AZ67" s="131" t="s">
        <v>254</v>
      </c>
      <c r="BA67" s="131" t="s">
        <v>255</v>
      </c>
      <c r="BB67" s="131" t="s">
        <v>253</v>
      </c>
      <c r="BC67" s="131" t="s">
        <v>254</v>
      </c>
      <c r="BD67" s="131" t="s">
        <v>255</v>
      </c>
      <c r="BE67" s="131" t="s">
        <v>253</v>
      </c>
      <c r="BF67" s="131" t="s">
        <v>254</v>
      </c>
      <c r="BG67" s="131" t="s">
        <v>255</v>
      </c>
    </row>
    <row r="68" spans="5:59" x14ac:dyDescent="0.3">
      <c r="F68" s="43"/>
      <c r="J68" s="43">
        <f>J67/24</f>
        <v>18.954166666666666</v>
      </c>
      <c r="K68" s="43"/>
      <c r="L68" s="43"/>
      <c r="M68" s="43">
        <f>M67/24</f>
        <v>13.234722222222222</v>
      </c>
      <c r="AD68" s="1485" t="s">
        <v>260</v>
      </c>
      <c r="AE68" s="1485"/>
      <c r="AF68" s="1485"/>
      <c r="AG68" s="1485"/>
      <c r="AH68" s="1485"/>
      <c r="AO68" s="13" t="s">
        <v>201</v>
      </c>
      <c r="AP68" s="133">
        <f>MEDIAN(X10:X15)</f>
        <v>0.69599999999999995</v>
      </c>
      <c r="AQ68" s="133">
        <f t="shared" ref="AQ68:AR68" si="87">MEDIAN(Y10:Y15)</f>
        <v>0.66361111111111115</v>
      </c>
      <c r="AR68" s="133">
        <f t="shared" si="87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50">
        <v>7.2224166666666676</v>
      </c>
      <c r="AX68" s="1153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59" x14ac:dyDescent="0.3">
      <c r="F69" s="43"/>
      <c r="AD69" s="1376" t="s">
        <v>259</v>
      </c>
      <c r="AE69" s="1376" t="s">
        <v>487</v>
      </c>
      <c r="AF69" s="1485" t="s">
        <v>261</v>
      </c>
      <c r="AG69" s="1485"/>
      <c r="AH69" s="1485"/>
      <c r="AO69" s="13" t="s">
        <v>203</v>
      </c>
      <c r="AP69" s="133">
        <f>MIN(X10:X15)</f>
        <v>0.57608333333333328</v>
      </c>
      <c r="AQ69" s="133">
        <f t="shared" ref="AQ69:AR69" si="88">MIN(Y10:Y15)</f>
        <v>0.49666666666666665</v>
      </c>
      <c r="AR69" s="133">
        <f t="shared" si="88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50">
        <v>9.051111111111112</v>
      </c>
      <c r="AX69" s="1153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59" x14ac:dyDescent="0.3">
      <c r="F70" s="43"/>
      <c r="J70" s="223" t="s">
        <v>305</v>
      </c>
      <c r="K70" s="223"/>
      <c r="L70" s="223"/>
      <c r="M70" s="39">
        <f>J67</f>
        <v>454.9</v>
      </c>
      <c r="O70" s="10"/>
      <c r="AD70" s="1376"/>
      <c r="AE70" s="1376"/>
      <c r="AF70" s="131" t="s">
        <v>253</v>
      </c>
      <c r="AG70" s="131" t="s">
        <v>254</v>
      </c>
      <c r="AH70" s="131" t="s">
        <v>255</v>
      </c>
      <c r="AO70" s="13" t="s">
        <v>202</v>
      </c>
      <c r="AP70" s="133">
        <f>MAX(X10:X15)</f>
        <v>0.93455555555555547</v>
      </c>
      <c r="AQ70" s="133">
        <f t="shared" ref="AQ70:AR70" si="89">MAX(Y10:Y15)</f>
        <v>0.79333333333333333</v>
      </c>
      <c r="AR70" s="133">
        <f t="shared" si="89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50">
        <v>9.0688888888888908</v>
      </c>
      <c r="AX70" s="1153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59" x14ac:dyDescent="0.3">
      <c r="F71" s="43"/>
      <c r="J71" s="223" t="s">
        <v>306</v>
      </c>
      <c r="K71" s="223"/>
      <c r="L71" s="223"/>
      <c r="M71" s="39">
        <f>M67</f>
        <v>317.63333333333333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50">
        <v>9.1508333333333347</v>
      </c>
      <c r="AX71" s="1153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59" x14ac:dyDescent="0.3">
      <c r="F72" s="43"/>
      <c r="J72" s="223" t="s">
        <v>313</v>
      </c>
      <c r="K72" s="223"/>
      <c r="L72" s="223"/>
      <c r="M72" s="39">
        <f>SUM(M70:M71)</f>
        <v>772.5333333333333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50">
        <v>9.0411111111111087</v>
      </c>
      <c r="AX72" s="1153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59" x14ac:dyDescent="0.3">
      <c r="F73" s="43"/>
      <c r="J73" s="223" t="s">
        <v>314</v>
      </c>
      <c r="K73" s="223"/>
      <c r="L73" s="223"/>
      <c r="M73" s="38">
        <f>M70/M72</f>
        <v>0.5888419054193994</v>
      </c>
      <c r="AD73" s="12"/>
      <c r="AT73" s="13">
        <v>6</v>
      </c>
      <c r="AU73" s="133">
        <v>0.57608333333333328</v>
      </c>
      <c r="AV73" s="133">
        <v>0.66833333333333333</v>
      </c>
      <c r="AW73" s="1150">
        <v>7.58</v>
      </c>
      <c r="AX73" s="1153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59" x14ac:dyDescent="0.3">
      <c r="F74" s="43"/>
      <c r="J74" s="223" t="s">
        <v>36</v>
      </c>
      <c r="K74" s="223"/>
      <c r="L74" s="223"/>
      <c r="M74" s="419">
        <f>N67</f>
        <v>8.7806188288634868</v>
      </c>
      <c r="AD74" s="12"/>
      <c r="AT74" s="13">
        <v>7</v>
      </c>
      <c r="AU74" s="133">
        <v>0.53555555555555556</v>
      </c>
      <c r="AV74" s="133">
        <v>0.53555555555555556</v>
      </c>
      <c r="AW74" s="1150">
        <v>9.8144444444444439</v>
      </c>
      <c r="AX74" s="1153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59" x14ac:dyDescent="0.3">
      <c r="J75" s="223" t="s">
        <v>81</v>
      </c>
      <c r="K75" s="223"/>
      <c r="L75" s="223"/>
      <c r="M75" s="39">
        <f>P67</f>
        <v>210.7348518927237</v>
      </c>
      <c r="AD75" s="12"/>
      <c r="AT75" s="13">
        <v>8</v>
      </c>
      <c r="AU75" s="133">
        <v>0.58483333333333321</v>
      </c>
      <c r="AV75" s="133">
        <v>0.58833333333333337</v>
      </c>
      <c r="AW75" s="1150">
        <v>10.3775</v>
      </c>
      <c r="AX75" s="1153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59" x14ac:dyDescent="0.3">
      <c r="J76" s="223" t="s">
        <v>309</v>
      </c>
      <c r="K76" s="223"/>
      <c r="L76" s="223"/>
      <c r="M76" s="39">
        <f>U67</f>
        <v>32.18888888888889</v>
      </c>
      <c r="AD76" s="12"/>
      <c r="AT76" s="13">
        <v>9</v>
      </c>
      <c r="AU76" s="133">
        <v>0.60575000000000001</v>
      </c>
      <c r="AV76" s="133">
        <v>0.86333333333333329</v>
      </c>
      <c r="AW76" s="1150">
        <v>14.675833333333332</v>
      </c>
      <c r="AX76" s="1153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59" x14ac:dyDescent="0.3">
      <c r="J77" s="223" t="s">
        <v>329</v>
      </c>
      <c r="K77" s="223"/>
      <c r="L77" s="223"/>
      <c r="M77" s="38">
        <f>M67/(J67+M67)</f>
        <v>0.41115809458060065</v>
      </c>
      <c r="AT77" s="13">
        <v>10</v>
      </c>
      <c r="AU77" s="133">
        <v>0.82590476190476192</v>
      </c>
      <c r="AV77" s="133">
        <v>1.1390476190476191</v>
      </c>
      <c r="AW77" s="1150">
        <v>17.893333333333334</v>
      </c>
      <c r="AX77" s="1153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59" x14ac:dyDescent="0.3">
      <c r="AT78" s="13">
        <v>11</v>
      </c>
      <c r="AU78" s="133">
        <v>0.7294666666666666</v>
      </c>
      <c r="AV78" s="133">
        <v>1.3033333333333335</v>
      </c>
      <c r="AW78" s="1150">
        <v>18.880000000000003</v>
      </c>
      <c r="AX78" s="1153"/>
      <c r="AY78" s="1149">
        <v>0.16700000000000001</v>
      </c>
      <c r="AZ78" s="1149">
        <v>1.26</v>
      </c>
      <c r="BA78" s="1149">
        <v>17.43</v>
      </c>
      <c r="BB78" s="1149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59" x14ac:dyDescent="0.3">
      <c r="AR79" s="10"/>
      <c r="AT79" s="13" t="s">
        <v>322</v>
      </c>
      <c r="AU79" s="133">
        <f>AVERAGE(AU68:AU78)</f>
        <v>0.70003629148629143</v>
      </c>
      <c r="AV79" s="133">
        <f t="shared" ref="AV79:AW79" si="90">AVERAGE(AV68:AV78)</f>
        <v>0.75587049062049061</v>
      </c>
      <c r="AW79" s="133">
        <f t="shared" si="90"/>
        <v>11.159588383838383</v>
      </c>
      <c r="AX79" s="207"/>
      <c r="AY79" s="133">
        <f>AVERAGE(AY68:AY78)</f>
        <v>9.6350505050505048E-2</v>
      </c>
      <c r="AZ79" s="133">
        <f t="shared" ref="AZ79:BB79" si="91">AVERAGE(AZ68:AZ78)</f>
        <v>0.38267676767676767</v>
      </c>
      <c r="BA79" s="133">
        <f t="shared" si="91"/>
        <v>10.193287878787878</v>
      </c>
      <c r="BB79" s="133">
        <f t="shared" si="91"/>
        <v>2.5727272727272724E-2</v>
      </c>
      <c r="BC79" s="6"/>
      <c r="BD79" s="6"/>
      <c r="BE79" s="6"/>
      <c r="BF79" s="6"/>
      <c r="BG79" s="6"/>
    </row>
    <row r="80" spans="5:59" x14ac:dyDescent="0.3">
      <c r="AR80" s="10"/>
      <c r="AS80" s="10"/>
      <c r="AT80" s="1154" t="s">
        <v>17</v>
      </c>
      <c r="AU80" s="1505"/>
      <c r="AV80" s="1506"/>
      <c r="AW80" s="1506"/>
      <c r="AX80" s="1506"/>
      <c r="AY80" s="1506"/>
      <c r="AZ80" s="1506"/>
      <c r="BA80" s="1506"/>
      <c r="BB80" s="1506"/>
      <c r="BC80" s="1506"/>
      <c r="BD80" s="1507"/>
      <c r="BE80" s="1155">
        <f>SUM(BE68:BE79)</f>
        <v>2023.4684999216388</v>
      </c>
      <c r="BF80" s="1155">
        <f t="shared" ref="BF80:BG80" si="92">SUM(BF68:BF79)</f>
        <v>1374.7770814606047</v>
      </c>
      <c r="BG80" s="1155">
        <f t="shared" si="92"/>
        <v>3002.5736707038232</v>
      </c>
    </row>
    <row r="81" spans="10:45" x14ac:dyDescent="0.3">
      <c r="AR81" s="10"/>
      <c r="AS81" s="10"/>
    </row>
    <row r="82" spans="10:45" x14ac:dyDescent="0.3">
      <c r="AR82" s="10"/>
    </row>
    <row r="83" spans="10:45" x14ac:dyDescent="0.3">
      <c r="AR83" s="10"/>
      <c r="AS83" s="10"/>
    </row>
    <row r="92" spans="10:45" x14ac:dyDescent="0.3">
      <c r="J92" s="131" t="s">
        <v>259</v>
      </c>
      <c r="K92" s="131"/>
      <c r="L92" s="131"/>
      <c r="M92" s="131" t="s">
        <v>293</v>
      </c>
      <c r="N92" s="1483" t="s">
        <v>318</v>
      </c>
      <c r="O92" s="1485" t="s">
        <v>633</v>
      </c>
      <c r="P92" s="1485"/>
      <c r="Q92" s="1485"/>
      <c r="R92" s="429"/>
      <c r="S92" s="429"/>
      <c r="T92" s="429"/>
      <c r="U92" s="1248" t="s">
        <v>324</v>
      </c>
      <c r="V92" s="1249"/>
      <c r="W92" s="1250"/>
    </row>
    <row r="93" spans="10:45" x14ac:dyDescent="0.3">
      <c r="J93" s="131" t="s">
        <v>321</v>
      </c>
      <c r="K93" s="131"/>
      <c r="L93" s="131"/>
      <c r="M93" s="131" t="s">
        <v>634</v>
      </c>
      <c r="N93" s="1484"/>
      <c r="O93" s="131" t="s">
        <v>253</v>
      </c>
      <c r="P93" s="131" t="s">
        <v>254</v>
      </c>
      <c r="Q93" s="131" t="s">
        <v>255</v>
      </c>
      <c r="R93" s="131"/>
      <c r="S93" s="131"/>
      <c r="T93" s="131"/>
      <c r="U93" s="131" t="s">
        <v>253</v>
      </c>
      <c r="V93" s="131" t="s">
        <v>254</v>
      </c>
      <c r="W93" s="131" t="s">
        <v>255</v>
      </c>
    </row>
    <row r="94" spans="10:45" x14ac:dyDescent="0.3">
      <c r="J94" s="13">
        <v>1</v>
      </c>
      <c r="K94" s="13"/>
      <c r="L94" s="13"/>
      <c r="M94" s="13">
        <v>1</v>
      </c>
      <c r="N94" s="39">
        <f>N10</f>
        <v>292.31359999999995</v>
      </c>
      <c r="O94" s="133">
        <f>X10</f>
        <v>0.70799999999999996</v>
      </c>
      <c r="P94" s="133">
        <f t="shared" ref="P94:Q100" si="93">Y10</f>
        <v>0.53525</v>
      </c>
      <c r="Q94" s="133">
        <f t="shared" si="93"/>
        <v>7.2224166666666676</v>
      </c>
      <c r="R94" s="133"/>
      <c r="S94" s="133"/>
      <c r="T94" s="133"/>
      <c r="U94" s="133">
        <f>AF10</f>
        <v>5.5750000000000001E-2</v>
      </c>
      <c r="V94" s="133">
        <f t="shared" ref="V94:W98" si="94">AG10</f>
        <v>0.17</v>
      </c>
      <c r="W94" s="133">
        <f t="shared" si="94"/>
        <v>6.55</v>
      </c>
    </row>
    <row r="95" spans="10:45" x14ac:dyDescent="0.3">
      <c r="J95" s="13">
        <v>2</v>
      </c>
      <c r="K95" s="13"/>
      <c r="L95" s="13"/>
      <c r="M95" s="13">
        <v>2</v>
      </c>
      <c r="N95" s="39">
        <f>N11</f>
        <v>300.14215000000002</v>
      </c>
      <c r="O95" s="133">
        <f t="shared" ref="O95:O98" si="95">X11</f>
        <v>0.68400000000000005</v>
      </c>
      <c r="P95" s="133">
        <f t="shared" si="93"/>
        <v>0.79333333333333333</v>
      </c>
      <c r="Q95" s="133">
        <f t="shared" si="93"/>
        <v>9.051111111111112</v>
      </c>
      <c r="R95" s="133"/>
      <c r="S95" s="133"/>
      <c r="T95" s="133"/>
      <c r="U95" s="133">
        <f t="shared" ref="U95:U98" si="96">AF11</f>
        <v>5.5749999999999994E-2</v>
      </c>
      <c r="V95" s="133">
        <f t="shared" si="94"/>
        <v>0.25</v>
      </c>
      <c r="W95" s="133">
        <f t="shared" si="94"/>
        <v>8.3524999999999991</v>
      </c>
    </row>
    <row r="96" spans="10:45" x14ac:dyDescent="0.3">
      <c r="J96" s="13">
        <v>3</v>
      </c>
      <c r="K96" s="13"/>
      <c r="L96" s="13"/>
      <c r="M96" s="13">
        <v>3</v>
      </c>
      <c r="N96" s="39">
        <f>O12</f>
        <v>326.97083025000006</v>
      </c>
      <c r="O96" s="133">
        <f t="shared" si="95"/>
        <v>0.93455555555555547</v>
      </c>
      <c r="P96" s="133">
        <f t="shared" si="93"/>
        <v>0.65888888888888886</v>
      </c>
      <c r="Q96" s="133">
        <f t="shared" si="93"/>
        <v>9.0688888888888908</v>
      </c>
      <c r="R96" s="133"/>
      <c r="S96" s="133"/>
      <c r="T96" s="133"/>
      <c r="U96" s="133">
        <f t="shared" si="96"/>
        <v>9.816666666666668E-2</v>
      </c>
      <c r="V96" s="133">
        <f t="shared" si="94"/>
        <v>0.23333333333333331</v>
      </c>
      <c r="W96" s="133">
        <f t="shared" si="94"/>
        <v>8.9633333333333329</v>
      </c>
    </row>
    <row r="97" spans="10:23" x14ac:dyDescent="0.3">
      <c r="J97" s="13">
        <v>4</v>
      </c>
      <c r="K97" s="13"/>
      <c r="L97" s="13"/>
      <c r="M97" s="13">
        <v>4</v>
      </c>
      <c r="N97" s="39">
        <f t="shared" ref="N97:N98" si="97">O13</f>
        <v>316.93530000000004</v>
      </c>
      <c r="O97" s="133">
        <f t="shared" si="95"/>
        <v>0.92891666666666661</v>
      </c>
      <c r="P97" s="133">
        <f t="shared" si="93"/>
        <v>0.73249999999999993</v>
      </c>
      <c r="Q97" s="133">
        <f t="shared" si="93"/>
        <v>9.1508333333333347</v>
      </c>
      <c r="R97" s="133"/>
      <c r="S97" s="133"/>
      <c r="T97" s="133"/>
      <c r="U97" s="133">
        <f t="shared" si="96"/>
        <v>0.10916666666666668</v>
      </c>
      <c r="V97" s="133">
        <f t="shared" si="94"/>
        <v>0.24</v>
      </c>
      <c r="W97" s="133">
        <f t="shared" si="94"/>
        <v>5.1633333333333331</v>
      </c>
    </row>
    <row r="98" spans="10:23" x14ac:dyDescent="0.3">
      <c r="J98" s="13">
        <v>5</v>
      </c>
      <c r="K98" s="13"/>
      <c r="L98" s="13"/>
      <c r="M98" s="13">
        <v>5</v>
      </c>
      <c r="N98" s="39">
        <f t="shared" si="97"/>
        <v>266.98580000000004</v>
      </c>
      <c r="O98" s="133">
        <f t="shared" si="95"/>
        <v>0.58733333333333337</v>
      </c>
      <c r="P98" s="133">
        <f t="shared" si="93"/>
        <v>0.49666666666666665</v>
      </c>
      <c r="Q98" s="133">
        <f t="shared" si="93"/>
        <v>9.0411111111111087</v>
      </c>
      <c r="R98" s="133"/>
      <c r="S98" s="133"/>
      <c r="T98" s="133"/>
      <c r="U98" s="133">
        <f t="shared" si="96"/>
        <v>0.12466666666666666</v>
      </c>
      <c r="V98" s="133">
        <f t="shared" si="94"/>
        <v>0.37833333333333335</v>
      </c>
      <c r="W98" s="133">
        <f t="shared" si="94"/>
        <v>7.5183333333333335</v>
      </c>
    </row>
    <row r="99" spans="10:23" x14ac:dyDescent="0.3">
      <c r="J99" s="13">
        <v>6</v>
      </c>
      <c r="K99" s="13"/>
      <c r="L99" s="13"/>
      <c r="M99" s="13">
        <v>6</v>
      </c>
      <c r="N99" s="39">
        <f>O15</f>
        <v>277.03691250000003</v>
      </c>
      <c r="O99" s="133">
        <f>X15</f>
        <v>0.57608333333333328</v>
      </c>
      <c r="P99" s="133">
        <f t="shared" si="93"/>
        <v>0.66833333333333333</v>
      </c>
      <c r="Q99" s="133">
        <f t="shared" si="93"/>
        <v>7.58</v>
      </c>
      <c r="R99" s="133"/>
      <c r="S99" s="133"/>
      <c r="T99" s="133"/>
      <c r="U99" s="133"/>
      <c r="V99" s="133"/>
      <c r="W99" s="133"/>
    </row>
    <row r="100" spans="10:23" x14ac:dyDescent="0.3">
      <c r="J100" s="13">
        <v>7</v>
      </c>
      <c r="K100" s="13"/>
      <c r="L100" s="13"/>
      <c r="M100" s="13">
        <v>7</v>
      </c>
      <c r="N100" s="39">
        <f>O16</f>
        <v>246.07747500000002</v>
      </c>
      <c r="O100" s="133">
        <f>X16</f>
        <v>0.53555555555555556</v>
      </c>
      <c r="P100" s="133">
        <f t="shared" si="93"/>
        <v>0.53555555555555556</v>
      </c>
      <c r="Q100" s="133">
        <f t="shared" si="93"/>
        <v>9.8144444444444439</v>
      </c>
      <c r="R100" s="133"/>
      <c r="S100" s="133"/>
      <c r="T100" s="133"/>
      <c r="U100" s="133"/>
      <c r="V100" s="133"/>
      <c r="W100" s="133"/>
    </row>
    <row r="101" spans="10:23" x14ac:dyDescent="0.3">
      <c r="J101" s="14" t="s">
        <v>322</v>
      </c>
      <c r="K101" s="14"/>
      <c r="L101" s="14"/>
      <c r="M101" s="14"/>
      <c r="N101" s="234">
        <f>AVERAGE(N94:N100)</f>
        <v>289.49458110714284</v>
      </c>
      <c r="O101" s="242">
        <f>AVERAGE(O94:O100)</f>
        <v>0.70777777777777773</v>
      </c>
      <c r="P101" s="242">
        <f t="shared" ref="P101:Q101" si="98">AVERAGE(P94:P100)</f>
        <v>0.63150396825396826</v>
      </c>
      <c r="Q101" s="242">
        <f t="shared" si="98"/>
        <v>8.7041150793650797</v>
      </c>
      <c r="R101" s="242"/>
      <c r="S101" s="242"/>
      <c r="T101" s="242"/>
      <c r="U101" s="242">
        <f>AVERAGE(U94:U98)</f>
        <v>8.8700000000000001E-2</v>
      </c>
      <c r="V101" s="242">
        <f t="shared" ref="V101:W101" si="99">AVERAGE(V94:V98)</f>
        <v>0.25433333333333336</v>
      </c>
      <c r="W101" s="242">
        <f t="shared" si="99"/>
        <v>7.3094999999999999</v>
      </c>
    </row>
    <row r="102" spans="10:23" x14ac:dyDescent="0.3">
      <c r="J102" s="14" t="s">
        <v>323</v>
      </c>
      <c r="K102" s="14"/>
      <c r="L102" s="14"/>
      <c r="M102" s="14"/>
      <c r="N102" s="234">
        <f>SUM(N94:N100)</f>
        <v>2026.46206775</v>
      </c>
      <c r="O102" s="14"/>
      <c r="P102" s="14"/>
      <c r="Q102" s="14"/>
      <c r="R102" s="14"/>
      <c r="S102" s="14"/>
      <c r="T102" s="14"/>
      <c r="U102" s="14"/>
      <c r="V102" s="14"/>
      <c r="W102" s="14"/>
    </row>
  </sheetData>
  <mergeCells count="56">
    <mergeCell ref="BG7:BI7"/>
    <mergeCell ref="BG8:BI8"/>
    <mergeCell ref="BJ8:BL8"/>
    <mergeCell ref="BJ7:BL7"/>
    <mergeCell ref="BE66:BG66"/>
    <mergeCell ref="BE65:BG65"/>
    <mergeCell ref="AU80:BD80"/>
    <mergeCell ref="AU65:AW65"/>
    <mergeCell ref="AU66:AW66"/>
    <mergeCell ref="AY65:BD65"/>
    <mergeCell ref="AY66:BA66"/>
    <mergeCell ref="BB66:BD66"/>
    <mergeCell ref="AF69:AH69"/>
    <mergeCell ref="AD68:AH68"/>
    <mergeCell ref="AD69:AD70"/>
    <mergeCell ref="AE69:AE70"/>
    <mergeCell ref="AO65:AR65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AA8:AC8"/>
    <mergeCell ref="AE7:AE9"/>
    <mergeCell ref="B7:B9"/>
    <mergeCell ref="E7:E9"/>
    <mergeCell ref="F7:F9"/>
    <mergeCell ref="G7:G9"/>
    <mergeCell ref="H7:H9"/>
    <mergeCell ref="K7:K9"/>
    <mergeCell ref="L7:L9"/>
    <mergeCell ref="N92:N93"/>
    <mergeCell ref="U92:W92"/>
    <mergeCell ref="O92:Q92"/>
    <mergeCell ref="I7:I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242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311</v>
      </c>
      <c r="M4" s="103" t="s">
        <v>139</v>
      </c>
      <c r="Q4" s="1511" t="s">
        <v>473</v>
      </c>
      <c r="R4" s="1512"/>
      <c r="S4" s="1512"/>
      <c r="T4" s="1513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469</v>
      </c>
      <c r="Q5" s="1514"/>
      <c r="R5" s="1515"/>
      <c r="S5" s="1515"/>
      <c r="T5" s="1516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470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474</v>
      </c>
      <c r="D7" s="13" t="s">
        <v>472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475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474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501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502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503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312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91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541" t="s">
        <v>0</v>
      </c>
      <c r="B4" s="1544" t="s">
        <v>50</v>
      </c>
      <c r="C4" s="1544"/>
      <c r="D4" s="1544"/>
      <c r="E4" s="1544"/>
      <c r="F4" s="99"/>
      <c r="G4" s="54"/>
      <c r="H4" s="54"/>
      <c r="I4" s="104"/>
      <c r="J4" s="104"/>
      <c r="K4" s="104"/>
      <c r="L4" s="1555" t="s">
        <v>239</v>
      </c>
      <c r="M4" s="1556"/>
      <c r="N4" s="1557"/>
      <c r="O4" s="1555" t="s">
        <v>235</v>
      </c>
      <c r="P4" s="1556"/>
      <c r="Q4" s="1557"/>
      <c r="R4" s="1555" t="s">
        <v>236</v>
      </c>
      <c r="S4" s="1556"/>
      <c r="T4" s="1557"/>
      <c r="U4" s="1555" t="s">
        <v>237</v>
      </c>
      <c r="V4" s="1556"/>
      <c r="W4" s="1557"/>
      <c r="X4" s="1555" t="s">
        <v>238</v>
      </c>
      <c r="Y4" s="1556"/>
      <c r="Z4" s="1557"/>
      <c r="AA4" s="1555" t="s">
        <v>51</v>
      </c>
      <c r="AB4" s="1556"/>
      <c r="AC4" s="1557"/>
      <c r="AD4" s="1555" t="s">
        <v>52</v>
      </c>
      <c r="AE4" s="1556"/>
      <c r="AF4" s="1557"/>
      <c r="AG4" s="1558">
        <v>0.83333333333333337</v>
      </c>
      <c r="AH4" s="1556"/>
      <c r="AI4" s="1557"/>
      <c r="AJ4" s="1558">
        <v>0.91666666666666663</v>
      </c>
      <c r="AK4" s="1559"/>
      <c r="AL4" s="1560"/>
      <c r="AM4" s="1561">
        <v>0</v>
      </c>
      <c r="AN4" s="1562"/>
      <c r="AO4" s="1563"/>
      <c r="AP4" s="1558">
        <v>8.3333333333333329E-2</v>
      </c>
      <c r="AQ4" s="1559"/>
      <c r="AR4" s="1560"/>
      <c r="AS4" s="1558">
        <v>0.16666666666666666</v>
      </c>
      <c r="AT4" s="1559"/>
      <c r="AU4" s="1560"/>
      <c r="AV4" s="59" t="s">
        <v>53</v>
      </c>
      <c r="AW4" s="44"/>
    </row>
    <row r="5" spans="1:49" x14ac:dyDescent="0.3">
      <c r="A5" s="1541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226</v>
      </c>
      <c r="I5" s="54" t="s">
        <v>144</v>
      </c>
      <c r="J5" s="54" t="s">
        <v>224</v>
      </c>
      <c r="K5" s="54" t="s">
        <v>232</v>
      </c>
      <c r="L5" s="58" t="s">
        <v>55</v>
      </c>
      <c r="M5" s="58" t="s">
        <v>33</v>
      </c>
      <c r="N5" s="58" t="s">
        <v>225</v>
      </c>
      <c r="O5" s="58" t="s">
        <v>55</v>
      </c>
      <c r="P5" s="58" t="s">
        <v>33</v>
      </c>
      <c r="Q5" s="58" t="s">
        <v>225</v>
      </c>
      <c r="R5" s="58" t="s">
        <v>55</v>
      </c>
      <c r="S5" s="58" t="s">
        <v>33</v>
      </c>
      <c r="T5" s="58" t="s">
        <v>225</v>
      </c>
      <c r="U5" s="58" t="s">
        <v>55</v>
      </c>
      <c r="V5" s="58" t="s">
        <v>33</v>
      </c>
      <c r="W5" s="58" t="s">
        <v>225</v>
      </c>
      <c r="X5" s="58" t="s">
        <v>55</v>
      </c>
      <c r="Y5" s="58" t="s">
        <v>33</v>
      </c>
      <c r="Z5" s="58" t="s">
        <v>225</v>
      </c>
      <c r="AA5" s="58" t="s">
        <v>55</v>
      </c>
      <c r="AB5" s="58" t="s">
        <v>33</v>
      </c>
      <c r="AC5" s="58" t="s">
        <v>225</v>
      </c>
      <c r="AD5" s="58" t="s">
        <v>55</v>
      </c>
      <c r="AE5" s="58" t="s">
        <v>33</v>
      </c>
      <c r="AF5" s="58" t="s">
        <v>225</v>
      </c>
      <c r="AG5" s="58" t="s">
        <v>55</v>
      </c>
      <c r="AH5" s="58" t="s">
        <v>33</v>
      </c>
      <c r="AI5" s="58" t="s">
        <v>225</v>
      </c>
      <c r="AJ5" s="58" t="s">
        <v>55</v>
      </c>
      <c r="AK5" s="58" t="s">
        <v>33</v>
      </c>
      <c r="AL5" s="58" t="s">
        <v>225</v>
      </c>
      <c r="AM5" s="58" t="s">
        <v>55</v>
      </c>
      <c r="AN5" s="58" t="s">
        <v>33</v>
      </c>
      <c r="AO5" s="58" t="s">
        <v>225</v>
      </c>
      <c r="AP5" s="58" t="s">
        <v>55</v>
      </c>
      <c r="AQ5" s="58" t="s">
        <v>33</v>
      </c>
      <c r="AR5" s="58" t="s">
        <v>225</v>
      </c>
      <c r="AS5" s="58" t="s">
        <v>55</v>
      </c>
      <c r="AT5" s="58" t="s">
        <v>33</v>
      </c>
      <c r="AU5" s="58" t="s">
        <v>225</v>
      </c>
      <c r="AV5" s="45" t="s">
        <v>56</v>
      </c>
      <c r="AW5" s="45" t="s">
        <v>57</v>
      </c>
    </row>
    <row r="6" spans="1:49" x14ac:dyDescent="0.3">
      <c r="A6" s="1539">
        <v>46147</v>
      </c>
      <c r="B6" s="1542"/>
      <c r="C6" s="49" t="s">
        <v>169</v>
      </c>
      <c r="D6" s="49" t="s">
        <v>132</v>
      </c>
      <c r="E6" s="101"/>
      <c r="F6" s="98" t="s">
        <v>227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517" t="s">
        <v>231</v>
      </c>
      <c r="AW6" s="1518"/>
    </row>
    <row r="7" spans="1:49" x14ac:dyDescent="0.3">
      <c r="A7" s="1539"/>
      <c r="B7" s="1543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517"/>
      <c r="AW7" s="1519"/>
    </row>
    <row r="8" spans="1:49" x14ac:dyDescent="0.3">
      <c r="A8" s="1539"/>
      <c r="B8" s="1543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517"/>
      <c r="AW8" s="1519"/>
    </row>
    <row r="9" spans="1:49" ht="15" thickBot="1" x14ac:dyDescent="0.35">
      <c r="A9" s="1542"/>
      <c r="B9" s="1543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518"/>
      <c r="AW9" s="1520"/>
    </row>
    <row r="10" spans="1:49" x14ac:dyDescent="0.3">
      <c r="A10" s="1545">
        <v>46148</v>
      </c>
      <c r="B10" s="1564" t="s">
        <v>228</v>
      </c>
      <c r="C10" s="183" t="s">
        <v>169</v>
      </c>
      <c r="D10" s="184" t="s">
        <v>229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527" t="s">
        <v>240</v>
      </c>
      <c r="AW10" s="1530" t="s">
        <v>230</v>
      </c>
    </row>
    <row r="11" spans="1:49" x14ac:dyDescent="0.3">
      <c r="A11" s="1546"/>
      <c r="B11" s="1543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528"/>
      <c r="AW11" s="1531"/>
    </row>
    <row r="12" spans="1:49" x14ac:dyDescent="0.3">
      <c r="A12" s="1546"/>
      <c r="B12" s="1543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528"/>
      <c r="AW12" s="1531"/>
    </row>
    <row r="13" spans="1:49" ht="15" thickBot="1" x14ac:dyDescent="0.35">
      <c r="A13" s="1547"/>
      <c r="B13" s="1543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529"/>
      <c r="AW13" s="1532"/>
    </row>
    <row r="14" spans="1:49" ht="15" thickBot="1" x14ac:dyDescent="0.35">
      <c r="A14" s="1545">
        <v>46149</v>
      </c>
      <c r="B14" s="168" t="s">
        <v>274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527" t="s">
        <v>241</v>
      </c>
      <c r="AW14" s="1533"/>
    </row>
    <row r="15" spans="1:49" x14ac:dyDescent="0.3">
      <c r="A15" s="1546"/>
      <c r="B15" s="168" t="s">
        <v>233</v>
      </c>
      <c r="C15" s="49" t="s">
        <v>169</v>
      </c>
      <c r="D15" s="97" t="s">
        <v>234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528"/>
      <c r="AW15" s="1534"/>
    </row>
    <row r="16" spans="1:49" x14ac:dyDescent="0.3">
      <c r="A16" s="1546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528"/>
      <c r="AW16" s="1534"/>
    </row>
    <row r="17" spans="1:49" ht="15" thickBot="1" x14ac:dyDescent="0.35">
      <c r="A17" s="1547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528"/>
      <c r="AW17" s="1535"/>
    </row>
    <row r="18" spans="1:49" x14ac:dyDescent="0.3">
      <c r="A18" s="1548">
        <v>46150</v>
      </c>
      <c r="B18" s="168" t="s">
        <v>275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285</v>
      </c>
      <c r="AW18" s="1536"/>
    </row>
    <row r="19" spans="1:49" x14ac:dyDescent="0.3">
      <c r="A19" s="1539"/>
      <c r="B19" s="168" t="s">
        <v>276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286</v>
      </c>
      <c r="AW19" s="1537"/>
    </row>
    <row r="20" spans="1:49" x14ac:dyDescent="0.3">
      <c r="A20" s="1539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537"/>
    </row>
    <row r="21" spans="1:49" x14ac:dyDescent="0.3">
      <c r="A21" s="1539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537"/>
    </row>
    <row r="22" spans="1:49" x14ac:dyDescent="0.3">
      <c r="A22" s="1539">
        <v>46151</v>
      </c>
      <c r="B22" s="51"/>
      <c r="C22" s="49"/>
      <c r="D22" s="1524"/>
      <c r="E22" s="1521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537"/>
    </row>
    <row r="23" spans="1:49" x14ac:dyDescent="0.3">
      <c r="A23" s="1539"/>
      <c r="B23" s="52"/>
      <c r="C23" s="49"/>
      <c r="D23" s="1525"/>
      <c r="E23" s="1522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537"/>
    </row>
    <row r="24" spans="1:49" x14ac:dyDescent="0.3">
      <c r="A24" s="1539"/>
      <c r="B24" s="52"/>
      <c r="C24" s="49"/>
      <c r="D24" s="1525"/>
      <c r="E24" s="1522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537"/>
    </row>
    <row r="25" spans="1:49" ht="15" thickBot="1" x14ac:dyDescent="0.35">
      <c r="A25" s="1539"/>
      <c r="B25" s="53"/>
      <c r="C25" s="49"/>
      <c r="D25" s="1526"/>
      <c r="E25" s="1523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538"/>
    </row>
    <row r="26" spans="1:49" x14ac:dyDescent="0.3">
      <c r="A26" s="1539">
        <v>46152</v>
      </c>
      <c r="B26" s="51"/>
      <c r="C26" s="49"/>
      <c r="D26" s="1524"/>
      <c r="E26" s="1521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536"/>
      <c r="AW26" s="1536"/>
    </row>
    <row r="27" spans="1:49" x14ac:dyDescent="0.3">
      <c r="A27" s="1539"/>
      <c r="B27" s="52"/>
      <c r="C27" s="49"/>
      <c r="D27" s="1525"/>
      <c r="E27" s="1522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537"/>
      <c r="AW27" s="1537"/>
    </row>
    <row r="28" spans="1:49" x14ac:dyDescent="0.3">
      <c r="A28" s="1539"/>
      <c r="B28" s="52"/>
      <c r="C28" s="49"/>
      <c r="D28" s="1525"/>
      <c r="E28" s="1522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537"/>
      <c r="AW28" s="1537"/>
    </row>
    <row r="29" spans="1:49" x14ac:dyDescent="0.3">
      <c r="A29" s="1539"/>
      <c r="B29" s="53"/>
      <c r="C29" s="49"/>
      <c r="D29" s="1526"/>
      <c r="E29" s="1523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537"/>
      <c r="AW29" s="1537"/>
    </row>
    <row r="30" spans="1:49" x14ac:dyDescent="0.3">
      <c r="A30" s="1539">
        <v>46153</v>
      </c>
      <c r="B30" s="51"/>
      <c r="C30" s="49"/>
      <c r="D30" s="1524"/>
      <c r="E30" s="1521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537"/>
      <c r="AW30" s="1537"/>
    </row>
    <row r="31" spans="1:49" x14ac:dyDescent="0.3">
      <c r="A31" s="1539"/>
      <c r="B31" s="52"/>
      <c r="C31" s="49"/>
      <c r="D31" s="1525"/>
      <c r="E31" s="1522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537"/>
      <c r="AW31" s="1537"/>
    </row>
    <row r="32" spans="1:49" x14ac:dyDescent="0.3">
      <c r="A32" s="1539"/>
      <c r="B32" s="52"/>
      <c r="C32" s="49"/>
      <c r="D32" s="1525"/>
      <c r="E32" s="1522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537"/>
      <c r="AW32" s="1537"/>
    </row>
    <row r="33" spans="1:49" x14ac:dyDescent="0.3">
      <c r="A33" s="1539"/>
      <c r="B33" s="53"/>
      <c r="C33" s="49"/>
      <c r="D33" s="1526"/>
      <c r="E33" s="1523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538"/>
      <c r="AW33" s="1538"/>
    </row>
    <row r="34" spans="1:49" x14ac:dyDescent="0.3">
      <c r="A34" s="1539">
        <v>46154</v>
      </c>
      <c r="B34" s="51"/>
      <c r="C34" s="49"/>
      <c r="D34" s="1524"/>
      <c r="E34" s="1521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536"/>
      <c r="AW34" s="1536"/>
    </row>
    <row r="35" spans="1:49" x14ac:dyDescent="0.3">
      <c r="A35" s="1539"/>
      <c r="B35" s="52"/>
      <c r="C35" s="49"/>
      <c r="D35" s="1525"/>
      <c r="E35" s="1522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537"/>
      <c r="AW35" s="1537"/>
    </row>
    <row r="36" spans="1:49" x14ac:dyDescent="0.3">
      <c r="A36" s="1539"/>
      <c r="B36" s="52"/>
      <c r="C36" s="49"/>
      <c r="D36" s="1525"/>
      <c r="E36" s="1522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537"/>
      <c r="AW36" s="1537"/>
    </row>
    <row r="37" spans="1:49" x14ac:dyDescent="0.3">
      <c r="A37" s="1539"/>
      <c r="B37" s="53"/>
      <c r="C37" s="49"/>
      <c r="D37" s="1526"/>
      <c r="E37" s="1523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537"/>
      <c r="AW37" s="1537"/>
    </row>
    <row r="38" spans="1:49" x14ac:dyDescent="0.3">
      <c r="A38" s="1539">
        <v>46155</v>
      </c>
      <c r="B38" s="51"/>
      <c r="C38" s="49"/>
      <c r="D38" s="1524"/>
      <c r="E38" s="1521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537"/>
      <c r="AW38" s="1537"/>
    </row>
    <row r="39" spans="1:49" x14ac:dyDescent="0.3">
      <c r="A39" s="1539"/>
      <c r="B39" s="52"/>
      <c r="C39" s="49"/>
      <c r="D39" s="1525"/>
      <c r="E39" s="1522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537"/>
      <c r="AW39" s="1537"/>
    </row>
    <row r="40" spans="1:49" x14ac:dyDescent="0.3">
      <c r="A40" s="1539"/>
      <c r="B40" s="52"/>
      <c r="C40" s="49"/>
      <c r="D40" s="1525"/>
      <c r="E40" s="1522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537"/>
      <c r="AW40" s="1537"/>
    </row>
    <row r="41" spans="1:49" x14ac:dyDescent="0.3">
      <c r="A41" s="1539"/>
      <c r="B41" s="53"/>
      <c r="C41" s="49"/>
      <c r="D41" s="1526"/>
      <c r="E41" s="1523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538"/>
      <c r="AW41" s="1538"/>
    </row>
    <row r="42" spans="1:49" x14ac:dyDescent="0.3">
      <c r="A42" s="1539">
        <v>46156</v>
      </c>
      <c r="B42" s="51"/>
      <c r="C42" s="49"/>
      <c r="D42" s="1524"/>
      <c r="E42" s="1521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536"/>
      <c r="AW42" s="1536"/>
    </row>
    <row r="43" spans="1:49" x14ac:dyDescent="0.3">
      <c r="A43" s="1539"/>
      <c r="B43" s="52"/>
      <c r="C43" s="49"/>
      <c r="D43" s="1525"/>
      <c r="E43" s="1522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537"/>
      <c r="AW43" s="1537"/>
    </row>
    <row r="44" spans="1:49" x14ac:dyDescent="0.3">
      <c r="A44" s="1539"/>
      <c r="B44" s="52"/>
      <c r="C44" s="49"/>
      <c r="D44" s="1525"/>
      <c r="E44" s="1522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537"/>
      <c r="AW44" s="1537"/>
    </row>
    <row r="45" spans="1:49" x14ac:dyDescent="0.3">
      <c r="A45" s="1539"/>
      <c r="B45" s="53"/>
      <c r="C45" s="49"/>
      <c r="D45" s="1526"/>
      <c r="E45" s="1523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537"/>
      <c r="AW45" s="1537"/>
    </row>
    <row r="46" spans="1:49" x14ac:dyDescent="0.3">
      <c r="A46" s="1539">
        <v>46157</v>
      </c>
      <c r="B46" s="51"/>
      <c r="C46" s="49"/>
      <c r="D46" s="1552" t="s">
        <v>157</v>
      </c>
      <c r="E46" s="1521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537"/>
      <c r="AW46" s="1537"/>
    </row>
    <row r="47" spans="1:49" x14ac:dyDescent="0.3">
      <c r="A47" s="1539"/>
      <c r="B47" s="52"/>
      <c r="C47" s="49"/>
      <c r="D47" s="1553"/>
      <c r="E47" s="1522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537"/>
      <c r="AW47" s="1537"/>
    </row>
    <row r="48" spans="1:49" x14ac:dyDescent="0.3">
      <c r="A48" s="1539"/>
      <c r="B48" s="52"/>
      <c r="C48" s="49"/>
      <c r="D48" s="1553"/>
      <c r="E48" s="1522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537"/>
      <c r="AW48" s="1537"/>
    </row>
    <row r="49" spans="1:49" x14ac:dyDescent="0.3">
      <c r="A49" s="1539"/>
      <c r="B49" s="53"/>
      <c r="C49" s="49"/>
      <c r="D49" s="1554"/>
      <c r="E49" s="1523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538"/>
      <c r="AW49" s="1538"/>
    </row>
    <row r="50" spans="1:49" x14ac:dyDescent="0.3">
      <c r="A50" s="1539">
        <v>46158</v>
      </c>
      <c r="B50" s="51"/>
      <c r="C50" s="49"/>
      <c r="D50" s="1524"/>
      <c r="E50" s="1521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536"/>
      <c r="AW50" s="1536"/>
    </row>
    <row r="51" spans="1:49" x14ac:dyDescent="0.3">
      <c r="A51" s="1539"/>
      <c r="B51" s="52"/>
      <c r="C51" s="49"/>
      <c r="D51" s="1525"/>
      <c r="E51" s="1522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537"/>
      <c r="AW51" s="1537"/>
    </row>
    <row r="52" spans="1:49" x14ac:dyDescent="0.3">
      <c r="A52" s="1539"/>
      <c r="B52" s="52"/>
      <c r="C52" s="49"/>
      <c r="D52" s="1525"/>
      <c r="E52" s="1522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537"/>
      <c r="AW52" s="1537"/>
    </row>
    <row r="53" spans="1:49" x14ac:dyDescent="0.3">
      <c r="A53" s="1539"/>
      <c r="B53" s="53"/>
      <c r="C53" s="49"/>
      <c r="D53" s="1526"/>
      <c r="E53" s="1523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537"/>
      <c r="AW53" s="1537"/>
    </row>
    <row r="54" spans="1:49" x14ac:dyDescent="0.3">
      <c r="A54" s="1539">
        <v>46159</v>
      </c>
      <c r="B54" s="51"/>
      <c r="C54" s="49"/>
      <c r="D54" s="97"/>
      <c r="E54" s="1549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537"/>
      <c r="AW54" s="1537"/>
    </row>
    <row r="55" spans="1:49" x14ac:dyDescent="0.3">
      <c r="A55" s="1539"/>
      <c r="B55" s="52"/>
      <c r="C55" s="49"/>
      <c r="D55" s="97"/>
      <c r="E55" s="1550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537"/>
      <c r="AW55" s="1537"/>
    </row>
    <row r="56" spans="1:49" x14ac:dyDescent="0.3">
      <c r="A56" s="1539"/>
      <c r="B56" s="52"/>
      <c r="C56" s="49"/>
      <c r="D56" s="97"/>
      <c r="E56" s="1550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537"/>
      <c r="AW56" s="1537"/>
    </row>
    <row r="57" spans="1:49" x14ac:dyDescent="0.3">
      <c r="A57" s="1539"/>
      <c r="B57" s="53"/>
      <c r="C57" s="49"/>
      <c r="D57" s="97"/>
      <c r="E57" s="1551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538"/>
      <c r="AW57" s="1538"/>
    </row>
    <row r="58" spans="1:49" x14ac:dyDescent="0.3">
      <c r="A58" s="1539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536"/>
      <c r="AW58" s="1536"/>
    </row>
    <row r="59" spans="1:49" x14ac:dyDescent="0.3">
      <c r="A59" s="1539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537"/>
      <c r="AW59" s="1537"/>
    </row>
    <row r="60" spans="1:49" x14ac:dyDescent="0.3">
      <c r="A60" s="1539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537"/>
      <c r="AW60" s="1537"/>
    </row>
    <row r="61" spans="1:49" x14ac:dyDescent="0.3">
      <c r="A61" s="1539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537"/>
      <c r="AW61" s="1537"/>
    </row>
    <row r="62" spans="1:49" x14ac:dyDescent="0.3">
      <c r="A62" s="1539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537"/>
      <c r="AW62" s="1537"/>
    </row>
    <row r="63" spans="1:49" x14ac:dyDescent="0.3">
      <c r="A63" s="1539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537"/>
      <c r="AW63" s="1537"/>
    </row>
    <row r="64" spans="1:49" x14ac:dyDescent="0.3">
      <c r="A64" s="1539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537"/>
      <c r="AW64" s="1537"/>
    </row>
    <row r="65" spans="1:49" x14ac:dyDescent="0.3">
      <c r="A65" s="1539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538"/>
      <c r="AW65" s="1538"/>
    </row>
    <row r="66" spans="1:49" x14ac:dyDescent="0.3">
      <c r="A66" s="1539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536"/>
      <c r="AW66" s="1536"/>
    </row>
    <row r="67" spans="1:49" x14ac:dyDescent="0.3">
      <c r="A67" s="1539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537"/>
      <c r="AW67" s="1537"/>
    </row>
    <row r="68" spans="1:49" x14ac:dyDescent="0.3">
      <c r="A68" s="1539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537"/>
      <c r="AW68" s="1537"/>
    </row>
    <row r="69" spans="1:49" x14ac:dyDescent="0.3">
      <c r="A69" s="1539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537"/>
      <c r="AW69" s="1537"/>
    </row>
    <row r="70" spans="1:49" x14ac:dyDescent="0.3">
      <c r="A70" s="1539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537"/>
      <c r="AW70" s="1537"/>
    </row>
    <row r="71" spans="1:49" x14ac:dyDescent="0.3">
      <c r="A71" s="1539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537"/>
      <c r="AW71" s="1537"/>
    </row>
    <row r="72" spans="1:49" x14ac:dyDescent="0.3">
      <c r="A72" s="1539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537"/>
      <c r="AW72" s="1537"/>
    </row>
    <row r="73" spans="1:49" x14ac:dyDescent="0.3">
      <c r="A73" s="1539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538"/>
      <c r="AW73" s="1538"/>
    </row>
    <row r="74" spans="1:49" x14ac:dyDescent="0.3">
      <c r="A74" s="1539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536"/>
      <c r="AW74" s="1536"/>
    </row>
    <row r="75" spans="1:49" x14ac:dyDescent="0.3">
      <c r="A75" s="1539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537"/>
      <c r="AW75" s="1537"/>
    </row>
    <row r="76" spans="1:49" x14ac:dyDescent="0.3">
      <c r="A76" s="1539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537"/>
      <c r="AW76" s="1537"/>
    </row>
    <row r="77" spans="1:49" x14ac:dyDescent="0.3">
      <c r="A77" s="1539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537"/>
      <c r="AW77" s="1537"/>
    </row>
    <row r="78" spans="1:49" x14ac:dyDescent="0.3">
      <c r="A78" s="1539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537"/>
      <c r="AW78" s="1537"/>
    </row>
    <row r="79" spans="1:49" x14ac:dyDescent="0.3">
      <c r="A79" s="1539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537"/>
      <c r="AW79" s="1537"/>
    </row>
    <row r="80" spans="1:49" x14ac:dyDescent="0.3">
      <c r="A80" s="1539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537"/>
      <c r="AW80" s="1537"/>
    </row>
    <row r="81" spans="1:49" x14ac:dyDescent="0.3">
      <c r="A81" s="1539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538"/>
      <c r="AW81" s="1538"/>
    </row>
    <row r="82" spans="1:49" x14ac:dyDescent="0.3">
      <c r="A82" s="1539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536"/>
      <c r="AW82" s="1536"/>
    </row>
    <row r="83" spans="1:49" x14ac:dyDescent="0.3">
      <c r="A83" s="1539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537"/>
      <c r="AW83" s="1537"/>
    </row>
    <row r="84" spans="1:49" x14ac:dyDescent="0.3">
      <c r="A84" s="1539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537"/>
      <c r="AW84" s="1537"/>
    </row>
    <row r="85" spans="1:49" x14ac:dyDescent="0.3">
      <c r="A85" s="1539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537"/>
      <c r="AW85" s="1537"/>
    </row>
    <row r="86" spans="1:49" x14ac:dyDescent="0.3">
      <c r="A86" s="1539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537"/>
      <c r="AW86" s="1537"/>
    </row>
    <row r="87" spans="1:49" x14ac:dyDescent="0.3">
      <c r="A87" s="1539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537"/>
      <c r="AW87" s="1537"/>
    </row>
    <row r="88" spans="1:49" x14ac:dyDescent="0.3">
      <c r="A88" s="1539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537"/>
      <c r="AW88" s="1537"/>
    </row>
    <row r="89" spans="1:49" x14ac:dyDescent="0.3">
      <c r="A89" s="1539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538"/>
      <c r="AW89" s="1538"/>
    </row>
    <row r="90" spans="1:49" x14ac:dyDescent="0.3">
      <c r="A90" s="1539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536"/>
      <c r="AW90" s="1536"/>
    </row>
    <row r="91" spans="1:49" x14ac:dyDescent="0.3">
      <c r="A91" s="1539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537"/>
      <c r="AW91" s="1537"/>
    </row>
    <row r="92" spans="1:49" x14ac:dyDescent="0.3">
      <c r="A92" s="1539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537"/>
      <c r="AW92" s="1537"/>
    </row>
    <row r="93" spans="1:49" x14ac:dyDescent="0.3">
      <c r="A93" s="1539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537"/>
      <c r="AW93" s="1537"/>
    </row>
    <row r="94" spans="1:49" x14ac:dyDescent="0.3">
      <c r="A94" s="1539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537"/>
      <c r="AW94" s="1537"/>
    </row>
    <row r="95" spans="1:49" x14ac:dyDescent="0.3">
      <c r="A95" s="1539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537"/>
      <c r="AW95" s="1537"/>
    </row>
    <row r="96" spans="1:49" x14ac:dyDescent="0.3">
      <c r="A96" s="1539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537"/>
      <c r="AW96" s="1537"/>
    </row>
    <row r="97" spans="1:49" x14ac:dyDescent="0.3">
      <c r="A97" s="1539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538"/>
      <c r="AW97" s="1538"/>
    </row>
    <row r="98" spans="1:49" x14ac:dyDescent="0.3">
      <c r="A98" s="1539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536"/>
      <c r="AW98" s="1536"/>
    </row>
    <row r="99" spans="1:49" x14ac:dyDescent="0.3">
      <c r="A99" s="1539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537"/>
      <c r="AW99" s="1537"/>
    </row>
    <row r="100" spans="1:49" x14ac:dyDescent="0.3">
      <c r="A100" s="1539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537"/>
      <c r="AW100" s="1537"/>
    </row>
    <row r="101" spans="1:49" x14ac:dyDescent="0.3">
      <c r="A101" s="1539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537"/>
      <c r="AW101" s="1537"/>
    </row>
    <row r="102" spans="1:49" x14ac:dyDescent="0.3">
      <c r="A102" s="1539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537"/>
      <c r="AW102" s="1537"/>
    </row>
    <row r="103" spans="1:49" x14ac:dyDescent="0.3">
      <c r="A103" s="1539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537"/>
      <c r="AW103" s="1537"/>
    </row>
    <row r="104" spans="1:49" x14ac:dyDescent="0.3">
      <c r="A104" s="1539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537"/>
      <c r="AW104" s="1537"/>
    </row>
    <row r="105" spans="1:49" x14ac:dyDescent="0.3">
      <c r="A105" s="1539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538"/>
      <c r="AW105" s="1538"/>
    </row>
    <row r="106" spans="1:49" x14ac:dyDescent="0.3">
      <c r="A106" s="1539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536"/>
      <c r="AW106" s="1536"/>
    </row>
    <row r="107" spans="1:49" x14ac:dyDescent="0.3">
      <c r="A107" s="1539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537"/>
      <c r="AW107" s="1537"/>
    </row>
    <row r="108" spans="1:49" x14ac:dyDescent="0.3">
      <c r="A108" s="1539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537"/>
      <c r="AW108" s="1537"/>
    </row>
    <row r="109" spans="1:49" x14ac:dyDescent="0.3">
      <c r="A109" s="1539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537"/>
      <c r="AW109" s="1537"/>
    </row>
    <row r="110" spans="1:49" x14ac:dyDescent="0.3">
      <c r="A110" s="1539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537"/>
      <c r="AW110" s="1537"/>
    </row>
    <row r="111" spans="1:49" x14ac:dyDescent="0.3">
      <c r="A111" s="1539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537"/>
      <c r="AW111" s="1537"/>
    </row>
    <row r="112" spans="1:49" x14ac:dyDescent="0.3">
      <c r="A112" s="1539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537"/>
      <c r="AW112" s="1537"/>
    </row>
    <row r="113" spans="1:49" x14ac:dyDescent="0.3">
      <c r="A113" s="1539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538"/>
      <c r="AW113" s="1538"/>
    </row>
    <row r="114" spans="1:49" x14ac:dyDescent="0.3">
      <c r="A114" s="1539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536"/>
      <c r="AW114" s="1536"/>
    </row>
    <row r="115" spans="1:49" x14ac:dyDescent="0.3">
      <c r="A115" s="1539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537"/>
      <c r="AW115" s="1537"/>
    </row>
    <row r="116" spans="1:49" x14ac:dyDescent="0.3">
      <c r="A116" s="1539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537"/>
      <c r="AW116" s="1537"/>
    </row>
    <row r="117" spans="1:49" x14ac:dyDescent="0.3">
      <c r="A117" s="1539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537"/>
      <c r="AW117" s="1537"/>
    </row>
    <row r="118" spans="1:49" x14ac:dyDescent="0.3">
      <c r="A118" s="1539">
        <v>46175</v>
      </c>
      <c r="B118" s="51"/>
      <c r="C118" s="49"/>
      <c r="D118" s="1524"/>
      <c r="E118" s="1521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537"/>
      <c r="AW118" s="1537"/>
    </row>
    <row r="119" spans="1:49" x14ac:dyDescent="0.3">
      <c r="A119" s="1539"/>
      <c r="B119" s="52"/>
      <c r="C119" s="49"/>
      <c r="D119" s="1525"/>
      <c r="E119" s="1522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537"/>
      <c r="AW119" s="1537"/>
    </row>
    <row r="120" spans="1:49" x14ac:dyDescent="0.3">
      <c r="A120" s="1539"/>
      <c r="B120" s="52"/>
      <c r="C120" s="49"/>
      <c r="D120" s="1525"/>
      <c r="E120" s="1522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537"/>
      <c r="AW120" s="1537"/>
    </row>
    <row r="121" spans="1:49" x14ac:dyDescent="0.3">
      <c r="A121" s="1539"/>
      <c r="B121" s="53"/>
      <c r="C121" s="49"/>
      <c r="D121" s="1526"/>
      <c r="E121" s="1523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538"/>
      <c r="AW121" s="1538"/>
    </row>
    <row r="122" spans="1:49" x14ac:dyDescent="0.3">
      <c r="A122" s="1539">
        <v>46176</v>
      </c>
      <c r="B122" s="51"/>
      <c r="C122" s="49"/>
      <c r="D122" s="1524"/>
      <c r="E122" s="1521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536"/>
      <c r="AW122" s="1536"/>
    </row>
    <row r="123" spans="1:49" x14ac:dyDescent="0.3">
      <c r="A123" s="1539"/>
      <c r="B123" s="52"/>
      <c r="C123" s="49"/>
      <c r="D123" s="1525"/>
      <c r="E123" s="1522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537"/>
      <c r="AW123" s="1537"/>
    </row>
    <row r="124" spans="1:49" x14ac:dyDescent="0.3">
      <c r="A124" s="1539"/>
      <c r="B124" s="52"/>
      <c r="C124" s="49"/>
      <c r="D124" s="1525"/>
      <c r="E124" s="1522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537"/>
      <c r="AW124" s="1537"/>
    </row>
    <row r="125" spans="1:49" x14ac:dyDescent="0.3">
      <c r="A125" s="1539"/>
      <c r="B125" s="53"/>
      <c r="C125" s="49"/>
      <c r="D125" s="1526"/>
      <c r="E125" s="1523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537"/>
      <c r="AW125" s="1537"/>
    </row>
    <row r="126" spans="1:49" x14ac:dyDescent="0.3">
      <c r="A126" s="1539">
        <v>46177</v>
      </c>
      <c r="B126" s="51"/>
      <c r="C126" s="49"/>
      <c r="D126" s="1524"/>
      <c r="E126" s="1521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537"/>
      <c r="AW126" s="1537"/>
    </row>
    <row r="127" spans="1:49" x14ac:dyDescent="0.3">
      <c r="A127" s="1539"/>
      <c r="B127" s="52"/>
      <c r="C127" s="49"/>
      <c r="D127" s="1525"/>
      <c r="E127" s="1522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537"/>
      <c r="AW127" s="1537"/>
    </row>
    <row r="128" spans="1:49" x14ac:dyDescent="0.3">
      <c r="A128" s="1539"/>
      <c r="B128" s="52"/>
      <c r="C128" s="49"/>
      <c r="D128" s="1525"/>
      <c r="E128" s="1522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537"/>
      <c r="AW128" s="1537"/>
    </row>
    <row r="129" spans="1:49" x14ac:dyDescent="0.3">
      <c r="A129" s="1539"/>
      <c r="B129" s="53"/>
      <c r="C129" s="49"/>
      <c r="D129" s="1526"/>
      <c r="E129" s="1523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538"/>
      <c r="AW129" s="1538"/>
    </row>
    <row r="130" spans="1:49" x14ac:dyDescent="0.3">
      <c r="A130" s="18"/>
      <c r="B130" s="18"/>
      <c r="C130" s="18"/>
      <c r="D130" s="1539"/>
      <c r="E130" s="1540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536"/>
      <c r="AW130" s="1536"/>
    </row>
    <row r="131" spans="1:49" x14ac:dyDescent="0.3">
      <c r="A131" s="18"/>
      <c r="B131" s="18"/>
      <c r="C131" s="18"/>
      <c r="D131" s="1538"/>
      <c r="E131" s="1537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537"/>
      <c r="AW131" s="1537"/>
    </row>
    <row r="132" spans="1:49" x14ac:dyDescent="0.3">
      <c r="A132" s="18"/>
      <c r="B132" s="18"/>
      <c r="C132" s="18"/>
      <c r="D132" s="1538"/>
      <c r="E132" s="1537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537"/>
      <c r="AW132" s="1537"/>
    </row>
    <row r="133" spans="1:49" x14ac:dyDescent="0.3">
      <c r="A133" s="18"/>
      <c r="B133" s="18"/>
      <c r="C133" s="18"/>
      <c r="D133" s="1538"/>
      <c r="E133" s="1537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537"/>
      <c r="AW133" s="1537"/>
    </row>
    <row r="134" spans="1:49" x14ac:dyDescent="0.3">
      <c r="A134" s="18"/>
      <c r="B134" s="18"/>
      <c r="C134" s="18"/>
      <c r="D134" s="1538"/>
      <c r="E134" s="1537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537"/>
      <c r="AW134" s="1537"/>
    </row>
    <row r="135" spans="1:49" x14ac:dyDescent="0.3">
      <c r="A135" s="18"/>
      <c r="B135" s="18"/>
      <c r="C135" s="18"/>
      <c r="D135" s="1538"/>
      <c r="E135" s="1537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537"/>
      <c r="AW135" s="1537"/>
    </row>
    <row r="136" spans="1:49" x14ac:dyDescent="0.3">
      <c r="A136" s="18"/>
      <c r="B136" s="18"/>
      <c r="C136" s="18"/>
      <c r="D136" s="1538"/>
      <c r="E136" s="1537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537"/>
      <c r="AW136" s="1537"/>
    </row>
    <row r="137" spans="1:49" x14ac:dyDescent="0.3">
      <c r="A137" s="18"/>
      <c r="B137" s="18"/>
      <c r="C137" s="18"/>
      <c r="D137" s="1538"/>
      <c r="E137" s="1538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538"/>
      <c r="AW137" s="1538"/>
    </row>
    <row r="138" spans="1:49" x14ac:dyDescent="0.3">
      <c r="A138" s="18"/>
      <c r="B138" s="18"/>
      <c r="C138" s="18"/>
      <c r="D138" s="1539"/>
      <c r="E138" s="1540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536"/>
      <c r="AW138" s="1536"/>
    </row>
    <row r="139" spans="1:49" x14ac:dyDescent="0.3">
      <c r="A139" s="18"/>
      <c r="B139" s="18"/>
      <c r="C139" s="18"/>
      <c r="D139" s="1538"/>
      <c r="E139" s="1537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537"/>
      <c r="AW139" s="1537"/>
    </row>
    <row r="140" spans="1:49" x14ac:dyDescent="0.3">
      <c r="A140" s="18"/>
      <c r="B140" s="18"/>
      <c r="C140" s="18"/>
      <c r="D140" s="1538"/>
      <c r="E140" s="1537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537"/>
      <c r="AW140" s="1537"/>
    </row>
    <row r="141" spans="1:49" x14ac:dyDescent="0.3">
      <c r="A141" s="18"/>
      <c r="B141" s="18"/>
      <c r="C141" s="18"/>
      <c r="D141" s="1538"/>
      <c r="E141" s="1537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537"/>
      <c r="AW141" s="1537"/>
    </row>
    <row r="142" spans="1:49" x14ac:dyDescent="0.3">
      <c r="A142" s="18"/>
      <c r="B142" s="18"/>
      <c r="C142" s="18"/>
      <c r="D142" s="1538"/>
      <c r="E142" s="1537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537"/>
      <c r="AW142" s="1537"/>
    </row>
    <row r="143" spans="1:49" x14ac:dyDescent="0.3">
      <c r="A143" s="18"/>
      <c r="B143" s="18"/>
      <c r="C143" s="18"/>
      <c r="D143" s="1538"/>
      <c r="E143" s="1537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537"/>
      <c r="AW143" s="1537"/>
    </row>
    <row r="144" spans="1:49" x14ac:dyDescent="0.3">
      <c r="A144" s="18"/>
      <c r="B144" s="18"/>
      <c r="C144" s="18"/>
      <c r="D144" s="1538"/>
      <c r="E144" s="1537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537"/>
      <c r="AW144" s="1537"/>
    </row>
    <row r="145" spans="1:49" x14ac:dyDescent="0.3">
      <c r="A145" s="18"/>
      <c r="B145" s="18"/>
      <c r="C145" s="18"/>
      <c r="D145" s="1538"/>
      <c r="E145" s="1538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538"/>
      <c r="AW145" s="1538"/>
    </row>
    <row r="146" spans="1:49" x14ac:dyDescent="0.3">
      <c r="A146" s="18"/>
      <c r="B146" s="18"/>
      <c r="C146" s="18"/>
      <c r="D146" s="1539"/>
      <c r="E146" s="1540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536"/>
      <c r="AW146" s="1536"/>
    </row>
    <row r="147" spans="1:49" x14ac:dyDescent="0.3">
      <c r="A147" s="18"/>
      <c r="B147" s="18"/>
      <c r="C147" s="18"/>
      <c r="D147" s="1538"/>
      <c r="E147" s="1537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537"/>
      <c r="AW147" s="1537"/>
    </row>
    <row r="148" spans="1:49" x14ac:dyDescent="0.3">
      <c r="A148" s="18"/>
      <c r="B148" s="18"/>
      <c r="C148" s="18"/>
      <c r="D148" s="1538"/>
      <c r="E148" s="1537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537"/>
      <c r="AW148" s="1537"/>
    </row>
    <row r="149" spans="1:49" x14ac:dyDescent="0.3">
      <c r="A149" s="18"/>
      <c r="B149" s="18"/>
      <c r="C149" s="18"/>
      <c r="D149" s="1538"/>
      <c r="E149" s="1537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537"/>
      <c r="AW149" s="1537"/>
    </row>
    <row r="150" spans="1:49" x14ac:dyDescent="0.3">
      <c r="A150" s="18"/>
      <c r="B150" s="18"/>
      <c r="C150" s="18"/>
      <c r="D150" s="1538"/>
      <c r="E150" s="1537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537"/>
      <c r="AW150" s="1537"/>
    </row>
    <row r="151" spans="1:49" x14ac:dyDescent="0.3">
      <c r="A151" s="18"/>
      <c r="B151" s="18"/>
      <c r="C151" s="18"/>
      <c r="D151" s="1538"/>
      <c r="E151" s="1537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537"/>
      <c r="AW151" s="1537"/>
    </row>
    <row r="152" spans="1:49" x14ac:dyDescent="0.3">
      <c r="A152" s="18"/>
      <c r="B152" s="18"/>
      <c r="C152" s="18"/>
      <c r="D152" s="1538"/>
      <c r="E152" s="1537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537"/>
      <c r="AW152" s="1537"/>
    </row>
    <row r="153" spans="1:49" x14ac:dyDescent="0.3">
      <c r="A153" s="18"/>
      <c r="B153" s="18"/>
      <c r="C153" s="18"/>
      <c r="D153" s="1538"/>
      <c r="E153" s="1538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538"/>
      <c r="AW153" s="1538"/>
    </row>
    <row r="154" spans="1:49" x14ac:dyDescent="0.3">
      <c r="A154" s="18"/>
      <c r="B154" s="18"/>
      <c r="C154" s="18"/>
      <c r="D154" s="1539"/>
      <c r="E154" s="1540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536"/>
      <c r="AW154" s="1536"/>
    </row>
    <row r="155" spans="1:49" x14ac:dyDescent="0.3">
      <c r="A155" s="18"/>
      <c r="B155" s="18"/>
      <c r="C155" s="18"/>
      <c r="D155" s="1538"/>
      <c r="E155" s="1537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537"/>
      <c r="AW155" s="1537"/>
    </row>
    <row r="156" spans="1:49" x14ac:dyDescent="0.3">
      <c r="A156" s="18"/>
      <c r="B156" s="18"/>
      <c r="C156" s="18"/>
      <c r="D156" s="1538"/>
      <c r="E156" s="1537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537"/>
      <c r="AW156" s="1537"/>
    </row>
    <row r="157" spans="1:49" x14ac:dyDescent="0.3">
      <c r="A157" s="18"/>
      <c r="B157" s="18"/>
      <c r="C157" s="18"/>
      <c r="D157" s="1538"/>
      <c r="E157" s="1537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537"/>
      <c r="AW157" s="1537"/>
    </row>
    <row r="158" spans="1:49" x14ac:dyDescent="0.3">
      <c r="A158" s="18"/>
      <c r="B158" s="18"/>
      <c r="C158" s="18"/>
      <c r="D158" s="1538"/>
      <c r="E158" s="1537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537"/>
      <c r="AW158" s="1537"/>
    </row>
    <row r="159" spans="1:49" x14ac:dyDescent="0.3">
      <c r="A159" s="18"/>
      <c r="B159" s="18"/>
      <c r="C159" s="18"/>
      <c r="D159" s="1538"/>
      <c r="E159" s="1537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537"/>
      <c r="AW159" s="1537"/>
    </row>
    <row r="160" spans="1:49" x14ac:dyDescent="0.3">
      <c r="A160" s="18"/>
      <c r="B160" s="18"/>
      <c r="C160" s="18"/>
      <c r="D160" s="1538"/>
      <c r="E160" s="1537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537"/>
      <c r="AW160" s="1537"/>
    </row>
    <row r="161" spans="1:49" x14ac:dyDescent="0.3">
      <c r="A161" s="18"/>
      <c r="B161" s="18"/>
      <c r="C161" s="18"/>
      <c r="D161" s="1538"/>
      <c r="E161" s="1538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538"/>
      <c r="AW161" s="1538"/>
    </row>
    <row r="162" spans="1:49" x14ac:dyDescent="0.3">
      <c r="A162" s="18"/>
      <c r="B162" s="18"/>
      <c r="C162" s="18"/>
      <c r="D162" s="1539"/>
      <c r="E162" s="1540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536"/>
      <c r="AW162" s="1536"/>
    </row>
    <row r="163" spans="1:49" x14ac:dyDescent="0.3">
      <c r="A163" s="18"/>
      <c r="B163" s="18"/>
      <c r="C163" s="18"/>
      <c r="D163" s="1538"/>
      <c r="E163" s="1537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537"/>
      <c r="AW163" s="1537"/>
    </row>
    <row r="164" spans="1:49" x14ac:dyDescent="0.3">
      <c r="A164" s="18"/>
      <c r="B164" s="18"/>
      <c r="C164" s="18"/>
      <c r="D164" s="1538"/>
      <c r="E164" s="1537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537"/>
      <c r="AW164" s="1537"/>
    </row>
    <row r="165" spans="1:49" x14ac:dyDescent="0.3">
      <c r="A165" s="18"/>
      <c r="B165" s="18"/>
      <c r="C165" s="18"/>
      <c r="D165" s="1538"/>
      <c r="E165" s="1537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537"/>
      <c r="AW165" s="1537"/>
    </row>
    <row r="166" spans="1:49" x14ac:dyDescent="0.3">
      <c r="A166" s="18"/>
      <c r="B166" s="18"/>
      <c r="C166" s="18"/>
      <c r="D166" s="1538"/>
      <c r="E166" s="1537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537"/>
      <c r="AW166" s="1537"/>
    </row>
    <row r="167" spans="1:49" x14ac:dyDescent="0.3">
      <c r="A167" s="18"/>
      <c r="B167" s="18"/>
      <c r="C167" s="18"/>
      <c r="D167" s="1538"/>
      <c r="E167" s="1537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537"/>
      <c r="AW167" s="1537"/>
    </row>
    <row r="168" spans="1:49" x14ac:dyDescent="0.3">
      <c r="A168" s="18"/>
      <c r="B168" s="18"/>
      <c r="C168" s="18"/>
      <c r="D168" s="1538"/>
      <c r="E168" s="1537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537"/>
      <c r="AW168" s="1537"/>
    </row>
    <row r="169" spans="1:49" x14ac:dyDescent="0.3">
      <c r="A169" s="18"/>
      <c r="B169" s="18"/>
      <c r="C169" s="18"/>
      <c r="D169" s="1538"/>
      <c r="E169" s="1538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538"/>
      <c r="AW169" s="1538"/>
    </row>
    <row r="170" spans="1:49" x14ac:dyDescent="0.3">
      <c r="A170" s="18"/>
      <c r="B170" s="18"/>
      <c r="C170" s="18"/>
      <c r="D170" s="1539"/>
      <c r="E170" s="1540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536"/>
      <c r="AW170" s="1536"/>
    </row>
    <row r="171" spans="1:49" x14ac:dyDescent="0.3">
      <c r="A171" s="18"/>
      <c r="B171" s="18"/>
      <c r="C171" s="18"/>
      <c r="D171" s="1538"/>
      <c r="E171" s="1537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537"/>
      <c r="AW171" s="1537"/>
    </row>
    <row r="172" spans="1:49" x14ac:dyDescent="0.3">
      <c r="A172" s="18"/>
      <c r="B172" s="18"/>
      <c r="C172" s="18"/>
      <c r="D172" s="1538"/>
      <c r="E172" s="1537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537"/>
      <c r="AW172" s="1537"/>
    </row>
    <row r="173" spans="1:49" x14ac:dyDescent="0.3">
      <c r="A173" s="18"/>
      <c r="B173" s="18"/>
      <c r="C173" s="18"/>
      <c r="D173" s="1538"/>
      <c r="E173" s="1537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537"/>
      <c r="AW173" s="1537"/>
    </row>
    <row r="174" spans="1:49" x14ac:dyDescent="0.3">
      <c r="A174" s="18"/>
      <c r="B174" s="18"/>
      <c r="C174" s="18"/>
      <c r="D174" s="1538"/>
      <c r="E174" s="1537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537"/>
      <c r="AW174" s="1537"/>
    </row>
    <row r="175" spans="1:49" x14ac:dyDescent="0.3">
      <c r="A175" s="18"/>
      <c r="B175" s="18"/>
      <c r="C175" s="18"/>
      <c r="D175" s="1538"/>
      <c r="E175" s="1537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537"/>
      <c r="AW175" s="1537"/>
    </row>
    <row r="176" spans="1:49" x14ac:dyDescent="0.3">
      <c r="A176" s="18"/>
      <c r="B176" s="18"/>
      <c r="C176" s="18"/>
      <c r="D176" s="1538"/>
      <c r="E176" s="1537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537"/>
      <c r="AW176" s="1537"/>
    </row>
    <row r="177" spans="1:49" x14ac:dyDescent="0.3">
      <c r="A177" s="18"/>
      <c r="B177" s="18"/>
      <c r="C177" s="18"/>
      <c r="D177" s="1538"/>
      <c r="E177" s="1538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538"/>
      <c r="AW177" s="1538"/>
    </row>
    <row r="178" spans="1:49" x14ac:dyDescent="0.3">
      <c r="A178" s="18"/>
      <c r="B178" s="18"/>
      <c r="C178" s="18"/>
      <c r="D178" s="1539"/>
      <c r="E178" s="1540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536"/>
      <c r="AW178" s="1536"/>
    </row>
    <row r="179" spans="1:49" x14ac:dyDescent="0.3">
      <c r="A179" s="18"/>
      <c r="B179" s="18"/>
      <c r="C179" s="18"/>
      <c r="D179" s="1538"/>
      <c r="E179" s="1537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537"/>
      <c r="AW179" s="1537"/>
    </row>
    <row r="180" spans="1:49" x14ac:dyDescent="0.3">
      <c r="A180" s="18"/>
      <c r="B180" s="18"/>
      <c r="C180" s="18"/>
      <c r="D180" s="1538"/>
      <c r="E180" s="1537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537"/>
      <c r="AW180" s="1537"/>
    </row>
    <row r="181" spans="1:49" x14ac:dyDescent="0.3">
      <c r="A181" s="18"/>
      <c r="B181" s="18"/>
      <c r="C181" s="18"/>
      <c r="D181" s="1538"/>
      <c r="E181" s="1537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537"/>
      <c r="AW181" s="1537"/>
    </row>
    <row r="182" spans="1:49" x14ac:dyDescent="0.3">
      <c r="A182" s="18"/>
      <c r="B182" s="18"/>
      <c r="C182" s="18"/>
      <c r="D182" s="1538"/>
      <c r="E182" s="1537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537"/>
      <c r="AW182" s="1537"/>
    </row>
    <row r="183" spans="1:49" x14ac:dyDescent="0.3">
      <c r="A183" s="18"/>
      <c r="B183" s="18"/>
      <c r="C183" s="18"/>
      <c r="D183" s="1538"/>
      <c r="E183" s="1537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537"/>
      <c r="AW183" s="1537"/>
    </row>
    <row r="184" spans="1:49" x14ac:dyDescent="0.3">
      <c r="A184" s="18"/>
      <c r="B184" s="18"/>
      <c r="C184" s="18"/>
      <c r="D184" s="1538"/>
      <c r="E184" s="1537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537"/>
      <c r="AW184" s="1537"/>
    </row>
    <row r="185" spans="1:49" x14ac:dyDescent="0.3">
      <c r="A185" s="18"/>
      <c r="B185" s="18"/>
      <c r="C185" s="18"/>
      <c r="D185" s="1538"/>
      <c r="E185" s="1538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538"/>
      <c r="AW185" s="1538"/>
    </row>
    <row r="186" spans="1:49" x14ac:dyDescent="0.3">
      <c r="A186" s="18"/>
      <c r="B186" s="18"/>
      <c r="C186" s="18"/>
      <c r="D186" s="1539"/>
      <c r="E186" s="1540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536"/>
      <c r="AW186" s="1536"/>
    </row>
    <row r="187" spans="1:49" x14ac:dyDescent="0.3">
      <c r="A187" s="18"/>
      <c r="B187" s="18"/>
      <c r="C187" s="18"/>
      <c r="D187" s="1538"/>
      <c r="E187" s="1537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537"/>
      <c r="AW187" s="1537"/>
    </row>
    <row r="188" spans="1:49" x14ac:dyDescent="0.3">
      <c r="A188" s="18"/>
      <c r="B188" s="18"/>
      <c r="C188" s="18"/>
      <c r="D188" s="1538"/>
      <c r="E188" s="1537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537"/>
      <c r="AW188" s="1537"/>
    </row>
    <row r="189" spans="1:49" x14ac:dyDescent="0.3">
      <c r="A189" s="18"/>
      <c r="B189" s="18"/>
      <c r="C189" s="18"/>
      <c r="D189" s="1538"/>
      <c r="E189" s="1537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537"/>
      <c r="AW189" s="1537"/>
    </row>
    <row r="190" spans="1:49" x14ac:dyDescent="0.3">
      <c r="A190" s="18"/>
      <c r="B190" s="18"/>
      <c r="C190" s="18"/>
      <c r="D190" s="1538"/>
      <c r="E190" s="1537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537"/>
      <c r="AW190" s="1537"/>
    </row>
    <row r="191" spans="1:49" x14ac:dyDescent="0.3">
      <c r="A191" s="18"/>
      <c r="B191" s="18"/>
      <c r="C191" s="18"/>
      <c r="D191" s="1538"/>
      <c r="E191" s="1537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537"/>
      <c r="AW191" s="1537"/>
    </row>
    <row r="192" spans="1:49" x14ac:dyDescent="0.3">
      <c r="A192" s="18"/>
      <c r="B192" s="18"/>
      <c r="C192" s="18"/>
      <c r="D192" s="1538"/>
      <c r="E192" s="1537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537"/>
      <c r="AW192" s="1537"/>
    </row>
    <row r="193" spans="1:49" x14ac:dyDescent="0.3">
      <c r="A193" s="18"/>
      <c r="B193" s="18"/>
      <c r="C193" s="18"/>
      <c r="D193" s="1538"/>
      <c r="E193" s="1538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538"/>
      <c r="AW193" s="1538"/>
    </row>
    <row r="194" spans="1:49" x14ac:dyDescent="0.3">
      <c r="A194" s="18"/>
      <c r="B194" s="18"/>
      <c r="C194" s="18"/>
      <c r="D194" s="1539"/>
      <c r="E194" s="1540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536"/>
      <c r="AW194" s="1536"/>
    </row>
    <row r="195" spans="1:49" x14ac:dyDescent="0.3">
      <c r="A195" s="18"/>
      <c r="B195" s="18"/>
      <c r="C195" s="18"/>
      <c r="D195" s="1538"/>
      <c r="E195" s="1537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537"/>
      <c r="AW195" s="1537"/>
    </row>
    <row r="196" spans="1:49" x14ac:dyDescent="0.3">
      <c r="A196" s="18"/>
      <c r="B196" s="18"/>
      <c r="C196" s="18"/>
      <c r="D196" s="1538"/>
      <c r="E196" s="1537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537"/>
      <c r="AW196" s="1537"/>
    </row>
    <row r="197" spans="1:49" x14ac:dyDescent="0.3">
      <c r="A197" s="18"/>
      <c r="B197" s="18"/>
      <c r="C197" s="18"/>
      <c r="D197" s="1538"/>
      <c r="E197" s="1537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537"/>
      <c r="AW197" s="1537"/>
    </row>
    <row r="198" spans="1:49" x14ac:dyDescent="0.3">
      <c r="A198" s="18"/>
      <c r="B198" s="18"/>
      <c r="C198" s="18"/>
      <c r="D198" s="1538"/>
      <c r="E198" s="1537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537"/>
      <c r="AW198" s="1537"/>
    </row>
    <row r="199" spans="1:49" x14ac:dyDescent="0.3">
      <c r="A199" s="18"/>
      <c r="B199" s="18"/>
      <c r="C199" s="18"/>
      <c r="D199" s="1538"/>
      <c r="E199" s="1537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537"/>
      <c r="AW199" s="1537"/>
    </row>
    <row r="200" spans="1:49" x14ac:dyDescent="0.3">
      <c r="A200" s="18"/>
      <c r="B200" s="18"/>
      <c r="C200" s="18"/>
      <c r="D200" s="1538"/>
      <c r="E200" s="1537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537"/>
      <c r="AW200" s="1537"/>
    </row>
    <row r="201" spans="1:49" x14ac:dyDescent="0.3">
      <c r="A201" s="18"/>
      <c r="B201" s="18"/>
      <c r="C201" s="18"/>
      <c r="D201" s="1538"/>
      <c r="E201" s="1538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538"/>
      <c r="AW201" s="1538"/>
    </row>
    <row r="202" spans="1:49" x14ac:dyDescent="0.3">
      <c r="A202" s="18"/>
      <c r="B202" s="18"/>
      <c r="C202" s="18"/>
      <c r="D202" s="1539"/>
      <c r="E202" s="1540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536"/>
      <c r="AW202" s="1536"/>
    </row>
    <row r="203" spans="1:49" x14ac:dyDescent="0.3">
      <c r="A203" s="18"/>
      <c r="B203" s="18"/>
      <c r="C203" s="18"/>
      <c r="D203" s="1538"/>
      <c r="E203" s="1537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537"/>
      <c r="AW203" s="1537"/>
    </row>
    <row r="204" spans="1:49" x14ac:dyDescent="0.3">
      <c r="A204" s="18"/>
      <c r="B204" s="18"/>
      <c r="C204" s="18"/>
      <c r="D204" s="1538"/>
      <c r="E204" s="1537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537"/>
      <c r="AW204" s="1537"/>
    </row>
    <row r="205" spans="1:49" x14ac:dyDescent="0.3">
      <c r="A205" s="18"/>
      <c r="B205" s="18"/>
      <c r="C205" s="18"/>
      <c r="D205" s="1538"/>
      <c r="E205" s="1537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537"/>
      <c r="AW205" s="1537"/>
    </row>
    <row r="206" spans="1:49" x14ac:dyDescent="0.3">
      <c r="A206" s="18"/>
      <c r="B206" s="18"/>
      <c r="C206" s="18"/>
      <c r="D206" s="1538"/>
      <c r="E206" s="1537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537"/>
      <c r="AW206" s="1537"/>
    </row>
    <row r="207" spans="1:49" x14ac:dyDescent="0.3">
      <c r="A207" s="18"/>
      <c r="B207" s="18"/>
      <c r="C207" s="18"/>
      <c r="D207" s="1538"/>
      <c r="E207" s="1537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537"/>
      <c r="AW207" s="1537"/>
    </row>
    <row r="208" spans="1:49" x14ac:dyDescent="0.3">
      <c r="A208" s="18"/>
      <c r="B208" s="18"/>
      <c r="C208" s="18"/>
      <c r="D208" s="1538"/>
      <c r="E208" s="1537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537"/>
      <c r="AW208" s="1537"/>
    </row>
    <row r="209" spans="1:49" x14ac:dyDescent="0.3">
      <c r="A209" s="18"/>
      <c r="B209" s="18"/>
      <c r="C209" s="18"/>
      <c r="D209" s="1538"/>
      <c r="E209" s="1538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538"/>
      <c r="AW209" s="1538"/>
    </row>
    <row r="210" spans="1:49" x14ac:dyDescent="0.3">
      <c r="A210" s="18"/>
      <c r="B210" s="18"/>
      <c r="C210" s="18"/>
      <c r="D210" s="1539"/>
      <c r="E210" s="1540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536"/>
      <c r="AW210" s="1536"/>
    </row>
    <row r="211" spans="1:49" x14ac:dyDescent="0.3">
      <c r="A211" s="18"/>
      <c r="B211" s="18"/>
      <c r="C211" s="18"/>
      <c r="D211" s="1538"/>
      <c r="E211" s="1537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537"/>
      <c r="AW211" s="1537"/>
    </row>
    <row r="212" spans="1:49" x14ac:dyDescent="0.3">
      <c r="A212" s="18"/>
      <c r="B212" s="18"/>
      <c r="C212" s="18"/>
      <c r="D212" s="1538"/>
      <c r="E212" s="1537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537"/>
      <c r="AW212" s="1537"/>
    </row>
    <row r="213" spans="1:49" x14ac:dyDescent="0.3">
      <c r="A213" s="18"/>
      <c r="B213" s="18"/>
      <c r="C213" s="18"/>
      <c r="D213" s="1538"/>
      <c r="E213" s="1537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537"/>
      <c r="AW213" s="1537"/>
    </row>
    <row r="214" spans="1:49" x14ac:dyDescent="0.3">
      <c r="A214" s="18"/>
      <c r="B214" s="18"/>
      <c r="C214" s="18"/>
      <c r="D214" s="1538"/>
      <c r="E214" s="1537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537"/>
      <c r="AW214" s="1537"/>
    </row>
    <row r="215" spans="1:49" x14ac:dyDescent="0.3">
      <c r="A215" s="18"/>
      <c r="B215" s="18"/>
      <c r="C215" s="18"/>
      <c r="D215" s="1538"/>
      <c r="E215" s="1537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537"/>
      <c r="AW215" s="1537"/>
    </row>
    <row r="216" spans="1:49" x14ac:dyDescent="0.3">
      <c r="A216" s="18"/>
      <c r="B216" s="18"/>
      <c r="C216" s="18"/>
      <c r="D216" s="1538"/>
      <c r="E216" s="1537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537"/>
      <c r="AW216" s="1537"/>
    </row>
    <row r="217" spans="1:49" x14ac:dyDescent="0.3">
      <c r="A217" s="18"/>
      <c r="B217" s="18"/>
      <c r="C217" s="18"/>
      <c r="D217" s="1538"/>
      <c r="E217" s="1538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538"/>
      <c r="AW217" s="1538"/>
    </row>
    <row r="218" spans="1:49" x14ac:dyDescent="0.3">
      <c r="A218" s="18"/>
      <c r="B218" s="18"/>
      <c r="C218" s="18"/>
      <c r="D218" s="1539"/>
      <c r="E218" s="1540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536"/>
      <c r="AW218" s="1536"/>
    </row>
    <row r="219" spans="1:49" x14ac:dyDescent="0.3">
      <c r="A219" s="18"/>
      <c r="B219" s="18"/>
      <c r="C219" s="18"/>
      <c r="D219" s="1538"/>
      <c r="E219" s="1537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537"/>
      <c r="AW219" s="1537"/>
    </row>
    <row r="220" spans="1:49" x14ac:dyDescent="0.3">
      <c r="A220" s="18"/>
      <c r="B220" s="18"/>
      <c r="C220" s="18"/>
      <c r="D220" s="1538"/>
      <c r="E220" s="1537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537"/>
      <c r="AW220" s="1537"/>
    </row>
    <row r="221" spans="1:49" x14ac:dyDescent="0.3">
      <c r="A221" s="18"/>
      <c r="B221" s="18"/>
      <c r="C221" s="18"/>
      <c r="D221" s="1538"/>
      <c r="E221" s="1537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537"/>
      <c r="AW221" s="1537"/>
    </row>
    <row r="222" spans="1:49" x14ac:dyDescent="0.3">
      <c r="A222" s="18"/>
      <c r="B222" s="18"/>
      <c r="C222" s="18"/>
      <c r="D222" s="1538"/>
      <c r="E222" s="1537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537"/>
      <c r="AW222" s="1537"/>
    </row>
    <row r="223" spans="1:49" x14ac:dyDescent="0.3">
      <c r="A223" s="18"/>
      <c r="B223" s="18"/>
      <c r="C223" s="18"/>
      <c r="D223" s="1538"/>
      <c r="E223" s="1537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537"/>
      <c r="AW223" s="1537"/>
    </row>
    <row r="224" spans="1:49" x14ac:dyDescent="0.3">
      <c r="A224" s="18"/>
      <c r="B224" s="18"/>
      <c r="C224" s="18"/>
      <c r="D224" s="1538"/>
      <c r="E224" s="1537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537"/>
      <c r="AW224" s="1537"/>
    </row>
    <row r="225" spans="1:49" x14ac:dyDescent="0.3">
      <c r="A225" s="18"/>
      <c r="B225" s="18"/>
      <c r="C225" s="18"/>
      <c r="D225" s="1538"/>
      <c r="E225" s="1538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538"/>
      <c r="AW225" s="1538"/>
    </row>
    <row r="226" spans="1:49" x14ac:dyDescent="0.3">
      <c r="A226" s="18"/>
      <c r="B226" s="18"/>
      <c r="C226" s="18"/>
      <c r="D226" s="1539"/>
      <c r="E226" s="1540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536"/>
      <c r="AW226" s="1536"/>
    </row>
    <row r="227" spans="1:49" x14ac:dyDescent="0.3">
      <c r="A227" s="18"/>
      <c r="B227" s="18"/>
      <c r="C227" s="18"/>
      <c r="D227" s="1538"/>
      <c r="E227" s="1537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537"/>
      <c r="AW227" s="1537"/>
    </row>
    <row r="228" spans="1:49" x14ac:dyDescent="0.3">
      <c r="A228" s="18"/>
      <c r="B228" s="18"/>
      <c r="C228" s="18"/>
      <c r="D228" s="1538"/>
      <c r="E228" s="1537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537"/>
      <c r="AW228" s="1537"/>
    </row>
    <row r="229" spans="1:49" x14ac:dyDescent="0.3">
      <c r="A229" s="18"/>
      <c r="B229" s="18"/>
      <c r="C229" s="18"/>
      <c r="D229" s="1538"/>
      <c r="E229" s="1537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537"/>
      <c r="AW229" s="1537"/>
    </row>
    <row r="230" spans="1:49" x14ac:dyDescent="0.3">
      <c r="A230" s="18"/>
      <c r="B230" s="18"/>
      <c r="C230" s="18"/>
      <c r="D230" s="1538"/>
      <c r="E230" s="1537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537"/>
      <c r="AW230" s="1537"/>
    </row>
    <row r="231" spans="1:49" x14ac:dyDescent="0.3">
      <c r="A231" s="18"/>
      <c r="B231" s="18"/>
      <c r="C231" s="18"/>
      <c r="D231" s="1538"/>
      <c r="E231" s="1537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537"/>
      <c r="AW231" s="1537"/>
    </row>
    <row r="232" spans="1:49" x14ac:dyDescent="0.3">
      <c r="A232" s="18"/>
      <c r="B232" s="18"/>
      <c r="C232" s="18"/>
      <c r="D232" s="1538"/>
      <c r="E232" s="1537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537"/>
      <c r="AW232" s="1537"/>
    </row>
    <row r="233" spans="1:49" x14ac:dyDescent="0.3">
      <c r="A233" s="18"/>
      <c r="B233" s="18"/>
      <c r="C233" s="18"/>
      <c r="D233" s="1538"/>
      <c r="E233" s="1538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538"/>
      <c r="AW233" s="1538"/>
    </row>
    <row r="234" spans="1:49" x14ac:dyDescent="0.3">
      <c r="A234" s="18"/>
      <c r="B234" s="18"/>
      <c r="C234" s="18"/>
      <c r="D234" s="1539"/>
      <c r="E234" s="1540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536"/>
      <c r="AW234" s="1536"/>
    </row>
    <row r="235" spans="1:49" x14ac:dyDescent="0.3">
      <c r="A235" s="18"/>
      <c r="B235" s="18"/>
      <c r="C235" s="18"/>
      <c r="D235" s="1538"/>
      <c r="E235" s="1537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537"/>
      <c r="AW235" s="1537"/>
    </row>
    <row r="236" spans="1:49" x14ac:dyDescent="0.3">
      <c r="A236" s="18"/>
      <c r="B236" s="18"/>
      <c r="C236" s="18"/>
      <c r="D236" s="1538"/>
      <c r="E236" s="1537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537"/>
      <c r="AW236" s="1537"/>
    </row>
    <row r="237" spans="1:49" x14ac:dyDescent="0.3">
      <c r="A237" s="18"/>
      <c r="B237" s="18"/>
      <c r="C237" s="18"/>
      <c r="D237" s="1538"/>
      <c r="E237" s="1537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537"/>
      <c r="AW237" s="1537"/>
    </row>
    <row r="238" spans="1:49" x14ac:dyDescent="0.3">
      <c r="A238" s="18"/>
      <c r="B238" s="18"/>
      <c r="C238" s="18"/>
      <c r="D238" s="1538"/>
      <c r="E238" s="1537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537"/>
      <c r="AW238" s="1537"/>
    </row>
    <row r="239" spans="1:49" x14ac:dyDescent="0.3">
      <c r="A239" s="18"/>
      <c r="B239" s="18"/>
      <c r="C239" s="18"/>
      <c r="D239" s="1538"/>
      <c r="E239" s="1537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537"/>
      <c r="AW239" s="1537"/>
    </row>
    <row r="240" spans="1:49" x14ac:dyDescent="0.3">
      <c r="A240" s="18"/>
      <c r="B240" s="18"/>
      <c r="C240" s="18"/>
      <c r="D240" s="1538"/>
      <c r="E240" s="1537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537"/>
      <c r="AW240" s="1537"/>
    </row>
    <row r="241" spans="1:49" x14ac:dyDescent="0.3">
      <c r="A241" s="18"/>
      <c r="B241" s="18"/>
      <c r="C241" s="18"/>
      <c r="D241" s="1538"/>
      <c r="E241" s="1538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538"/>
      <c r="AW241" s="1538"/>
    </row>
    <row r="242" spans="1:49" x14ac:dyDescent="0.3">
      <c r="A242" s="18"/>
      <c r="B242" s="18"/>
      <c r="C242" s="18"/>
      <c r="D242" s="1539"/>
      <c r="E242" s="1540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536"/>
      <c r="AW242" s="1536"/>
    </row>
    <row r="243" spans="1:49" x14ac:dyDescent="0.3">
      <c r="A243" s="18"/>
      <c r="B243" s="18"/>
      <c r="C243" s="18"/>
      <c r="D243" s="1538"/>
      <c r="E243" s="1537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537"/>
      <c r="AW243" s="1537"/>
    </row>
    <row r="244" spans="1:49" x14ac:dyDescent="0.3">
      <c r="A244" s="18"/>
      <c r="B244" s="18"/>
      <c r="C244" s="18"/>
      <c r="D244" s="1538"/>
      <c r="E244" s="1537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537"/>
      <c r="AW244" s="1537"/>
    </row>
    <row r="245" spans="1:49" x14ac:dyDescent="0.3">
      <c r="A245" s="18"/>
      <c r="B245" s="18"/>
      <c r="C245" s="18"/>
      <c r="D245" s="1538"/>
      <c r="E245" s="1537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537"/>
      <c r="AW245" s="1537"/>
    </row>
    <row r="246" spans="1:49" x14ac:dyDescent="0.3">
      <c r="A246" s="18"/>
      <c r="B246" s="18"/>
      <c r="C246" s="18"/>
      <c r="D246" s="1538"/>
      <c r="E246" s="1537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537"/>
      <c r="AW246" s="1537"/>
    </row>
    <row r="247" spans="1:49" x14ac:dyDescent="0.3">
      <c r="A247" s="18"/>
      <c r="B247" s="18"/>
      <c r="C247" s="18"/>
      <c r="D247" s="1538"/>
      <c r="E247" s="1537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537"/>
      <c r="AW247" s="1537"/>
    </row>
    <row r="248" spans="1:49" x14ac:dyDescent="0.3">
      <c r="A248" s="18"/>
      <c r="B248" s="18"/>
      <c r="C248" s="18"/>
      <c r="D248" s="1538"/>
      <c r="E248" s="1537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537"/>
      <c r="AW248" s="1537"/>
    </row>
    <row r="249" spans="1:49" x14ac:dyDescent="0.3">
      <c r="A249" s="18"/>
      <c r="B249" s="18"/>
      <c r="C249" s="18"/>
      <c r="D249" s="1538"/>
      <c r="E249" s="1538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538"/>
      <c r="AW249" s="1538"/>
    </row>
    <row r="250" spans="1:49" x14ac:dyDescent="0.3">
      <c r="A250" s="18"/>
      <c r="B250" s="18"/>
      <c r="C250" s="18"/>
      <c r="D250" s="1539"/>
      <c r="E250" s="1540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536"/>
      <c r="AW250" s="1536"/>
    </row>
    <row r="251" spans="1:49" x14ac:dyDescent="0.3">
      <c r="A251" s="18"/>
      <c r="B251" s="18"/>
      <c r="C251" s="18"/>
      <c r="D251" s="1538"/>
      <c r="E251" s="1537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537"/>
      <c r="AW251" s="1537"/>
    </row>
    <row r="252" spans="1:49" x14ac:dyDescent="0.3">
      <c r="A252" s="18"/>
      <c r="B252" s="18"/>
      <c r="C252" s="18"/>
      <c r="D252" s="1538"/>
      <c r="E252" s="1537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537"/>
      <c r="AW252" s="1537"/>
    </row>
    <row r="253" spans="1:49" x14ac:dyDescent="0.3">
      <c r="A253" s="18"/>
      <c r="B253" s="18"/>
      <c r="C253" s="18"/>
      <c r="D253" s="1538"/>
      <c r="E253" s="1537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537"/>
      <c r="AW253" s="1537"/>
    </row>
    <row r="254" spans="1:49" x14ac:dyDescent="0.3">
      <c r="A254" s="18"/>
      <c r="B254" s="18"/>
      <c r="C254" s="18"/>
      <c r="D254" s="1538"/>
      <c r="E254" s="1537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537"/>
      <c r="AW254" s="1537"/>
    </row>
    <row r="255" spans="1:49" x14ac:dyDescent="0.3">
      <c r="A255" s="18"/>
      <c r="B255" s="18"/>
      <c r="C255" s="18"/>
      <c r="D255" s="1538"/>
      <c r="E255" s="1537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537"/>
      <c r="AW255" s="1537"/>
    </row>
    <row r="256" spans="1:49" x14ac:dyDescent="0.3">
      <c r="A256" s="18"/>
      <c r="B256" s="18"/>
      <c r="C256" s="18"/>
      <c r="D256" s="1538"/>
      <c r="E256" s="1537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537"/>
      <c r="AW256" s="1537"/>
    </row>
    <row r="257" spans="1:49" x14ac:dyDescent="0.3">
      <c r="A257" s="18"/>
      <c r="B257" s="18"/>
      <c r="C257" s="18"/>
      <c r="D257" s="1538"/>
      <c r="E257" s="1538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538"/>
      <c r="AW257" s="1538"/>
    </row>
    <row r="258" spans="1:49" x14ac:dyDescent="0.3">
      <c r="A258" s="18"/>
      <c r="B258" s="18"/>
      <c r="C258" s="18"/>
      <c r="D258" s="1539"/>
      <c r="E258" s="1540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536"/>
      <c r="AW258" s="1536"/>
    </row>
    <row r="259" spans="1:49" x14ac:dyDescent="0.3">
      <c r="A259" s="18"/>
      <c r="B259" s="18"/>
      <c r="C259" s="18"/>
      <c r="D259" s="1538"/>
      <c r="E259" s="1537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537"/>
      <c r="AW259" s="1537"/>
    </row>
    <row r="260" spans="1:49" x14ac:dyDescent="0.3">
      <c r="A260" s="18"/>
      <c r="B260" s="18"/>
      <c r="C260" s="18"/>
      <c r="D260" s="1538"/>
      <c r="E260" s="1537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537"/>
      <c r="AW260" s="1537"/>
    </row>
    <row r="261" spans="1:49" x14ac:dyDescent="0.3">
      <c r="A261" s="18"/>
      <c r="B261" s="18"/>
      <c r="C261" s="18"/>
      <c r="D261" s="1538"/>
      <c r="E261" s="1537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537"/>
      <c r="AW261" s="1537"/>
    </row>
    <row r="262" spans="1:49" x14ac:dyDescent="0.3">
      <c r="A262" s="18"/>
      <c r="B262" s="18"/>
      <c r="C262" s="18"/>
      <c r="D262" s="1538"/>
      <c r="E262" s="1537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537"/>
      <c r="AW262" s="1537"/>
    </row>
    <row r="263" spans="1:49" x14ac:dyDescent="0.3">
      <c r="A263" s="18"/>
      <c r="B263" s="18"/>
      <c r="C263" s="18"/>
      <c r="D263" s="1538"/>
      <c r="E263" s="1537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537"/>
      <c r="AW263" s="1537"/>
    </row>
    <row r="264" spans="1:49" x14ac:dyDescent="0.3">
      <c r="A264" s="18"/>
      <c r="B264" s="18"/>
      <c r="C264" s="18"/>
      <c r="D264" s="1538"/>
      <c r="E264" s="1537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537"/>
      <c r="AW264" s="1537"/>
    </row>
    <row r="265" spans="1:49" x14ac:dyDescent="0.3">
      <c r="A265" s="18"/>
      <c r="B265" s="18"/>
      <c r="C265" s="18"/>
      <c r="D265" s="1538"/>
      <c r="E265" s="1538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538"/>
      <c r="AW265" s="1538"/>
    </row>
    <row r="266" spans="1:49" x14ac:dyDescent="0.3">
      <c r="A266" s="18"/>
      <c r="B266" s="18"/>
      <c r="C266" s="18"/>
      <c r="D266" s="1539"/>
      <c r="E266" s="1540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536"/>
      <c r="AW266" s="1536"/>
    </row>
    <row r="267" spans="1:49" x14ac:dyDescent="0.3">
      <c r="A267" s="18"/>
      <c r="B267" s="18"/>
      <c r="C267" s="18"/>
      <c r="D267" s="1538"/>
      <c r="E267" s="1537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537"/>
      <c r="AW267" s="1537"/>
    </row>
    <row r="268" spans="1:49" x14ac:dyDescent="0.3">
      <c r="A268" s="18"/>
      <c r="B268" s="18"/>
      <c r="C268" s="18"/>
      <c r="D268" s="1538"/>
      <c r="E268" s="1537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537"/>
      <c r="AW268" s="1537"/>
    </row>
    <row r="269" spans="1:49" x14ac:dyDescent="0.3">
      <c r="A269" s="18"/>
      <c r="B269" s="18"/>
      <c r="C269" s="18"/>
      <c r="D269" s="1538"/>
      <c r="E269" s="1537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537"/>
      <c r="AW269" s="1537"/>
    </row>
    <row r="270" spans="1:49" x14ac:dyDescent="0.3">
      <c r="A270" s="18"/>
      <c r="B270" s="18"/>
      <c r="C270" s="18"/>
      <c r="D270" s="1538"/>
      <c r="E270" s="1537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537"/>
      <c r="AW270" s="1537"/>
    </row>
    <row r="271" spans="1:49" x14ac:dyDescent="0.3">
      <c r="A271" s="18"/>
      <c r="B271" s="18"/>
      <c r="C271" s="18"/>
      <c r="D271" s="1538"/>
      <c r="E271" s="1537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537"/>
      <c r="AW271" s="1537"/>
    </row>
    <row r="272" spans="1:49" x14ac:dyDescent="0.3">
      <c r="A272" s="18"/>
      <c r="B272" s="18"/>
      <c r="C272" s="18"/>
      <c r="D272" s="1538"/>
      <c r="E272" s="1537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537"/>
      <c r="AW272" s="1537"/>
    </row>
    <row r="273" spans="1:49" x14ac:dyDescent="0.3">
      <c r="A273" s="18"/>
      <c r="B273" s="18"/>
      <c r="C273" s="18"/>
      <c r="D273" s="1538"/>
      <c r="E273" s="1538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538"/>
      <c r="AW273" s="1538"/>
    </row>
    <row r="274" spans="1:49" x14ac:dyDescent="0.3">
      <c r="A274" s="18"/>
      <c r="B274" s="18"/>
      <c r="C274" s="18"/>
      <c r="D274" s="1539"/>
      <c r="E274" s="1540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536"/>
      <c r="AW274" s="1536"/>
    </row>
    <row r="275" spans="1:49" x14ac:dyDescent="0.3">
      <c r="A275" s="18"/>
      <c r="B275" s="18"/>
      <c r="C275" s="18"/>
      <c r="D275" s="1538"/>
      <c r="E275" s="1537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537"/>
      <c r="AW275" s="1537"/>
    </row>
    <row r="276" spans="1:49" x14ac:dyDescent="0.3">
      <c r="A276" s="18"/>
      <c r="B276" s="18"/>
      <c r="C276" s="18"/>
      <c r="D276" s="1538"/>
      <c r="E276" s="1537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537"/>
      <c r="AW276" s="1537"/>
    </row>
    <row r="277" spans="1:49" x14ac:dyDescent="0.3">
      <c r="A277" s="18"/>
      <c r="B277" s="18"/>
      <c r="C277" s="18"/>
      <c r="D277" s="1538"/>
      <c r="E277" s="1537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537"/>
      <c r="AW277" s="1537"/>
    </row>
    <row r="278" spans="1:49" x14ac:dyDescent="0.3">
      <c r="A278" s="18"/>
      <c r="B278" s="18"/>
      <c r="C278" s="18"/>
      <c r="D278" s="1538"/>
      <c r="E278" s="1537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537"/>
      <c r="AW278" s="1537"/>
    </row>
    <row r="279" spans="1:49" x14ac:dyDescent="0.3">
      <c r="A279" s="18"/>
      <c r="B279" s="18"/>
      <c r="C279" s="18"/>
      <c r="D279" s="1538"/>
      <c r="E279" s="1537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537"/>
      <c r="AW279" s="1537"/>
    </row>
    <row r="280" spans="1:49" x14ac:dyDescent="0.3">
      <c r="A280" s="18"/>
      <c r="B280" s="18"/>
      <c r="C280" s="18"/>
      <c r="D280" s="1538"/>
      <c r="E280" s="1537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537"/>
      <c r="AW280" s="1537"/>
    </row>
    <row r="281" spans="1:49" x14ac:dyDescent="0.3">
      <c r="A281" s="18"/>
      <c r="B281" s="18"/>
      <c r="C281" s="18"/>
      <c r="D281" s="1538"/>
      <c r="E281" s="1538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538"/>
      <c r="AW281" s="1538"/>
    </row>
    <row r="282" spans="1:49" x14ac:dyDescent="0.3">
      <c r="A282" s="18"/>
      <c r="B282" s="18"/>
      <c r="C282" s="18"/>
      <c r="D282" s="1539"/>
      <c r="E282" s="1540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536"/>
      <c r="AW282" s="1536"/>
    </row>
    <row r="283" spans="1:49" x14ac:dyDescent="0.3">
      <c r="A283" s="18"/>
      <c r="B283" s="18"/>
      <c r="C283" s="18"/>
      <c r="D283" s="1538"/>
      <c r="E283" s="1537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537"/>
      <c r="AW283" s="1537"/>
    </row>
    <row r="284" spans="1:49" x14ac:dyDescent="0.3">
      <c r="A284" s="18"/>
      <c r="B284" s="18"/>
      <c r="C284" s="18"/>
      <c r="D284" s="1538"/>
      <c r="E284" s="1537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537"/>
      <c r="AW284" s="1537"/>
    </row>
    <row r="285" spans="1:49" x14ac:dyDescent="0.3">
      <c r="A285" s="18"/>
      <c r="B285" s="18"/>
      <c r="C285" s="18"/>
      <c r="D285" s="1538"/>
      <c r="E285" s="1537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537"/>
      <c r="AW285" s="1537"/>
    </row>
    <row r="286" spans="1:49" x14ac:dyDescent="0.3">
      <c r="A286" s="18"/>
      <c r="B286" s="18"/>
      <c r="C286" s="18"/>
      <c r="D286" s="1538"/>
      <c r="E286" s="1537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537"/>
      <c r="AW286" s="1537"/>
    </row>
    <row r="287" spans="1:49" x14ac:dyDescent="0.3">
      <c r="A287" s="18"/>
      <c r="B287" s="18"/>
      <c r="C287" s="18"/>
      <c r="D287" s="1538"/>
      <c r="E287" s="1537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537"/>
      <c r="AW287" s="1537"/>
    </row>
    <row r="288" spans="1:49" x14ac:dyDescent="0.3">
      <c r="A288" s="18"/>
      <c r="B288" s="18"/>
      <c r="C288" s="18"/>
      <c r="D288" s="1538"/>
      <c r="E288" s="1537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537"/>
      <c r="AW288" s="1537"/>
    </row>
    <row r="289" spans="1:49" x14ac:dyDescent="0.3">
      <c r="A289" s="18"/>
      <c r="B289" s="18"/>
      <c r="C289" s="18"/>
      <c r="D289" s="1538"/>
      <c r="E289" s="1538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538"/>
      <c r="AW289" s="1538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9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565" t="s">
        <v>71</v>
      </c>
      <c r="E1" s="1565"/>
      <c r="F1" s="1565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3"/>
      <c r="O4" s="974"/>
    </row>
    <row r="5" spans="2:15" x14ac:dyDescent="0.3">
      <c r="B5" s="13">
        <v>2</v>
      </c>
      <c r="C5" s="73">
        <v>46253</v>
      </c>
      <c r="D5" s="13">
        <v>320</v>
      </c>
      <c r="N5" s="973"/>
      <c r="O5" s="974"/>
    </row>
    <row r="6" spans="2:15" x14ac:dyDescent="0.3">
      <c r="B6" s="13">
        <v>3</v>
      </c>
      <c r="C6" s="73">
        <v>46254</v>
      </c>
      <c r="D6" s="13">
        <v>388</v>
      </c>
      <c r="N6" s="973"/>
      <c r="O6" s="974"/>
    </row>
    <row r="7" spans="2:15" x14ac:dyDescent="0.3">
      <c r="B7" s="13">
        <v>4</v>
      </c>
      <c r="C7" s="73">
        <v>46255</v>
      </c>
      <c r="D7" s="13">
        <v>425</v>
      </c>
      <c r="N7" s="973"/>
      <c r="O7" s="974"/>
    </row>
    <row r="8" spans="2:15" x14ac:dyDescent="0.3">
      <c r="B8" s="13">
        <v>5</v>
      </c>
      <c r="C8" s="73">
        <v>46256</v>
      </c>
      <c r="D8" s="13">
        <v>452</v>
      </c>
      <c r="N8" s="973"/>
      <c r="O8" s="974"/>
    </row>
    <row r="9" spans="2:15" x14ac:dyDescent="0.3">
      <c r="B9" s="13">
        <v>6</v>
      </c>
      <c r="C9" s="73">
        <v>46257</v>
      </c>
      <c r="D9" s="13">
        <v>397</v>
      </c>
      <c r="N9" s="973"/>
      <c r="O9" s="974"/>
    </row>
    <row r="10" spans="2:15" x14ac:dyDescent="0.3">
      <c r="B10" s="13">
        <v>7</v>
      </c>
      <c r="C10" s="73">
        <v>46258</v>
      </c>
      <c r="D10" s="13">
        <v>283</v>
      </c>
      <c r="N10" s="973"/>
      <c r="O10" s="974"/>
    </row>
    <row r="11" spans="2:15" x14ac:dyDescent="0.3">
      <c r="B11" s="13">
        <v>8</v>
      </c>
      <c r="C11" s="73">
        <v>46259</v>
      </c>
      <c r="D11" s="13">
        <v>347</v>
      </c>
      <c r="N11" s="973"/>
      <c r="O11" s="974"/>
    </row>
    <row r="12" spans="2:15" x14ac:dyDescent="0.3">
      <c r="B12" s="13">
        <v>9</v>
      </c>
      <c r="C12" s="73">
        <v>46260</v>
      </c>
      <c r="D12" s="13">
        <v>346</v>
      </c>
      <c r="N12" s="973"/>
      <c r="O12" s="974"/>
    </row>
    <row r="13" spans="2:15" x14ac:dyDescent="0.3">
      <c r="B13" s="13">
        <v>10</v>
      </c>
      <c r="C13" s="73">
        <v>46261</v>
      </c>
      <c r="D13" s="13">
        <v>297</v>
      </c>
      <c r="N13" s="973"/>
      <c r="O13" s="974"/>
    </row>
    <row r="14" spans="2:15" x14ac:dyDescent="0.3">
      <c r="B14" s="13">
        <v>11</v>
      </c>
      <c r="C14" s="73">
        <v>46262</v>
      </c>
      <c r="D14" s="13">
        <v>304</v>
      </c>
      <c r="N14" s="973"/>
      <c r="O14" s="974"/>
    </row>
    <row r="15" spans="2:15" x14ac:dyDescent="0.3">
      <c r="B15" s="13">
        <v>12</v>
      </c>
      <c r="C15" s="73">
        <v>46263</v>
      </c>
      <c r="D15" s="13">
        <v>510</v>
      </c>
      <c r="N15" s="973"/>
      <c r="O15" s="974"/>
    </row>
    <row r="16" spans="2:15" x14ac:dyDescent="0.3">
      <c r="B16" s="13">
        <v>13</v>
      </c>
      <c r="C16" s="73">
        <v>46264</v>
      </c>
      <c r="D16" s="13">
        <v>524</v>
      </c>
      <c r="N16" s="973"/>
      <c r="O16" s="974"/>
    </row>
    <row r="17" spans="2:15" x14ac:dyDescent="0.3">
      <c r="B17" s="13">
        <v>14</v>
      </c>
      <c r="C17" s="73">
        <v>46265</v>
      </c>
      <c r="D17" s="13">
        <v>300</v>
      </c>
      <c r="N17" s="973"/>
      <c r="O17" s="974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642</v>
      </c>
      <c r="D59" s="975">
        <f>D58*E58</f>
        <v>936005000</v>
      </c>
    </row>
    <row r="60" spans="2:5" x14ac:dyDescent="0.3">
      <c r="B60" s="13"/>
      <c r="C60" s="6" t="s">
        <v>643</v>
      </c>
      <c r="D60" s="39">
        <f>D58/'Au Cal Leaching Tank'!$N$61</f>
        <v>9.9717009355069219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23" activePane="bottomLeft" state="frozen"/>
      <selection pane="bottomLeft" activeCell="H21" sqref="H21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399" t="s">
        <v>587</v>
      </c>
      <c r="I2" s="1399"/>
      <c r="J2" s="1399"/>
      <c r="K2" s="1399"/>
      <c r="O2" s="1">
        <f>720+180</f>
        <v>900</v>
      </c>
    </row>
    <row r="4" spans="1:33" ht="29.4" thickBot="1" x14ac:dyDescent="0.35">
      <c r="A4" s="585" t="s">
        <v>544</v>
      </c>
      <c r="B4" s="1294" t="s">
        <v>0</v>
      </c>
      <c r="C4" s="1296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278</v>
      </c>
      <c r="I4" s="421" t="s">
        <v>438</v>
      </c>
      <c r="J4" s="421" t="s">
        <v>443</v>
      </c>
      <c r="K4" s="23" t="s">
        <v>34</v>
      </c>
      <c r="L4" s="421" t="s">
        <v>35</v>
      </c>
      <c r="M4" s="23" t="s">
        <v>437</v>
      </c>
      <c r="N4" s="23" t="s">
        <v>207</v>
      </c>
      <c r="O4" s="23" t="s">
        <v>36</v>
      </c>
      <c r="P4" s="23" t="s">
        <v>37</v>
      </c>
      <c r="Q4" s="23" t="s">
        <v>511</v>
      </c>
      <c r="R4" s="23" t="s">
        <v>127</v>
      </c>
      <c r="S4" s="23" t="s">
        <v>299</v>
      </c>
      <c r="T4" s="23" t="s">
        <v>153</v>
      </c>
      <c r="U4" s="15" t="s">
        <v>154</v>
      </c>
      <c r="V4" s="152" t="s">
        <v>155</v>
      </c>
      <c r="W4" s="15" t="s">
        <v>219</v>
      </c>
      <c r="X4" s="15" t="s">
        <v>220</v>
      </c>
      <c r="Y4" s="15" t="s">
        <v>221</v>
      </c>
      <c r="Z4" s="357" t="s">
        <v>512</v>
      </c>
    </row>
    <row r="5" spans="1:33" ht="16.2" thickBot="1" x14ac:dyDescent="0.35">
      <c r="A5" s="1416">
        <v>1</v>
      </c>
      <c r="B5" s="1447">
        <v>46265</v>
      </c>
      <c r="C5" s="1448"/>
      <c r="D5" s="517" t="s">
        <v>440</v>
      </c>
      <c r="E5" s="517" t="s">
        <v>439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577">
        <f>SUM(M5:M6)</f>
        <v>74.069659139999999</v>
      </c>
      <c r="O5" s="461">
        <f t="shared" ref="O5:O11" si="1">M5/((720-R5)/60)</f>
        <v>2.8865657961661344</v>
      </c>
      <c r="P5" s="1438">
        <f>'Milling Down Time Hours'!Q5</f>
        <v>22.433333333333334</v>
      </c>
      <c r="Q5" s="483"/>
      <c r="R5" s="466">
        <f>'Milling Down Time Hours'!P5</f>
        <v>94</v>
      </c>
      <c r="S5" s="1577">
        <f>SUM(M5:M8)</f>
        <v>292.31360000000001</v>
      </c>
      <c r="T5" s="468">
        <f>AVERAGE('LT Ball Mill'!F4:F6)</f>
        <v>0.96699999999999997</v>
      </c>
      <c r="U5" s="468">
        <f>AVERAGE('LT Ball Mill'!G4:G6)</f>
        <v>0.41</v>
      </c>
      <c r="V5" s="468">
        <f>AVERAGE('LT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416"/>
      <c r="B6" s="1449"/>
      <c r="C6" s="1450"/>
      <c r="D6" s="521" t="s">
        <v>441</v>
      </c>
      <c r="E6" s="517" t="s">
        <v>439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578"/>
      <c r="O6" s="461">
        <f t="shared" si="1"/>
        <v>3.6627629999999995</v>
      </c>
      <c r="P6" s="1581"/>
      <c r="Q6" s="524"/>
      <c r="R6" s="466">
        <v>0</v>
      </c>
      <c r="S6" s="1574"/>
      <c r="T6" s="470">
        <f>AVERAGE('LT Ball Mill'!F7:F9)</f>
        <v>0.60899999999999999</v>
      </c>
      <c r="U6" s="470">
        <f>AVERAGE('LT Ball Mill'!G7:G9)</f>
        <v>0.52833333333333343</v>
      </c>
      <c r="V6" s="470">
        <f>AVERAGE('LT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416"/>
      <c r="B7" s="1447">
        <v>46266</v>
      </c>
      <c r="C7" s="1448"/>
      <c r="D7" s="517" t="s">
        <v>440</v>
      </c>
      <c r="E7" s="517" t="s">
        <v>439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577">
        <f>SUM(M7:M8)</f>
        <v>218.24394086000001</v>
      </c>
      <c r="O7" s="461">
        <f t="shared" si="1"/>
        <v>8.6932442900719415</v>
      </c>
      <c r="P7" s="1579">
        <f>'Milling Down Time Hours'!Q6</f>
        <v>22.9</v>
      </c>
      <c r="Q7" s="504"/>
      <c r="R7" s="466">
        <v>25</v>
      </c>
      <c r="S7" s="1574"/>
      <c r="T7" s="468">
        <f>AVERAGE('LT Ball Mill'!F10:F12)</f>
        <v>0.64699999999999991</v>
      </c>
      <c r="U7" s="468">
        <f>AVERAGE('LT Ball Mill'!G10:G12)</f>
        <v>0.67433333333333334</v>
      </c>
      <c r="V7" s="468">
        <f>AVERAGE('LT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416"/>
      <c r="B8" s="1449"/>
      <c r="C8" s="1450"/>
      <c r="D8" s="510" t="s">
        <v>441</v>
      </c>
      <c r="E8" s="509" t="s">
        <v>442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578"/>
      <c r="O8" s="461">
        <f t="shared" si="1"/>
        <v>10.387086406480119</v>
      </c>
      <c r="P8" s="1580"/>
      <c r="Q8" s="504"/>
      <c r="R8" s="466">
        <v>41</v>
      </c>
      <c r="S8" s="1578"/>
      <c r="T8" s="470">
        <f>AVERAGE('LT Ball Mill'!F13:F15)</f>
        <v>0.60899999999999999</v>
      </c>
      <c r="U8" s="470">
        <f>AVERAGE('LT Ball Mill'!G13:G15)</f>
        <v>0.52833333333333343</v>
      </c>
      <c r="V8" s="470">
        <f>AVERAGE('LT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415">
        <v>2</v>
      </c>
      <c r="B9" s="1443">
        <v>46267</v>
      </c>
      <c r="C9" s="1444"/>
      <c r="D9" s="513" t="s">
        <v>440</v>
      </c>
      <c r="E9" s="513" t="s">
        <v>445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575">
        <f>SUM(M9:M10)</f>
        <v>209.804</v>
      </c>
      <c r="O9" s="477">
        <f t="shared" si="1"/>
        <v>10.565099999999999</v>
      </c>
      <c r="P9" s="1589">
        <f>'Milling Down Time Hours'!Q7</f>
        <v>22</v>
      </c>
      <c r="Q9" s="492"/>
      <c r="R9" s="471">
        <f>'Milling Down Time Hours'!P7</f>
        <v>120.00000000000001</v>
      </c>
      <c r="S9" s="1575">
        <f>SUM(M9:M11)</f>
        <v>300.14215000000002</v>
      </c>
      <c r="T9" s="527">
        <f>AVERAGE('LT Ball Mill'!F16:F18)</f>
        <v>0.7446666666666667</v>
      </c>
      <c r="U9" s="527">
        <f>AVERAGE('LT Ball Mill'!G16:G18)</f>
        <v>0.59</v>
      </c>
      <c r="V9" s="527">
        <f>AVERAGE('LT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415"/>
      <c r="B10" s="1445"/>
      <c r="C10" s="1446"/>
      <c r="D10" s="515" t="s">
        <v>444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576"/>
      <c r="O10" s="477">
        <f t="shared" si="1"/>
        <v>8.6794166666666666</v>
      </c>
      <c r="P10" s="1590"/>
      <c r="Q10" s="492"/>
      <c r="R10" s="471">
        <v>0</v>
      </c>
      <c r="S10" s="1587"/>
      <c r="T10" s="474">
        <f>AVERAGE('LT Ball Mill'!F19:F21)</f>
        <v>0.64600000000000002</v>
      </c>
      <c r="U10" s="474">
        <f>AVERAGE('LT Ball Mill'!G19:G21)</f>
        <v>1.0666666666666667</v>
      </c>
      <c r="V10" s="474">
        <f>AVERAGE('LT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415"/>
      <c r="B11" s="1443">
        <v>46268</v>
      </c>
      <c r="C11" s="1444"/>
      <c r="D11" s="513" t="s">
        <v>440</v>
      </c>
      <c r="E11" s="528" t="s">
        <v>471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575">
        <f>SUM(M11:M12)</f>
        <v>90.338150000000013</v>
      </c>
      <c r="O11" s="477">
        <f t="shared" si="1"/>
        <v>8.2125590909090924</v>
      </c>
      <c r="P11" s="1595">
        <f>'Milling Down Time Hours'!Q8</f>
        <v>23</v>
      </c>
      <c r="Q11" s="529"/>
      <c r="R11" s="492">
        <v>60</v>
      </c>
      <c r="S11" s="1587"/>
      <c r="T11" s="527">
        <f>AVERAGE('LT Ball Mill'!F22:F24)</f>
        <v>0.66133333333333333</v>
      </c>
      <c r="U11" s="527">
        <f>AVERAGE('LT Ball Mill'!G22:G24)</f>
        <v>0.72333333333333327</v>
      </c>
      <c r="V11" s="527">
        <f>AVERAGE('LT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415"/>
      <c r="B12" s="1445"/>
      <c r="C12" s="1446"/>
      <c r="D12" s="515" t="s">
        <v>444</v>
      </c>
      <c r="E12" s="530" t="s">
        <v>467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576"/>
      <c r="O12" s="477"/>
      <c r="P12" s="1596"/>
      <c r="Q12" s="531"/>
      <c r="R12" s="490">
        <v>720</v>
      </c>
      <c r="S12" s="1455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415"/>
      <c r="B13" s="1443">
        <v>46269</v>
      </c>
      <c r="C13" s="1444"/>
      <c r="D13" s="1582" t="s">
        <v>484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589">
        <f>'Milling Down Time Hours'!Q9</f>
        <v>0</v>
      </c>
      <c r="Q13" s="514"/>
      <c r="R13" s="1589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415"/>
      <c r="B14" s="1585"/>
      <c r="C14" s="1586"/>
      <c r="D14" s="1583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597"/>
      <c r="Q14" s="492"/>
      <c r="R14" s="1598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593">
        <v>46270</v>
      </c>
      <c r="C15" s="1594"/>
      <c r="D15" s="511"/>
      <c r="E15" s="511" t="s">
        <v>485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567">
        <v>3</v>
      </c>
      <c r="B16" s="1325">
        <v>46270</v>
      </c>
      <c r="C16" s="1325"/>
      <c r="D16" s="544" t="s">
        <v>441</v>
      </c>
      <c r="E16" s="570" t="s">
        <v>486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438">
        <f>SUM(M16:M19)</f>
        <v>326.97083025000006</v>
      </c>
      <c r="T16" s="555">
        <f>AVERAGE('LT Ball Mill'!F25:F27)</f>
        <v>1.087</v>
      </c>
      <c r="U16" s="555">
        <f>AVERAGE('LT Ball Mill'!G25:G27)</f>
        <v>0.77333333333333332</v>
      </c>
      <c r="V16" s="555">
        <f>AVERAGE('LT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567"/>
      <c r="B17" s="1325">
        <v>46271</v>
      </c>
      <c r="C17" s="1325"/>
      <c r="D17" s="599" t="s">
        <v>441</v>
      </c>
      <c r="E17" s="599" t="s">
        <v>506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584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378"/>
      <c r="T17" s="556">
        <f>AVERAGE('LT Ball Mill'!F28:F30)</f>
        <v>0.90233333333333332</v>
      </c>
      <c r="U17" s="556">
        <f>AVERAGE('LT Ball Mill'!G28:G30)</f>
        <v>0.56999999999999995</v>
      </c>
      <c r="V17" s="556">
        <f>AVERAGE('LT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567"/>
      <c r="B18" s="1325"/>
      <c r="C18" s="1325"/>
      <c r="D18" s="599" t="s">
        <v>440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584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378"/>
      <c r="T18" s="470">
        <f>AVERAGE('LT Ball Mill'!F31:F33)</f>
        <v>0.81433333333333335</v>
      </c>
      <c r="U18" s="470">
        <f>AVERAGE('LT Ball Mill'!G31:G33)</f>
        <v>0.6333333333333333</v>
      </c>
      <c r="V18" s="470">
        <f>AVERAGE('LT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567"/>
      <c r="B19" s="1449">
        <v>46272</v>
      </c>
      <c r="C19" s="1450"/>
      <c r="D19" s="545" t="s">
        <v>169</v>
      </c>
      <c r="E19" s="547" t="s">
        <v>518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461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379"/>
      <c r="T19" s="556">
        <f>AVERAGE('LT Ball Mill'!F34:F36)</f>
        <v>0.91199999999999992</v>
      </c>
      <c r="U19" s="556">
        <f>AVERAGE('LT Ball Mill'!G34:G36)</f>
        <v>0.95333333333333325</v>
      </c>
      <c r="V19" s="556">
        <f>AVERAGE('LT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415">
        <v>4</v>
      </c>
      <c r="B20" s="1591">
        <v>46272</v>
      </c>
      <c r="C20" s="1592"/>
      <c r="D20" s="548" t="s">
        <v>509</v>
      </c>
      <c r="E20" s="623" t="s">
        <v>549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379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421">
        <f>SUM(M20:M23)</f>
        <v>316.93529999999998</v>
      </c>
      <c r="T20" s="583">
        <f>AVERAGE('LT Ball Mill'!F37:F39)</f>
        <v>0.53033333333333343</v>
      </c>
      <c r="U20" s="583">
        <f>AVERAGE('LT Ball Mill'!G37:G39)</f>
        <v>1.07</v>
      </c>
      <c r="V20" s="583">
        <f>AVERAGE('LT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415"/>
      <c r="B21" s="1443">
        <v>46273</v>
      </c>
      <c r="C21" s="1444"/>
      <c r="D21" s="549" t="s">
        <v>169</v>
      </c>
      <c r="E21" s="549" t="s">
        <v>519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575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421"/>
      <c r="T21" s="583">
        <f>AVERAGE('LT Ball Mill'!F40:F42)</f>
        <v>0.64666666666666672</v>
      </c>
      <c r="U21" s="583">
        <f>AVERAGE('LT Ball Mill'!G40:G42)</f>
        <v>0.96333333333333326</v>
      </c>
      <c r="V21" s="583">
        <f>AVERAGE('LT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214</v>
      </c>
      <c r="AB21" s="13">
        <v>10.7</v>
      </c>
      <c r="AC21" s="6" t="s">
        <v>216</v>
      </c>
      <c r="AD21" s="1">
        <v>3.2</v>
      </c>
    </row>
    <row r="22" spans="1:32" ht="15" thickBot="1" x14ac:dyDescent="0.35">
      <c r="A22" s="1415"/>
      <c r="B22" s="1445"/>
      <c r="C22" s="1446"/>
      <c r="D22" s="550" t="s">
        <v>523</v>
      </c>
      <c r="E22" s="551" t="s">
        <v>529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588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421"/>
      <c r="T22" s="583">
        <f>AVERAGE('LT Ball Mill'!F43:F45)</f>
        <v>0.6349999999999999</v>
      </c>
      <c r="U22" s="583">
        <f>AVERAGE('LT Ball Mill'!G43:G45)</f>
        <v>1.0333333333333334</v>
      </c>
      <c r="V22" s="583">
        <f>AVERAGE('LT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215</v>
      </c>
      <c r="AB22" s="13">
        <v>3.2</v>
      </c>
      <c r="AC22" s="6" t="s">
        <v>216</v>
      </c>
    </row>
    <row r="23" spans="1:32" ht="29.4" thickBot="1" x14ac:dyDescent="0.35">
      <c r="A23" s="1415"/>
      <c r="B23" s="1443">
        <v>46274</v>
      </c>
      <c r="C23" s="1444"/>
      <c r="D23" s="552" t="s">
        <v>169</v>
      </c>
      <c r="E23" s="571" t="s">
        <v>521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421"/>
      <c r="T23" s="583">
        <f>AVERAGE('LT Ball Mill'!F46:F48)</f>
        <v>0.59233333333333327</v>
      </c>
      <c r="U23" s="583">
        <f>AVERAGE('LT Ball Mill'!G46:G48)</f>
        <v>0.66666666666666663</v>
      </c>
      <c r="V23" s="583">
        <f>AVERAGE('LT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217</v>
      </c>
      <c r="AB23" s="13">
        <f>AB21*0.5</f>
        <v>5.35</v>
      </c>
      <c r="AC23" s="6"/>
    </row>
    <row r="24" spans="1:32" ht="15" thickBot="1" x14ac:dyDescent="0.35">
      <c r="B24" s="1390">
        <v>46274</v>
      </c>
      <c r="C24" s="1391"/>
      <c r="D24" s="455" t="s">
        <v>523</v>
      </c>
      <c r="E24" s="622" t="s">
        <v>548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218</v>
      </c>
      <c r="AB24" s="419">
        <f>3.14*AB23*AB23*AB22</f>
        <v>287.59887999999995</v>
      </c>
      <c r="AC24" s="6"/>
    </row>
    <row r="25" spans="1:32" x14ac:dyDescent="0.3">
      <c r="A25" s="1416">
        <v>5</v>
      </c>
      <c r="B25" s="1447">
        <v>46275</v>
      </c>
      <c r="C25" s="1448"/>
      <c r="D25" s="575" t="s">
        <v>169</v>
      </c>
      <c r="E25" s="576" t="s">
        <v>522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403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403">
        <f>SUM(N25:N27)</f>
        <v>327.09421250000003</v>
      </c>
      <c r="T25" s="555">
        <f>AVERAGE('LT Ball Mill'!F54)</f>
        <v>0.73</v>
      </c>
      <c r="U25" s="555">
        <f>AVERAGE('LT Ball Mill'!G54)</f>
        <v>0.63</v>
      </c>
      <c r="V25" s="555">
        <f>AVERAGE('LT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436</v>
      </c>
      <c r="AB25" s="222">
        <f>AB24*AC10*AC13</f>
        <v>137.26310181818181</v>
      </c>
    </row>
    <row r="26" spans="1:32" ht="15" thickBot="1" x14ac:dyDescent="0.35">
      <c r="A26" s="1416"/>
      <c r="B26" s="1449"/>
      <c r="C26" s="1450"/>
      <c r="D26" s="577" t="s">
        <v>541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425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403"/>
      <c r="T26" s="555">
        <f>AVERAGE('LT Ball Mill'!F55:F57)</f>
        <v>0.51600000000000001</v>
      </c>
      <c r="U26" s="555">
        <f>AVERAGE('LT Ball Mill'!G55:G57)</f>
        <v>0.43</v>
      </c>
      <c r="V26" s="555">
        <f>AVERAGE('LT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416"/>
      <c r="B27" s="1447">
        <v>46276</v>
      </c>
      <c r="C27" s="1448"/>
      <c r="D27" s="677" t="s">
        <v>540</v>
      </c>
      <c r="E27" s="639" t="s">
        <v>554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438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403"/>
      <c r="T27" s="555">
        <f>AVERAGE('LT Ball Mill'!F55:F57)</f>
        <v>0.51600000000000001</v>
      </c>
      <c r="U27" s="555">
        <f>AVERAGE('LT Ball Mill'!G55:G57)</f>
        <v>0.43</v>
      </c>
      <c r="V27" s="555">
        <f>AVERAGE('LT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319">
        <v>46276</v>
      </c>
      <c r="C28" s="1319"/>
      <c r="D28" s="678" t="s">
        <v>540</v>
      </c>
      <c r="E28" s="694" t="s">
        <v>582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574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431">
        <f>SUM(M28:M31)</f>
        <v>277.03691250000003</v>
      </c>
      <c r="T28" s="693">
        <f>AVERAGE('LT Ball Mill'!F58:F60)</f>
        <v>1.4286666666666665</v>
      </c>
      <c r="U28" s="693">
        <f>AVERAGE('LT Ball Mill'!G58:G60)</f>
        <v>0.99333333333333329</v>
      </c>
      <c r="V28" s="693">
        <f>AVERAGE('LT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415">
        <v>6</v>
      </c>
      <c r="B29" s="1585">
        <v>46276</v>
      </c>
      <c r="C29" s="1586"/>
      <c r="D29" s="687" t="s">
        <v>550</v>
      </c>
      <c r="E29" s="688" t="s">
        <v>547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587"/>
      <c r="T29" s="573">
        <f>AVERAGE('LT Ball Mill'!F61:F63)</f>
        <v>0.26499999999999996</v>
      </c>
      <c r="U29" s="573">
        <f>AVERAGE('LT Ball Mill'!G61:G63)</f>
        <v>0.57333333333333336</v>
      </c>
      <c r="V29" s="573">
        <f>AVERAGE('LT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415"/>
      <c r="B30" s="1443">
        <v>46277</v>
      </c>
      <c r="C30" s="1444"/>
      <c r="D30" s="690" t="s">
        <v>551</v>
      </c>
      <c r="E30" s="691" t="s">
        <v>552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575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587"/>
      <c r="T30" s="474">
        <f>AVERAGE('LT Ball Mill'!F64:F66)</f>
        <v>0.30533333333333329</v>
      </c>
      <c r="U30" s="474">
        <f>AVERAGE('LT Ball Mill'!G64:G66)</f>
        <v>0.55333333333333334</v>
      </c>
      <c r="V30" s="474">
        <f>AVERAGE('LT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415"/>
      <c r="B31" s="1445"/>
      <c r="C31" s="1446"/>
      <c r="D31" s="692" t="s">
        <v>570</v>
      </c>
      <c r="E31" s="779" t="s">
        <v>586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576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455"/>
      <c r="T31" s="573">
        <f>AVERAGE('LT Ball Mill'!F64:F66)</f>
        <v>0.30533333333333329</v>
      </c>
      <c r="U31" s="573">
        <f>AVERAGE('LT Ball Mill'!G64:G66)</f>
        <v>0.55333333333333334</v>
      </c>
      <c r="V31" s="573">
        <f>AVERAGE('LT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388">
        <v>46278</v>
      </c>
      <c r="C32" s="1389"/>
      <c r="D32" s="675" t="s">
        <v>572</v>
      </c>
      <c r="E32" s="675" t="s">
        <v>571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463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390"/>
      <c r="C33" s="1391"/>
      <c r="D33" s="695" t="s">
        <v>169</v>
      </c>
      <c r="E33" s="780" t="s">
        <v>588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462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447">
        <v>46279</v>
      </c>
      <c r="C34" s="1448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577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449"/>
      <c r="C35" s="1450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578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447">
        <v>46280</v>
      </c>
      <c r="C36" s="1448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449"/>
      <c r="C37" s="1450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447">
        <v>46281</v>
      </c>
      <c r="C38" s="1448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449"/>
      <c r="C39" s="1450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568"/>
      <c r="U39" s="1568"/>
      <c r="V39" s="1570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388">
        <v>46282</v>
      </c>
      <c r="C40" s="1389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569"/>
      <c r="U40" s="1569"/>
      <c r="V40" s="1571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507</v>
      </c>
      <c r="AF40" s="764">
        <f>53-6-17</f>
        <v>30</v>
      </c>
    </row>
    <row r="41" spans="1:32" s="764" customFormat="1" ht="15" thickBot="1" x14ac:dyDescent="0.35">
      <c r="A41" s="686"/>
      <c r="B41" s="1390"/>
      <c r="C41" s="1391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388">
        <v>46283</v>
      </c>
      <c r="C42" s="1389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390"/>
      <c r="C43" s="1391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388">
        <v>46284</v>
      </c>
      <c r="C44" s="1389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390"/>
      <c r="C45" s="1391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388">
        <v>46285</v>
      </c>
      <c r="C46" s="1389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390"/>
      <c r="C47" s="1391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464"/>
      <c r="U47" s="1464"/>
      <c r="V47" s="1471"/>
      <c r="W47" s="159"/>
      <c r="X47" s="154"/>
      <c r="Y47" s="154"/>
    </row>
    <row r="48" spans="1:32" ht="15" thickBot="1" x14ac:dyDescent="0.35">
      <c r="B48" s="1388">
        <v>46286</v>
      </c>
      <c r="C48" s="1389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465"/>
      <c r="U48" s="1465"/>
      <c r="V48" s="1472"/>
      <c r="W48" s="159"/>
      <c r="X48" s="154"/>
      <c r="Y48" s="154"/>
    </row>
    <row r="49" spans="2:28" ht="15" thickBot="1" x14ac:dyDescent="0.35">
      <c r="B49" s="1390"/>
      <c r="C49" s="1391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0</v>
      </c>
      <c r="Q49" s="39"/>
      <c r="R49" s="39">
        <f>'Milling Down Time Hours'!P55</f>
        <v>0</v>
      </c>
      <c r="S49" s="13"/>
      <c r="T49" s="1464"/>
      <c r="U49" s="1464"/>
      <c r="V49" s="1471"/>
      <c r="W49" s="159"/>
      <c r="X49" s="154"/>
      <c r="Y49" s="154"/>
    </row>
    <row r="50" spans="2:28" ht="15" thickBot="1" x14ac:dyDescent="0.35">
      <c r="B50" s="1388">
        <v>46287</v>
      </c>
      <c r="C50" s="1389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465"/>
      <c r="U50" s="1465"/>
      <c r="V50" s="1472"/>
      <c r="W50" s="159"/>
      <c r="X50" s="154"/>
      <c r="Y50" s="154"/>
    </row>
    <row r="51" spans="2:28" ht="15" thickBot="1" x14ac:dyDescent="0.35">
      <c r="B51" s="1390"/>
      <c r="C51" s="1391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0</v>
      </c>
      <c r="Q51" s="39"/>
      <c r="R51" s="39">
        <f>'Milling Down Time Hours'!P57</f>
        <v>0</v>
      </c>
      <c r="S51" s="13"/>
      <c r="T51" s="1464"/>
      <c r="U51" s="1464"/>
      <c r="V51" s="1471"/>
      <c r="W51" s="159"/>
      <c r="X51" s="154"/>
      <c r="Y51" s="154"/>
    </row>
    <row r="52" spans="2:28" ht="15" thickBot="1" x14ac:dyDescent="0.35">
      <c r="B52" s="1388">
        <v>46288</v>
      </c>
      <c r="C52" s="1389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465"/>
      <c r="U52" s="1465"/>
      <c r="V52" s="1472"/>
      <c r="W52" s="159"/>
      <c r="X52" s="154"/>
      <c r="Y52" s="154"/>
    </row>
    <row r="53" spans="2:28" ht="15" thickBot="1" x14ac:dyDescent="0.35">
      <c r="B53" s="1390"/>
      <c r="C53" s="1391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464"/>
      <c r="U53" s="1464"/>
      <c r="V53" s="1471"/>
      <c r="W53" s="159"/>
      <c r="X53" s="154"/>
      <c r="Y53" s="154"/>
    </row>
    <row r="54" spans="2:28" ht="15" thickBot="1" x14ac:dyDescent="0.35">
      <c r="B54" s="1388">
        <v>46289</v>
      </c>
      <c r="C54" s="1389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465"/>
      <c r="U54" s="1465"/>
      <c r="V54" s="1472"/>
      <c r="W54" s="159"/>
      <c r="X54" s="154"/>
      <c r="Y54" s="154"/>
      <c r="AB54" s="1">
        <v>9570</v>
      </c>
    </row>
    <row r="55" spans="2:28" ht="15" thickBot="1" x14ac:dyDescent="0.35">
      <c r="B55" s="1390"/>
      <c r="C55" s="1391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464"/>
      <c r="U55" s="1464"/>
      <c r="V55" s="1471"/>
      <c r="W55" s="159"/>
      <c r="X55" s="154"/>
      <c r="Y55" s="154"/>
      <c r="AB55" s="1">
        <v>8795</v>
      </c>
    </row>
    <row r="56" spans="2:28" ht="15" thickBot="1" x14ac:dyDescent="0.35">
      <c r="B56" s="1388">
        <v>46290</v>
      </c>
      <c r="C56" s="1389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465"/>
      <c r="U56" s="1465"/>
      <c r="V56" s="1472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390"/>
      <c r="C57" s="1391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464"/>
      <c r="U57" s="1464"/>
      <c r="V57" s="1471"/>
      <c r="W57" s="159"/>
      <c r="X57" s="154"/>
      <c r="Y57" s="154"/>
    </row>
    <row r="58" spans="2:28" ht="15" thickBot="1" x14ac:dyDescent="0.35">
      <c r="B58" s="1388">
        <v>46291</v>
      </c>
      <c r="C58" s="1389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465"/>
      <c r="U58" s="1465"/>
      <c r="V58" s="1472"/>
      <c r="W58" s="159"/>
      <c r="X58" s="154"/>
      <c r="Y58" s="154"/>
    </row>
    <row r="59" spans="2:28" ht="15" thickBot="1" x14ac:dyDescent="0.35">
      <c r="B59" s="1390"/>
      <c r="C59" s="1391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464"/>
      <c r="U59" s="1464"/>
      <c r="V59" s="1471"/>
      <c r="W59" s="159"/>
      <c r="X59" s="154"/>
      <c r="Y59" s="154"/>
    </row>
    <row r="60" spans="2:28" ht="15" thickBot="1" x14ac:dyDescent="0.35">
      <c r="B60" s="1388">
        <v>46292</v>
      </c>
      <c r="C60" s="1389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465"/>
      <c r="U60" s="1465"/>
      <c r="V60" s="1472"/>
      <c r="W60" s="159"/>
      <c r="X60" s="154"/>
      <c r="Y60" s="154"/>
    </row>
    <row r="61" spans="2:28" ht="15" thickBot="1" x14ac:dyDescent="0.35">
      <c r="B61" s="1390"/>
      <c r="C61" s="1391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464"/>
      <c r="U61" s="1464"/>
      <c r="V61" s="1471"/>
      <c r="W61" s="159"/>
      <c r="X61" s="154"/>
      <c r="Y61" s="154"/>
    </row>
    <row r="62" spans="2:28" ht="15" thickBot="1" x14ac:dyDescent="0.35">
      <c r="B62" s="1388">
        <v>46293</v>
      </c>
      <c r="C62" s="1389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465"/>
      <c r="U62" s="1465"/>
      <c r="V62" s="1472"/>
      <c r="W62" s="159"/>
      <c r="X62" s="154"/>
      <c r="Y62" s="154"/>
    </row>
    <row r="63" spans="2:28" ht="15" thickBot="1" x14ac:dyDescent="0.35">
      <c r="B63" s="1390"/>
      <c r="C63" s="1391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466"/>
      <c r="U63" s="1466"/>
      <c r="V63" s="1468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388">
        <v>46294</v>
      </c>
      <c r="C64" s="1389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467"/>
      <c r="U64" s="1467"/>
      <c r="V64" s="1469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390"/>
      <c r="C65" s="1391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466"/>
      <c r="U65" s="1466"/>
      <c r="V65" s="1572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388">
        <v>46295</v>
      </c>
      <c r="C66" s="1389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467"/>
      <c r="U66" s="1467"/>
      <c r="V66" s="1573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390"/>
      <c r="C67" s="1391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</v>
      </c>
      <c r="S67" s="13"/>
      <c r="T67" s="1466"/>
      <c r="U67" s="1466"/>
      <c r="V67" s="1572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388">
        <v>46296</v>
      </c>
      <c r="C68" s="1389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467"/>
      <c r="U68" s="1467"/>
      <c r="V68" s="1573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390"/>
      <c r="C69" s="1391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</v>
      </c>
      <c r="S69" s="13"/>
      <c r="T69" s="1466"/>
      <c r="U69" s="1466"/>
      <c r="V69" s="1468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388">
        <v>46297</v>
      </c>
      <c r="C70" s="1389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467"/>
      <c r="U70" s="1467"/>
      <c r="V70" s="1469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390"/>
      <c r="C71" s="1391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0</v>
      </c>
      <c r="Q71" s="39"/>
      <c r="R71" s="39">
        <f>'Milling Down Time Hours'!L77</f>
        <v>0</v>
      </c>
      <c r="S71" s="13"/>
      <c r="T71" s="1466"/>
      <c r="U71" s="1466"/>
      <c r="V71" s="1468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388">
        <v>46298</v>
      </c>
      <c r="C72" s="1389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467"/>
      <c r="U72" s="1467"/>
      <c r="V72" s="1469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390"/>
      <c r="C73" s="1391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0</v>
      </c>
      <c r="Q73" s="39"/>
      <c r="R73" s="39">
        <f>'Milling Down Time Hours'!L79</f>
        <v>0</v>
      </c>
      <c r="S73" s="13"/>
      <c r="T73" s="1466"/>
      <c r="U73" s="1466"/>
      <c r="V73" s="1468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388">
        <v>46299</v>
      </c>
      <c r="C74" s="1389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467"/>
      <c r="U74" s="1467"/>
      <c r="V74" s="1469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390"/>
      <c r="C75" s="1391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0</v>
      </c>
      <c r="Q75" s="39"/>
      <c r="R75" s="39">
        <f>'Milling Down Time Hours'!L81</f>
        <v>0</v>
      </c>
      <c r="S75" s="13"/>
      <c r="T75" s="1464"/>
      <c r="U75" s="1464"/>
      <c r="V75" s="1471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388">
        <v>46300</v>
      </c>
      <c r="C76" s="1389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465"/>
      <c r="U76" s="1465"/>
      <c r="V76" s="1472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390"/>
      <c r="C77" s="1391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0</v>
      </c>
      <c r="Q77" s="39"/>
      <c r="R77" s="39">
        <f>'Milling Down Time Hours'!L83</f>
        <v>0</v>
      </c>
      <c r="S77" s="13"/>
      <c r="T77" s="1466"/>
      <c r="U77" s="1466"/>
      <c r="V77" s="1468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388">
        <v>46301</v>
      </c>
      <c r="C78" s="1389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467"/>
      <c r="U78" s="1467"/>
      <c r="V78" s="1469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459"/>
      <c r="C79" s="1460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566">
        <f>'Milling Down Time Hours'!Q43</f>
        <v>0</v>
      </c>
      <c r="Q79" s="39"/>
      <c r="R79" s="1566">
        <f>'Milling Down Time Hours'!L85</f>
        <v>0</v>
      </c>
      <c r="S79" s="13"/>
      <c r="T79" s="1466">
        <v>0.35699999999999998</v>
      </c>
      <c r="U79" s="1466">
        <v>1.056</v>
      </c>
      <c r="V79" s="1468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459"/>
      <c r="C80" s="1460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566"/>
      <c r="Q80" s="39"/>
      <c r="R80" s="1566"/>
      <c r="S80" s="13"/>
      <c r="T80" s="1467"/>
      <c r="U80" s="1467"/>
      <c r="V80" s="1469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459"/>
      <c r="C81" s="1460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566">
        <f>'Milling Down Time Hours'!M87</f>
        <v>0</v>
      </c>
      <c r="Q81" s="39"/>
      <c r="R81" s="1566">
        <f>'Milling Down Time Hours'!L87</f>
        <v>0</v>
      </c>
      <c r="S81" s="13"/>
      <c r="T81" s="1464" t="e">
        <f>SUM(#REF!)</f>
        <v>#REF!</v>
      </c>
      <c r="U81" s="1464" t="e">
        <f t="shared" ref="U81" si="26">SUM(T81:T83)</f>
        <v>#REF!</v>
      </c>
      <c r="V81" s="1471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459"/>
      <c r="C82" s="1460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566"/>
      <c r="Q82" s="39"/>
      <c r="R82" s="1566"/>
      <c r="S82" s="13"/>
      <c r="T82" s="1465"/>
      <c r="U82" s="1465"/>
      <c r="V82" s="1472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459"/>
      <c r="C83" s="1460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566">
        <f>'Milling Down Time Hours'!M89</f>
        <v>0</v>
      </c>
      <c r="Q83" s="39"/>
      <c r="R83" s="1566">
        <f>'Milling Down Time Hours'!L89</f>
        <v>0</v>
      </c>
      <c r="S83" s="13"/>
      <c r="T83" s="1464" t="e">
        <f>SUM(#REF!)</f>
        <v>#REF!</v>
      </c>
      <c r="U83" s="1464" t="e">
        <f t="shared" ref="U83" si="28">SUM(T83:T85)</f>
        <v>#REF!</v>
      </c>
      <c r="V83" s="1471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459"/>
      <c r="C84" s="1460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566"/>
      <c r="Q84" s="39"/>
      <c r="R84" s="1566"/>
      <c r="S84" s="13"/>
      <c r="T84" s="1465"/>
      <c r="U84" s="1465"/>
      <c r="V84" s="1472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459"/>
      <c r="C85" s="1460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566">
        <f>'Milling Down Time Hours'!M91</f>
        <v>0</v>
      </c>
      <c r="Q85" s="39"/>
      <c r="R85" s="1566">
        <f>'Milling Down Time Hours'!L91</f>
        <v>0</v>
      </c>
      <c r="S85" s="13"/>
      <c r="T85" s="1464" t="e">
        <f>SUM(#REF!)</f>
        <v>#REF!</v>
      </c>
      <c r="U85" s="1464" t="e">
        <f t="shared" ref="U85" si="30">SUM(T85:T87)</f>
        <v>#REF!</v>
      </c>
      <c r="V85" s="1471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459"/>
      <c r="C86" s="1460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566"/>
      <c r="Q86" s="39"/>
      <c r="R86" s="1566"/>
      <c r="S86" s="13"/>
      <c r="T86" s="1465"/>
      <c r="U86" s="1465"/>
      <c r="V86" s="1472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459"/>
      <c r="C87" s="1460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566">
        <f>'Milling Down Time Hours'!M93</f>
        <v>0</v>
      </c>
      <c r="Q87" s="39"/>
      <c r="R87" s="1566">
        <f>'Milling Down Time Hours'!L93</f>
        <v>0</v>
      </c>
      <c r="S87" s="13"/>
      <c r="T87" s="1464" t="e">
        <f>SUM(#REF!)</f>
        <v>#REF!</v>
      </c>
      <c r="U87" s="1464" t="e">
        <f t="shared" ref="U87" si="32">SUM(T87:T89)</f>
        <v>#REF!</v>
      </c>
      <c r="V87" s="1471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459"/>
      <c r="C88" s="1460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566"/>
      <c r="Q88" s="39"/>
      <c r="R88" s="1566"/>
      <c r="S88" s="13"/>
      <c r="T88" s="1465"/>
      <c r="U88" s="1465"/>
      <c r="V88" s="1472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459"/>
      <c r="C89" s="1460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566">
        <f>'Milling Down Time Hours'!M95</f>
        <v>0</v>
      </c>
      <c r="Q89" s="39"/>
      <c r="R89" s="1566">
        <f>'Milling Down Time Hours'!L95</f>
        <v>0</v>
      </c>
      <c r="S89" s="13"/>
      <c r="T89" s="1464" t="e">
        <f>SUM(#REF!)</f>
        <v>#REF!</v>
      </c>
      <c r="U89" s="1464" t="e">
        <f t="shared" ref="U89" si="34">SUM(T89:T91)</f>
        <v>#REF!</v>
      </c>
      <c r="V89" s="1471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459"/>
      <c r="C90" s="1460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566"/>
      <c r="Q90" s="39"/>
      <c r="R90" s="1566"/>
      <c r="S90" s="13"/>
      <c r="T90" s="1465"/>
      <c r="U90" s="1465"/>
      <c r="V90" s="1472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459"/>
      <c r="C91" s="1460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566">
        <f>'Milling Down Time Hours'!M97</f>
        <v>0</v>
      </c>
      <c r="Q91" s="39"/>
      <c r="R91" s="1566">
        <f>'Milling Down Time Hours'!L97</f>
        <v>0</v>
      </c>
      <c r="S91" s="13"/>
      <c r="T91" s="1464" t="e">
        <f>SUM(#REF!)</f>
        <v>#REF!</v>
      </c>
      <c r="U91" s="1464" t="e">
        <f t="shared" ref="U91" si="36">SUM(T91:T93)</f>
        <v>#REF!</v>
      </c>
      <c r="V91" s="1471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459"/>
      <c r="C92" s="1460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566"/>
      <c r="Q92" s="39"/>
      <c r="R92" s="1566"/>
      <c r="S92" s="13"/>
      <c r="T92" s="1465"/>
      <c r="U92" s="1465"/>
      <c r="V92" s="1472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459"/>
      <c r="C93" s="1460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566">
        <f>'Milling Down Time Hours'!M99</f>
        <v>0</v>
      </c>
      <c r="Q93" s="39"/>
      <c r="R93" s="1566">
        <f>'Milling Down Time Hours'!L99</f>
        <v>0</v>
      </c>
      <c r="S93" s="13"/>
      <c r="T93" s="1464" t="e">
        <f>SUM(#REF!)</f>
        <v>#REF!</v>
      </c>
      <c r="U93" s="1464" t="e">
        <f t="shared" ref="U93" si="38">SUM(T93:T95)</f>
        <v>#REF!</v>
      </c>
      <c r="V93" s="1471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459"/>
      <c r="C94" s="1460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566"/>
      <c r="Q94" s="39"/>
      <c r="R94" s="1566"/>
      <c r="S94" s="13"/>
      <c r="T94" s="1465"/>
      <c r="U94" s="1465"/>
      <c r="V94" s="1472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459"/>
      <c r="C95" s="1460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566">
        <f>'Milling Down Time Hours'!M101</f>
        <v>0</v>
      </c>
      <c r="Q95" s="39"/>
      <c r="R95" s="1566">
        <f>'Milling Down Time Hours'!L101</f>
        <v>0</v>
      </c>
      <c r="S95" s="13"/>
      <c r="T95" s="1464" t="e">
        <f>SUM(#REF!)</f>
        <v>#REF!</v>
      </c>
      <c r="U95" s="1464" t="e">
        <f>SUM(T95:T99)</f>
        <v>#REF!</v>
      </c>
      <c r="V95" s="1471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459"/>
      <c r="C96" s="1460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566"/>
      <c r="Q96" s="39"/>
      <c r="R96" s="1566"/>
      <c r="S96" s="95"/>
      <c r="T96" s="1474"/>
      <c r="U96" s="1474"/>
      <c r="V96" s="1475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390"/>
      <c r="C97" s="1391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0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438.86666666666662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202</v>
      </c>
      <c r="AA102" s="136">
        <f>MAX(Z5:Z98)</f>
        <v>196686945</v>
      </c>
    </row>
    <row r="103" spans="2:27" x14ac:dyDescent="0.3">
      <c r="W103" s="136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LT Ball Mill</vt:lpstr>
      <vt:lpstr>Milling Down Time Hours</vt:lpstr>
      <vt:lpstr>LT Floculation</vt:lpstr>
      <vt:lpstr>Filter Press</vt:lpstr>
      <vt:lpstr>Milling and Leach Feed</vt:lpstr>
      <vt:lpstr>Rom File Inventory</vt:lpstr>
      <vt:lpstr>Stock File Management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2026-10-06T07:07:42Z</dcterms:modified>
</cp:coreProperties>
</file>