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C5538DD1-3B3C-47DC-87CC-B1954E60466B}" xr6:coauthVersionLast="47" xr6:coauthVersionMax="47" xr10:uidLastSave="{00000000-0000-0000-0000-000000000000}"/>
  <bookViews>
    <workbookView xWindow="-108" yWindow="-108" windowWidth="23256" windowHeight="12456" firstSheet="9" activeTab="11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Milling and Leach Feed" sheetId="21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4" i="21" l="1"/>
  <c r="P64" i="21" s="1"/>
  <c r="M62" i="21"/>
  <c r="M63" i="21"/>
  <c r="H63" i="21"/>
  <c r="I63" i="21"/>
  <c r="J63" i="21"/>
  <c r="H15" i="15"/>
  <c r="I15" i="15"/>
  <c r="G15" i="15"/>
  <c r="Q32" i="5"/>
  <c r="R32" i="5"/>
  <c r="S32" i="5"/>
  <c r="P32" i="5"/>
  <c r="Q31" i="5"/>
  <c r="P31" i="5"/>
  <c r="D60" i="13"/>
  <c r="C20" i="13"/>
  <c r="P56" i="21"/>
  <c r="R56" i="21"/>
  <c r="Q56" i="21" s="1"/>
  <c r="C5" i="13"/>
  <c r="A16" i="13"/>
  <c r="A20" i="13"/>
  <c r="A13" i="13"/>
  <c r="A14" i="13"/>
  <c r="A15" i="13"/>
  <c r="A17" i="13"/>
  <c r="A18" i="13"/>
  <c r="A19" i="13"/>
  <c r="A12" i="13"/>
  <c r="H16" i="15"/>
  <c r="I16" i="15"/>
  <c r="G16" i="15"/>
  <c r="W62" i="21"/>
  <c r="X62" i="21"/>
  <c r="Y62" i="21"/>
  <c r="Y61" i="21"/>
  <c r="X61" i="21"/>
  <c r="W61" i="21"/>
  <c r="N61" i="21"/>
  <c r="O62" i="21"/>
  <c r="I62" i="21"/>
  <c r="H62" i="21"/>
  <c r="J62" i="21"/>
  <c r="O61" i="21"/>
  <c r="M61" i="21"/>
  <c r="I61" i="21"/>
  <c r="H61" i="21"/>
  <c r="J60" i="21"/>
  <c r="J61" i="21"/>
  <c r="R63" i="21"/>
  <c r="P63" i="21" s="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R11" i="20"/>
  <c r="P39" i="20"/>
  <c r="N38" i="20"/>
  <c r="N39" i="20"/>
  <c r="F40" i="20"/>
  <c r="F41" i="20"/>
  <c r="M104" i="1"/>
  <c r="P37" i="20"/>
  <c r="N37" i="20"/>
  <c r="F39" i="20"/>
  <c r="P35" i="20"/>
  <c r="P36" i="20"/>
  <c r="N33" i="20"/>
  <c r="N34" i="20"/>
  <c r="N35" i="20"/>
  <c r="N36" i="20"/>
  <c r="BE80" i="13"/>
  <c r="BF80" i="13"/>
  <c r="BD80" i="13"/>
  <c r="AY79" i="13"/>
  <c r="AZ79" i="13"/>
  <c r="BA79" i="13"/>
  <c r="AX79" i="13"/>
  <c r="AU79" i="13"/>
  <c r="AV79" i="13"/>
  <c r="AT79" i="13"/>
  <c r="G63" i="7"/>
  <c r="Q64" i="21" l="1"/>
  <c r="Q63" i="21"/>
  <c r="Q62" i="21"/>
  <c r="Q61" i="21"/>
  <c r="Q60" i="21"/>
  <c r="Q59" i="21"/>
  <c r="Z16" i="2"/>
  <c r="Z17" i="2" s="1"/>
  <c r="Y16" i="2"/>
  <c r="Y17" i="2" s="1"/>
  <c r="T19" i="13"/>
  <c r="X20" i="13"/>
  <c r="Y20" i="13"/>
  <c r="W20" i="13"/>
  <c r="T55" i="21"/>
  <c r="U59" i="21"/>
  <c r="V59" i="21"/>
  <c r="T59" i="21"/>
  <c r="T58" i="21"/>
  <c r="U58" i="21"/>
  <c r="V58" i="21"/>
  <c r="J59" i="21"/>
  <c r="AA51" i="21"/>
  <c r="F37" i="20"/>
  <c r="F38" i="20"/>
  <c r="AF19" i="13"/>
  <c r="AG19" i="13"/>
  <c r="AE19" i="13"/>
  <c r="U57" i="21"/>
  <c r="V57" i="21"/>
  <c r="T57" i="21"/>
  <c r="U55" i="21"/>
  <c r="V55" i="21"/>
  <c r="H55" i="21"/>
  <c r="J55" i="21"/>
  <c r="L35" i="12" l="1"/>
  <c r="M37" i="12"/>
  <c r="H29" i="12"/>
  <c r="H35" i="12"/>
  <c r="M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V54" i="21"/>
  <c r="T54" i="21"/>
  <c r="AA54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C21" i="13"/>
  <c r="BD21" i="13"/>
  <c r="BE21" i="13"/>
  <c r="BC22" i="13"/>
  <c r="BD22" i="13"/>
  <c r="BE22" i="13"/>
  <c r="BC23" i="13"/>
  <c r="BD23" i="13"/>
  <c r="BE23" i="13"/>
  <c r="BC24" i="13"/>
  <c r="BD24" i="13"/>
  <c r="BE24" i="13"/>
  <c r="BC25" i="13"/>
  <c r="BD25" i="13"/>
  <c r="BE25" i="13"/>
  <c r="BC26" i="13"/>
  <c r="BD26" i="13"/>
  <c r="BE26" i="13"/>
  <c r="BC27" i="13"/>
  <c r="BD27" i="13"/>
  <c r="BE27" i="13"/>
  <c r="BC28" i="13"/>
  <c r="BD28" i="13"/>
  <c r="BE28" i="13"/>
  <c r="BC29" i="13"/>
  <c r="BD29" i="13"/>
  <c r="BE29" i="13"/>
  <c r="BC30" i="13"/>
  <c r="BD30" i="13"/>
  <c r="BE30" i="13"/>
  <c r="BC31" i="13"/>
  <c r="BD31" i="13"/>
  <c r="BE31" i="13"/>
  <c r="BC32" i="13"/>
  <c r="BD32" i="13"/>
  <c r="BE32" i="13"/>
  <c r="BC33" i="13"/>
  <c r="BD33" i="13"/>
  <c r="BE33" i="13"/>
  <c r="BC34" i="13"/>
  <c r="BD34" i="13"/>
  <c r="BE34" i="13"/>
  <c r="BC35" i="13"/>
  <c r="BD35" i="13"/>
  <c r="BE35" i="13"/>
  <c r="BC36" i="13"/>
  <c r="BD36" i="13"/>
  <c r="BE36" i="13"/>
  <c r="BC37" i="13"/>
  <c r="BD37" i="13"/>
  <c r="BE37" i="13"/>
  <c r="BC38" i="13"/>
  <c r="BD38" i="13"/>
  <c r="BE38" i="13"/>
  <c r="BC39" i="13"/>
  <c r="BD39" i="13"/>
  <c r="BE39" i="13"/>
  <c r="BC40" i="13"/>
  <c r="BD40" i="13"/>
  <c r="BE40" i="13"/>
  <c r="BC41" i="13"/>
  <c r="BD41" i="13"/>
  <c r="BE41" i="13"/>
  <c r="BC42" i="13"/>
  <c r="BD42" i="13"/>
  <c r="BE42" i="13"/>
  <c r="BC43" i="13"/>
  <c r="BD43" i="13"/>
  <c r="BE43" i="13"/>
  <c r="BC44" i="13"/>
  <c r="BD44" i="13"/>
  <c r="BE44" i="13"/>
  <c r="BC45" i="13"/>
  <c r="BD45" i="13"/>
  <c r="BE45" i="13"/>
  <c r="BC46" i="13"/>
  <c r="BD46" i="13"/>
  <c r="BE46" i="13"/>
  <c r="BC47" i="13"/>
  <c r="BD47" i="13"/>
  <c r="BE47" i="13"/>
  <c r="BC48" i="13"/>
  <c r="BD48" i="13"/>
  <c r="BE48" i="13"/>
  <c r="BC49" i="13"/>
  <c r="BD49" i="13"/>
  <c r="BE49" i="13"/>
  <c r="BC50" i="13"/>
  <c r="BD50" i="13"/>
  <c r="BE50" i="13"/>
  <c r="BC51" i="13"/>
  <c r="BD51" i="13"/>
  <c r="BE51" i="13"/>
  <c r="BC52" i="13"/>
  <c r="BD52" i="13"/>
  <c r="BE52" i="13"/>
  <c r="BC53" i="13"/>
  <c r="BD53" i="13"/>
  <c r="BE53" i="13"/>
  <c r="BC54" i="13"/>
  <c r="BD54" i="13"/>
  <c r="BE54" i="13"/>
  <c r="BC55" i="13"/>
  <c r="BD55" i="13"/>
  <c r="BE55" i="13"/>
  <c r="BC56" i="13"/>
  <c r="BD56" i="13"/>
  <c r="BE56" i="13"/>
  <c r="BC57" i="13"/>
  <c r="BD57" i="13"/>
  <c r="BE57" i="13"/>
  <c r="BC58" i="13"/>
  <c r="BD58" i="13"/>
  <c r="BE58" i="13"/>
  <c r="BC59" i="13"/>
  <c r="BD59" i="13"/>
  <c r="BE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K95" i="1" l="1"/>
  <c r="M95" i="1" s="1"/>
  <c r="L94" i="1"/>
  <c r="N94" i="1" s="1"/>
  <c r="N105" i="1" s="1"/>
  <c r="Y19" i="13"/>
  <c r="Z13" i="12"/>
  <c r="X19" i="13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F155" i="12" l="1"/>
  <c r="N90" i="1"/>
  <c r="N88" i="1"/>
  <c r="L34" i="12"/>
  <c r="C48" i="7" l="1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N19" i="13" s="1"/>
  <c r="S18" i="13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U16" i="13" s="1"/>
  <c r="AQ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R66" i="21"/>
  <c r="M66" i="21"/>
  <c r="Y66" i="21" s="1"/>
  <c r="M65" i="21"/>
  <c r="X65" i="21" s="1"/>
  <c r="M64" i="21"/>
  <c r="Y64" i="21" s="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X71" i="21"/>
  <c r="W71" i="21"/>
  <c r="X32" i="21"/>
  <c r="AH60" i="13"/>
  <c r="AF14" i="13"/>
  <c r="U98" i="13" s="1"/>
  <c r="AG14" i="13"/>
  <c r="V98" i="13" s="1"/>
  <c r="AE14" i="13"/>
  <c r="T98" i="13" s="1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AQ20" i="13" s="1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M15" i="13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5" i="2"/>
  <c r="AF39" i="7" s="1"/>
  <c r="T56" i="2"/>
  <c r="T57" i="2"/>
  <c r="AF41" i="7" s="1"/>
  <c r="T58" i="2"/>
  <c r="AF42" i="7" s="1"/>
  <c r="T59" i="2"/>
  <c r="AF43" i="7" s="1"/>
  <c r="T60" i="2"/>
  <c r="AF44" i="7" s="1"/>
  <c r="T61" i="2"/>
  <c r="AF45" i="7" s="1"/>
  <c r="T62" i="2"/>
  <c r="AF46" i="7" s="1"/>
  <c r="T63" i="2"/>
  <c r="AF47" i="7" s="1"/>
  <c r="T64" i="2"/>
  <c r="AF48" i="7" s="1"/>
  <c r="T65" i="2"/>
  <c r="AF49" i="7" s="1"/>
  <c r="T66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5" i="2"/>
  <c r="AC39" i="7" s="1"/>
  <c r="P56" i="2"/>
  <c r="AC40" i="7" s="1"/>
  <c r="P57" i="2"/>
  <c r="AC41" i="7" s="1"/>
  <c r="P58" i="2"/>
  <c r="AC42" i="7" s="1"/>
  <c r="P59" i="2"/>
  <c r="AC43" i="7" s="1"/>
  <c r="P60" i="2"/>
  <c r="AC44" i="7" s="1"/>
  <c r="P61" i="2"/>
  <c r="AC45" i="7" s="1"/>
  <c r="P62" i="2"/>
  <c r="AC46" i="7" s="1"/>
  <c r="P63" i="2"/>
  <c r="AC47" i="7" s="1"/>
  <c r="P64" i="2"/>
  <c r="AC48" i="7" s="1"/>
  <c r="P65" i="2"/>
  <c r="AC49" i="7" s="1"/>
  <c r="P66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H20" i="4"/>
  <c r="O2" i="4"/>
  <c r="H16" i="4"/>
  <c r="H17" i="4" s="1"/>
  <c r="I17" i="4" s="1"/>
  <c r="T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U95" i="13" s="1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U11" i="13" s="1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O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O56" i="2"/>
  <c r="Z40" i="7" s="1"/>
  <c r="O57" i="2"/>
  <c r="Z41" i="7" s="1"/>
  <c r="O58" i="2"/>
  <c r="Z42" i="7" s="1"/>
  <c r="O59" i="2"/>
  <c r="Z43" i="7" s="1"/>
  <c r="O60" i="2"/>
  <c r="Z44" i="7" s="1"/>
  <c r="O61" i="2"/>
  <c r="Z45" i="7" s="1"/>
  <c r="O62" i="2"/>
  <c r="Z46" i="7" s="1"/>
  <c r="O63" i="2"/>
  <c r="Z47" i="7" s="1"/>
  <c r="O64" i="2"/>
  <c r="Z48" i="7" s="1"/>
  <c r="O65" i="2"/>
  <c r="Z49" i="7" s="1"/>
  <c r="O55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5" i="2"/>
  <c r="AD39" i="7" s="1"/>
  <c r="R56" i="2"/>
  <c r="AD40" i="7" s="1"/>
  <c r="R57" i="2"/>
  <c r="AD41" i="7" s="1"/>
  <c r="R58" i="2"/>
  <c r="AD42" i="7" s="1"/>
  <c r="R59" i="2"/>
  <c r="AD43" i="7" s="1"/>
  <c r="R60" i="2"/>
  <c r="AD44" i="7" s="1"/>
  <c r="R61" i="2"/>
  <c r="AD45" i="7" s="1"/>
  <c r="R62" i="2"/>
  <c r="AD46" i="7" s="1"/>
  <c r="R63" i="2"/>
  <c r="AD47" i="7" s="1"/>
  <c r="R64" i="2"/>
  <c r="AD48" i="7" s="1"/>
  <c r="R65" i="2"/>
  <c r="AD49" i="7" s="1"/>
  <c r="R66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5" i="2"/>
  <c r="AE39" i="7" s="1"/>
  <c r="S56" i="2"/>
  <c r="AE40" i="7" s="1"/>
  <c r="S57" i="2"/>
  <c r="AE41" i="7" s="1"/>
  <c r="S58" i="2"/>
  <c r="AE42" i="7" s="1"/>
  <c r="S59" i="2"/>
  <c r="AE43" i="7" s="1"/>
  <c r="S60" i="2"/>
  <c r="AE44" i="7" s="1"/>
  <c r="S61" i="2"/>
  <c r="AE45" i="7" s="1"/>
  <c r="S62" i="2"/>
  <c r="AE46" i="7" s="1"/>
  <c r="S63" i="2"/>
  <c r="AE47" i="7" s="1"/>
  <c r="S64" i="2"/>
  <c r="AE48" i="7" s="1"/>
  <c r="S65" i="2"/>
  <c r="AE49" i="7" s="1"/>
  <c r="S66" i="2"/>
  <c r="O49" i="2"/>
  <c r="Z35" i="7" s="1"/>
  <c r="O51" i="2"/>
  <c r="Z36" i="7" s="1"/>
  <c r="O52" i="2"/>
  <c r="Z37" i="7" s="1"/>
  <c r="O54" i="2"/>
  <c r="Z38" i="7" s="1"/>
  <c r="O66" i="2"/>
  <c r="O47" i="2"/>
  <c r="Z34" i="7" s="1"/>
  <c r="G31" i="5"/>
  <c r="J31" i="5"/>
  <c r="K31" i="5"/>
  <c r="U94" i="13"/>
  <c r="V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4" i="2"/>
  <c r="AB38" i="7" s="1"/>
  <c r="Q55" i="2"/>
  <c r="AB39" i="7" s="1"/>
  <c r="Q56" i="2"/>
  <c r="AB40" i="7" s="1"/>
  <c r="AF40" i="7"/>
  <c r="Q57" i="2"/>
  <c r="AB41" i="7" s="1"/>
  <c r="Q58" i="2"/>
  <c r="AB42" i="7" s="1"/>
  <c r="Q59" i="2"/>
  <c r="AB43" i="7"/>
  <c r="Q60" i="2"/>
  <c r="AB44" i="7" s="1"/>
  <c r="Q61" i="2"/>
  <c r="AB45" i="7" s="1"/>
  <c r="Q62" i="2"/>
  <c r="AB46" i="7" s="1"/>
  <c r="Q63" i="2"/>
  <c r="AB47" i="7" s="1"/>
  <c r="Q64" i="2"/>
  <c r="AB48" i="7" s="1"/>
  <c r="Q65" i="2"/>
  <c r="AB49" i="7" s="1"/>
  <c r="Q66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G62" i="5"/>
  <c r="G63" i="5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W38" i="4" l="1"/>
  <c r="N12" i="13"/>
  <c r="D12" i="13" s="1"/>
  <c r="N15" i="13"/>
  <c r="M95" i="13"/>
  <c r="D11" i="13"/>
  <c r="Y32" i="4"/>
  <c r="Y12" i="4"/>
  <c r="O38" i="4"/>
  <c r="W37" i="4"/>
  <c r="AP10" i="13"/>
  <c r="D10" i="13"/>
  <c r="T18" i="13"/>
  <c r="H56" i="21"/>
  <c r="I56" i="21" s="1"/>
  <c r="AO19" i="13"/>
  <c r="AP19" i="13"/>
  <c r="AN19" i="13"/>
  <c r="AL19" i="13"/>
  <c r="AK19" i="13"/>
  <c r="U15" i="13"/>
  <c r="AQ15" i="13" s="1"/>
  <c r="W81" i="21"/>
  <c r="W95" i="21"/>
  <c r="Y95" i="21"/>
  <c r="W96" i="21"/>
  <c r="X13" i="21"/>
  <c r="W34" i="21"/>
  <c r="AB34" i="21" s="1"/>
  <c r="W69" i="21"/>
  <c r="Q58" i="21"/>
  <c r="P58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Y11" i="13"/>
  <c r="P95" i="13" s="1"/>
  <c r="W12" i="13"/>
  <c r="N96" i="13" s="1"/>
  <c r="W10" i="13"/>
  <c r="AO67" i="13" s="1"/>
  <c r="X12" i="13"/>
  <c r="O96" i="13" s="1"/>
  <c r="Y10" i="13"/>
  <c r="V99" i="4"/>
  <c r="U99" i="4"/>
  <c r="T99" i="4"/>
  <c r="X5" i="4"/>
  <c r="AA10" i="13" s="1"/>
  <c r="AL10" i="13" s="1"/>
  <c r="X28" i="4"/>
  <c r="P30" i="5"/>
  <c r="R57" i="21"/>
  <c r="M26" i="12"/>
  <c r="M8" i="12"/>
  <c r="J35" i="12"/>
  <c r="K35" i="12"/>
  <c r="U14" i="13"/>
  <c r="AQ14" i="13" s="1"/>
  <c r="N14" i="13"/>
  <c r="AO14" i="13" s="1"/>
  <c r="U18" i="13"/>
  <c r="AQ18" i="13" s="1"/>
  <c r="U12" i="13"/>
  <c r="AQ12" i="13" s="1"/>
  <c r="U13" i="13"/>
  <c r="AQ13" i="13" s="1"/>
  <c r="N13" i="13"/>
  <c r="M99" i="13"/>
  <c r="M25" i="21"/>
  <c r="O25" i="21" s="1"/>
  <c r="T14" i="13"/>
  <c r="N16" i="13" s="1"/>
  <c r="M100" i="13" s="1"/>
  <c r="H35" i="21"/>
  <c r="H36" i="21" s="1"/>
  <c r="I36" i="21" s="1"/>
  <c r="U17" i="13"/>
  <c r="AQ17" i="13" s="1"/>
  <c r="M20" i="21"/>
  <c r="M21" i="21" s="1"/>
  <c r="X21" i="21" s="1"/>
  <c r="AP11" i="13"/>
  <c r="AO15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7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D18" i="13" s="1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N15" i="13"/>
  <c r="AG60" i="13"/>
  <c r="H48" i="21"/>
  <c r="AL11" i="13"/>
  <c r="Z10" i="13"/>
  <c r="M28" i="21"/>
  <c r="H28" i="21"/>
  <c r="I28" i="21" s="1"/>
  <c r="AE60" i="13"/>
  <c r="M48" i="21"/>
  <c r="AF60" i="13"/>
  <c r="J48" i="5"/>
  <c r="K48" i="5" s="1"/>
  <c r="Q49" i="21"/>
  <c r="AC11" i="7"/>
  <c r="AC57" i="7" s="1"/>
  <c r="S67" i="2"/>
  <c r="V67" i="2"/>
  <c r="AC8" i="2" s="1"/>
  <c r="AC26" i="2" s="1"/>
  <c r="O67" i="2"/>
  <c r="AF57" i="7"/>
  <c r="Z8" i="7"/>
  <c r="Z56" i="7" s="1"/>
  <c r="U67" i="2"/>
  <c r="R67" i="2"/>
  <c r="AB8" i="2" s="1"/>
  <c r="AB26" i="2" s="1"/>
  <c r="AB57" i="7"/>
  <c r="AB56" i="7"/>
  <c r="AF56" i="7"/>
  <c r="T67" i="2"/>
  <c r="Q67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M96" i="13"/>
  <c r="V95" i="13"/>
  <c r="V101" i="13" s="1"/>
  <c r="AN12" i="13"/>
  <c r="AK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O12" i="13"/>
  <c r="V11" i="13"/>
  <c r="V12" i="13" s="1"/>
  <c r="AP12" i="13"/>
  <c r="AN11" i="13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AP14" i="13"/>
  <c r="AP15" i="13"/>
  <c r="AL15" i="13"/>
  <c r="AK15" i="13"/>
  <c r="AM15" i="13"/>
  <c r="T15" i="13"/>
  <c r="N17" i="13" s="1"/>
  <c r="AP17" i="13" s="1"/>
  <c r="H29" i="4"/>
  <c r="O46" i="21"/>
  <c r="H42" i="21"/>
  <c r="AB11" i="13"/>
  <c r="AA11" i="13"/>
  <c r="H17" i="21"/>
  <c r="I17" i="21" s="1"/>
  <c r="Z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O37" i="4"/>
  <c r="X36" i="4"/>
  <c r="Y28" i="4"/>
  <c r="AG56" i="7"/>
  <c r="Z57" i="7" l="1"/>
  <c r="H27" i="4"/>
  <c r="I27" i="4" s="1"/>
  <c r="AO69" i="13"/>
  <c r="M35" i="21"/>
  <c r="X35" i="21" s="1"/>
  <c r="Y60" i="13"/>
  <c r="AD10" i="13"/>
  <c r="AO70" i="13"/>
  <c r="AQ69" i="13"/>
  <c r="AQ60" i="13"/>
  <c r="W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M57" i="21"/>
  <c r="N20" i="13"/>
  <c r="AQ67" i="13"/>
  <c r="N94" i="13"/>
  <c r="N101" i="13" s="1"/>
  <c r="W60" i="13"/>
  <c r="P94" i="13"/>
  <c r="P101" i="13" s="1"/>
  <c r="H37" i="21"/>
  <c r="I37" i="21" s="1"/>
  <c r="AP68" i="13"/>
  <c r="X60" i="13"/>
  <c r="BC19" i="13"/>
  <c r="AY19" i="13" s="1"/>
  <c r="AS19" i="13"/>
  <c r="M97" i="13"/>
  <c r="D13" i="13"/>
  <c r="V13" i="13"/>
  <c r="V14" i="13" s="1"/>
  <c r="V15" i="13" s="1"/>
  <c r="V16" i="13" s="1"/>
  <c r="V17" i="13" s="1"/>
  <c r="V18" i="13" s="1"/>
  <c r="V19" i="13" s="1"/>
  <c r="V20" i="13" s="1"/>
  <c r="BD19" i="13"/>
  <c r="AT19" i="13"/>
  <c r="D17" i="13"/>
  <c r="AM13" i="13"/>
  <c r="AL13" i="13"/>
  <c r="AK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Q68" i="13"/>
  <c r="AP67" i="13"/>
  <c r="X62" i="13"/>
  <c r="Y62" i="13"/>
  <c r="AQ70" i="13"/>
  <c r="AP69" i="13"/>
  <c r="AL12" i="13"/>
  <c r="AT12" i="13" s="1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P57" i="21"/>
  <c r="Q57" i="21"/>
  <c r="M34" i="12"/>
  <c r="X25" i="21"/>
  <c r="AK13" i="13"/>
  <c r="M33" i="4"/>
  <c r="Y33" i="4" s="1"/>
  <c r="W25" i="21"/>
  <c r="AB25" i="21" s="1"/>
  <c r="AN13" i="13"/>
  <c r="W20" i="21"/>
  <c r="AB20" i="21" s="1"/>
  <c r="AK14" i="13"/>
  <c r="AL14" i="13"/>
  <c r="AM14" i="13"/>
  <c r="AU14" i="13" s="1"/>
  <c r="AN14" i="13"/>
  <c r="M98" i="13"/>
  <c r="M27" i="4"/>
  <c r="N27" i="4" s="1"/>
  <c r="Y25" i="21"/>
  <c r="AO13" i="13"/>
  <c r="BD13" i="13" s="1"/>
  <c r="AP13" i="13"/>
  <c r="Q29" i="5"/>
  <c r="S29" i="5"/>
  <c r="H39" i="21"/>
  <c r="I39" i="21" s="1"/>
  <c r="O35" i="21"/>
  <c r="W6" i="21"/>
  <c r="W16" i="21"/>
  <c r="AB16" i="21" s="1"/>
  <c r="M17" i="21"/>
  <c r="M18" i="21" s="1"/>
  <c r="X28" i="21"/>
  <c r="M8" i="21"/>
  <c r="M36" i="21"/>
  <c r="M37" i="21" s="1"/>
  <c r="Y37" i="21" s="1"/>
  <c r="Y35" i="21"/>
  <c r="X6" i="21"/>
  <c r="Y6" i="21"/>
  <c r="O6" i="21"/>
  <c r="H22" i="21"/>
  <c r="I22" i="21" s="1"/>
  <c r="N35" i="21"/>
  <c r="H29" i="21"/>
  <c r="W35" i="21"/>
  <c r="AB35" i="21" s="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O16" i="13"/>
  <c r="N21" i="4"/>
  <c r="X16" i="21"/>
  <c r="AM16" i="13"/>
  <c r="H19" i="4"/>
  <c r="I19" i="4" s="1"/>
  <c r="BD11" i="13"/>
  <c r="AT11" i="13"/>
  <c r="W28" i="21"/>
  <c r="AB28" i="21" s="1"/>
  <c r="AO17" i="13"/>
  <c r="O28" i="21"/>
  <c r="H18" i="21"/>
  <c r="I18" i="21" s="1"/>
  <c r="L47" i="5"/>
  <c r="AC56" i="7"/>
  <c r="T69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C15" i="13"/>
  <c r="Y99" i="4"/>
  <c r="O16" i="21"/>
  <c r="X20" i="4"/>
  <c r="X22" i="4"/>
  <c r="W27" i="4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AK18" i="13"/>
  <c r="AN18" i="13"/>
  <c r="AL18" i="13"/>
  <c r="AO18" i="13"/>
  <c r="AP18" i="13"/>
  <c r="W25" i="4"/>
  <c r="N25" i="4"/>
  <c r="AS10" i="13"/>
  <c r="BC10" i="13"/>
  <c r="X23" i="4"/>
  <c r="W38" i="21"/>
  <c r="AB38" i="21" s="1"/>
  <c r="X99" i="4"/>
  <c r="Y23" i="4"/>
  <c r="O23" i="4"/>
  <c r="H30" i="4"/>
  <c r="I29" i="4"/>
  <c r="AL17" i="13"/>
  <c r="AK17" i="13"/>
  <c r="AM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C12" i="13"/>
  <c r="AS12" i="13"/>
  <c r="BC11" i="13"/>
  <c r="BE15" i="13"/>
  <c r="AU15" i="13"/>
  <c r="BE11" i="13"/>
  <c r="AU11" i="13"/>
  <c r="BD15" i="13"/>
  <c r="AT15" i="13"/>
  <c r="X21" i="4"/>
  <c r="W21" i="4"/>
  <c r="O21" i="4"/>
  <c r="H35" i="4"/>
  <c r="Y20" i="4"/>
  <c r="S20" i="4"/>
  <c r="W20" i="4"/>
  <c r="AT10" i="13"/>
  <c r="BD10" i="13"/>
  <c r="W99" i="4"/>
  <c r="M19" i="4"/>
  <c r="S16" i="4" s="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Z27" i="2" l="1"/>
  <c r="Z28" i="2" s="1"/>
  <c r="M40" i="21"/>
  <c r="M41" i="21" s="1"/>
  <c r="M102" i="13"/>
  <c r="X38" i="21"/>
  <c r="W39" i="21"/>
  <c r="X39" i="21"/>
  <c r="I57" i="21"/>
  <c r="O38" i="21"/>
  <c r="Y38" i="21"/>
  <c r="BD12" i="13"/>
  <c r="AZ12" i="13" s="1"/>
  <c r="AU16" i="13"/>
  <c r="O33" i="4"/>
  <c r="S25" i="21"/>
  <c r="X26" i="21"/>
  <c r="N32" i="4"/>
  <c r="M58" i="21"/>
  <c r="M59" i="21" s="1"/>
  <c r="X33" i="4"/>
  <c r="W33" i="4"/>
  <c r="O26" i="21"/>
  <c r="Y26" i="21"/>
  <c r="AS14" i="13"/>
  <c r="W56" i="21"/>
  <c r="AA56" i="21"/>
  <c r="X57" i="21"/>
  <c r="W57" i="21"/>
  <c r="Y57" i="21"/>
  <c r="Y55" i="21"/>
  <c r="W55" i="21"/>
  <c r="X55" i="21"/>
  <c r="Y56" i="21"/>
  <c r="AL20" i="13"/>
  <c r="D20" i="13"/>
  <c r="AP20" i="13"/>
  <c r="AP60" i="13" s="1"/>
  <c r="AK20" i="13"/>
  <c r="AN20" i="13"/>
  <c r="AN60" i="13" s="1"/>
  <c r="AO20" i="13"/>
  <c r="BD20" i="13" s="1"/>
  <c r="O27" i="4"/>
  <c r="W37" i="21"/>
  <c r="AB37" i="21" s="1"/>
  <c r="X37" i="21"/>
  <c r="BE16" i="13"/>
  <c r="N38" i="21"/>
  <c r="M101" i="13"/>
  <c r="AL60" i="13"/>
  <c r="AS16" i="13"/>
  <c r="H50" i="21"/>
  <c r="I50" i="21" s="1"/>
  <c r="N25" i="21"/>
  <c r="W26" i="21"/>
  <c r="AB26" i="21" s="1"/>
  <c r="L71" i="13"/>
  <c r="L68" i="13"/>
  <c r="BC17" i="13"/>
  <c r="Y27" i="4"/>
  <c r="AB14" i="13" s="1"/>
  <c r="X27" i="4"/>
  <c r="AU13" i="13"/>
  <c r="AS13" i="13"/>
  <c r="M61" i="13"/>
  <c r="AA11" i="2" s="1"/>
  <c r="N21" i="21"/>
  <c r="D16" i="13"/>
  <c r="M23" i="21"/>
  <c r="W22" i="21"/>
  <c r="AB22" i="21" s="1"/>
  <c r="O22" i="21"/>
  <c r="X22" i="21"/>
  <c r="S20" i="21"/>
  <c r="S59" i="5"/>
  <c r="AI6" i="5" s="1"/>
  <c r="BE12" i="13"/>
  <c r="BD16" i="13"/>
  <c r="BC13" i="13"/>
  <c r="BE14" i="13"/>
  <c r="Q100" i="21"/>
  <c r="AT13" i="13"/>
  <c r="BE13" i="13"/>
  <c r="X34" i="4"/>
  <c r="AY15" i="13"/>
  <c r="AY11" i="13"/>
  <c r="AY13" i="13"/>
  <c r="AZ13" i="13"/>
  <c r="AB48" i="21"/>
  <c r="AZ11" i="13"/>
  <c r="BA13" i="13"/>
  <c r="AZ15" i="13"/>
  <c r="AT14" i="13"/>
  <c r="BD14" i="13"/>
  <c r="H40" i="21"/>
  <c r="H41" i="21" s="1"/>
  <c r="I41" i="21" s="1"/>
  <c r="BC14" i="13"/>
  <c r="AY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B16" i="13" s="1"/>
  <c r="X36" i="21"/>
  <c r="W36" i="21"/>
  <c r="AB36" i="21" s="1"/>
  <c r="AS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X11" i="2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C16" i="13"/>
  <c r="H19" i="21"/>
  <c r="I19" i="21" s="1"/>
  <c r="Y17" i="21"/>
  <c r="N17" i="21"/>
  <c r="AA98" i="4"/>
  <c r="O17" i="21"/>
  <c r="W17" i="21"/>
  <c r="AB17" i="21" s="1"/>
  <c r="O34" i="4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E17" i="13"/>
  <c r="X27" i="21"/>
  <c r="M35" i="4"/>
  <c r="I35" i="4"/>
  <c r="AY12" i="13"/>
  <c r="AY10" i="13"/>
  <c r="Y27" i="21"/>
  <c r="AT17" i="13"/>
  <c r="BD17" i="13"/>
  <c r="AZ17" i="13" s="1"/>
  <c r="H23" i="4"/>
  <c r="I23" i="4" s="1"/>
  <c r="H31" i="4"/>
  <c r="I31" i="4" s="1"/>
  <c r="I30" i="4"/>
  <c r="H44" i="21"/>
  <c r="I43" i="21"/>
  <c r="BA11" i="13"/>
  <c r="X30" i="4"/>
  <c r="M31" i="4"/>
  <c r="S28" i="4" s="1"/>
  <c r="W30" i="4"/>
  <c r="Y30" i="4"/>
  <c r="O30" i="4"/>
  <c r="AT18" i="13"/>
  <c r="BD18" i="13"/>
  <c r="M45" i="21"/>
  <c r="O45" i="21" s="1"/>
  <c r="O44" i="21"/>
  <c r="Y44" i="21"/>
  <c r="X44" i="21"/>
  <c r="BC18" i="13"/>
  <c r="AS17" i="13"/>
  <c r="AA14" i="13"/>
  <c r="S25" i="4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E10" i="13"/>
  <c r="AA102" i="4"/>
  <c r="AZ10" i="13"/>
  <c r="W58" i="21" l="1"/>
  <c r="X58" i="21"/>
  <c r="AZ14" i="13"/>
  <c r="AA16" i="13"/>
  <c r="BA16" i="13"/>
  <c r="AZ20" i="13"/>
  <c r="Y58" i="21"/>
  <c r="W59" i="21"/>
  <c r="Z20" i="13" s="1"/>
  <c r="S56" i="21"/>
  <c r="X59" i="21"/>
  <c r="Y59" i="21"/>
  <c r="N57" i="21"/>
  <c r="AB20" i="13"/>
  <c r="AM20" i="13" s="1"/>
  <c r="AU20" i="13" s="1"/>
  <c r="H51" i="21"/>
  <c r="H52" i="21" s="1"/>
  <c r="I52" i="21" s="1"/>
  <c r="M99" i="4"/>
  <c r="AA20" i="13"/>
  <c r="BC20" i="13"/>
  <c r="AY20" i="13" s="1"/>
  <c r="AS20" i="13"/>
  <c r="AS60" i="13" s="1"/>
  <c r="AT20" i="13"/>
  <c r="AT60" i="13" s="1"/>
  <c r="U61" i="13"/>
  <c r="Z11" i="2"/>
  <c r="Y11" i="2"/>
  <c r="D60" i="6"/>
  <c r="AC11" i="2"/>
  <c r="AB11" i="2"/>
  <c r="AK60" i="13"/>
  <c r="AK63" i="13" s="1"/>
  <c r="AO60" i="13"/>
  <c r="AZ16" i="13"/>
  <c r="AY17" i="13"/>
  <c r="O23" i="21"/>
  <c r="N23" i="21"/>
  <c r="X23" i="21"/>
  <c r="W23" i="21"/>
  <c r="AB23" i="21" s="1"/>
  <c r="Y23" i="21"/>
  <c r="C61" i="13"/>
  <c r="E65" i="13"/>
  <c r="D19" i="13"/>
  <c r="J67" i="13"/>
  <c r="M52" i="21"/>
  <c r="O52" i="21" s="1"/>
  <c r="R59" i="5"/>
  <c r="AJ6" i="5" s="1"/>
  <c r="S60" i="5"/>
  <c r="BA17" i="13"/>
  <c r="Y30" i="21"/>
  <c r="O30" i="21"/>
  <c r="X30" i="21"/>
  <c r="M31" i="21"/>
  <c r="S28" i="21" s="1"/>
  <c r="AY16" i="13"/>
  <c r="BA15" i="13"/>
  <c r="AY18" i="13"/>
  <c r="AZ19" i="13"/>
  <c r="P99" i="4"/>
  <c r="Q60" i="5"/>
  <c r="AH6" i="5"/>
  <c r="Z16" i="13"/>
  <c r="C60" i="13"/>
  <c r="N44" i="21"/>
  <c r="BD61" i="13"/>
  <c r="AZ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I51" i="21"/>
  <c r="AC28" i="2"/>
  <c r="AB28" i="2"/>
  <c r="X28" i="2"/>
  <c r="Y28" i="2"/>
  <c r="AA28" i="2"/>
  <c r="X45" i="21"/>
  <c r="AA18" i="13" s="1"/>
  <c r="S42" i="21"/>
  <c r="AC14" i="13"/>
  <c r="AD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BA10" i="13"/>
  <c r="BA12" i="13" s="1"/>
  <c r="BA14" i="13"/>
  <c r="AD13" i="13"/>
  <c r="AC13" i="13"/>
  <c r="AD12" i="13"/>
  <c r="AC12" i="13"/>
  <c r="R60" i="5" l="1"/>
  <c r="AD20" i="13"/>
  <c r="AC20" i="13"/>
  <c r="BE20" i="13"/>
  <c r="Y31" i="21"/>
  <c r="O31" i="21"/>
  <c r="W31" i="21"/>
  <c r="AB31" i="21" s="1"/>
  <c r="H53" i="21"/>
  <c r="X31" i="21"/>
  <c r="BC61" i="13"/>
  <c r="BC63" i="13" s="1"/>
  <c r="AD16" i="13"/>
  <c r="J68" i="13"/>
  <c r="O67" i="13" s="1"/>
  <c r="L75" i="13" s="1"/>
  <c r="L70" i="13"/>
  <c r="L72" i="13" s="1"/>
  <c r="L73" i="13" s="1"/>
  <c r="M67" i="13"/>
  <c r="L74" i="13" s="1"/>
  <c r="L77" i="13"/>
  <c r="T67" i="13"/>
  <c r="L76" i="13" s="1"/>
  <c r="I53" i="21"/>
  <c r="H54" i="21"/>
  <c r="I54" i="21" s="1"/>
  <c r="M53" i="21"/>
  <c r="M54" i="21" s="1"/>
  <c r="N54" i="21" s="1"/>
  <c r="X52" i="21"/>
  <c r="W52" i="21"/>
  <c r="Y52" i="21"/>
  <c r="AU18" i="13"/>
  <c r="BE18" i="13"/>
  <c r="BA20" i="13" s="1"/>
  <c r="AC16" i="13"/>
  <c r="N30" i="21"/>
  <c r="W100" i="21"/>
  <c r="AA17" i="13"/>
  <c r="AB17" i="13"/>
  <c r="Z17" i="13"/>
  <c r="O51" i="21"/>
  <c r="W51" i="21"/>
  <c r="N50" i="21"/>
  <c r="X51" i="21"/>
  <c r="Y51" i="21"/>
  <c r="AB45" i="21"/>
  <c r="Z18" i="13"/>
  <c r="AD15" i="13"/>
  <c r="AC15" i="13"/>
  <c r="N52" i="21" l="1"/>
  <c r="O54" i="21"/>
  <c r="S48" i="21"/>
  <c r="S100" i="21" s="1"/>
  <c r="Y54" i="21"/>
  <c r="W54" i="21"/>
  <c r="X54" i="21"/>
  <c r="X53" i="21"/>
  <c r="Y53" i="21"/>
  <c r="W53" i="21"/>
  <c r="O53" i="21"/>
  <c r="M100" i="21"/>
  <c r="AA19" i="13"/>
  <c r="BA18" i="13"/>
  <c r="AD17" i="13"/>
  <c r="AC17" i="13"/>
  <c r="AC18" i="13"/>
  <c r="AD18" i="13"/>
  <c r="AB19" i="13" l="1"/>
  <c r="Z19" i="13"/>
  <c r="O100" i="21"/>
  <c r="Z60" i="13"/>
  <c r="Z62" i="13"/>
  <c r="AM19" i="13"/>
  <c r="AB62" i="13"/>
  <c r="AB60" i="13"/>
  <c r="AD19" i="13"/>
  <c r="AC19" i="13"/>
  <c r="AA62" i="13"/>
  <c r="AA60" i="13"/>
  <c r="AM60" i="13" l="1"/>
  <c r="BE19" i="13"/>
  <c r="BA19" i="13" s="1"/>
  <c r="AU19" i="13"/>
  <c r="AU60" i="13" s="1"/>
  <c r="BE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<sst xmlns="http://schemas.openxmlformats.org/spreadsheetml/2006/main" count="2426" uniqueCount="756">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</sst>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1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164" fontId="77" fillId="0" borderId="0" applyFont="0" applyFill="0" applyBorder="0" applyAlignment="0" applyProtection="0"/>
  </cellStyleXfs>
  <cellXfs count="156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7" fillId="2" borderId="12" xfId="0" applyFont="1" applyFill="1" applyBorder="1"/>
    <xf numFmtId="0" fontId="0" fillId="2" borderId="12" xfId="0" applyFill="1" applyBorder="1"/>
    <xf numFmtId="0" fontId="77" fillId="2" borderId="15" xfId="0" applyFont="1" applyFill="1" applyBorder="1" applyAlignment="1">
      <alignment vertical="center"/>
    </xf>
    <xf numFmtId="0" fontId="7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8" fillId="4" borderId="12" xfId="0" applyFont="1" applyFill="1" applyBorder="1" applyAlignment="1">
      <alignment horizontal="center"/>
    </xf>
    <xf numFmtId="0" fontId="78" fillId="3" borderId="12" xfId="0" applyFont="1" applyFill="1" applyBorder="1" applyAlignment="1">
      <alignment horizontal="center"/>
    </xf>
    <xf numFmtId="0" fontId="7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8" fillId="3" borderId="12" xfId="0" applyFont="1" applyFill="1" applyBorder="1"/>
    <xf numFmtId="0" fontId="0" fillId="3" borderId="12" xfId="0" applyFill="1" applyBorder="1"/>
    <xf numFmtId="0" fontId="78" fillId="3" borderId="31" xfId="0" applyFont="1" applyFill="1" applyBorder="1" applyAlignment="1">
      <alignment horizontal="center"/>
    </xf>
    <xf numFmtId="0" fontId="7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9" fillId="5" borderId="0" xfId="0" applyFont="1" applyFill="1"/>
    <xf numFmtId="0" fontId="8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1" fillId="2" borderId="0" xfId="3" applyNumberFormat="1" applyFont="1" applyFill="1"/>
    <xf numFmtId="170" fontId="8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7" fillId="2" borderId="12" xfId="0" applyNumberFormat="1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2" fillId="5" borderId="0" xfId="2" applyNumberFormat="1" applyFont="1" applyFill="1"/>
    <xf numFmtId="172" fontId="8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3" fillId="6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3" fillId="8" borderId="12" xfId="0" applyFont="1" applyFill="1" applyBorder="1" applyAlignment="1">
      <alignment horizontal="center" vertical="center"/>
    </xf>
    <xf numFmtId="0" fontId="83" fillId="9" borderId="12" xfId="0" applyFont="1" applyFill="1" applyBorder="1" applyAlignment="1">
      <alignment horizontal="center" vertical="center"/>
    </xf>
    <xf numFmtId="14" fontId="8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3" fillId="7" borderId="20" xfId="0" applyNumberFormat="1" applyFont="1" applyFill="1" applyBorder="1" applyAlignment="1">
      <alignment horizontal="center" vertical="center"/>
    </xf>
    <xf numFmtId="14" fontId="83" fillId="7" borderId="21" xfId="0" applyNumberFormat="1" applyFont="1" applyFill="1" applyBorder="1" applyAlignment="1">
      <alignment horizontal="center" vertical="center"/>
    </xf>
    <xf numFmtId="14" fontId="83" fillId="7" borderId="28" xfId="0" applyNumberFormat="1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/>
    </xf>
    <xf numFmtId="0" fontId="85" fillId="11" borderId="12" xfId="0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 vertical="center"/>
    </xf>
    <xf numFmtId="14" fontId="85" fillId="12" borderId="12" xfId="0" applyNumberFormat="1" applyFont="1" applyFill="1" applyBorder="1" applyAlignment="1">
      <alignment horizontal="center" vertical="center"/>
    </xf>
    <xf numFmtId="0" fontId="85" fillId="13" borderId="12" xfId="0" applyFont="1" applyFill="1" applyBorder="1" applyAlignment="1">
      <alignment horizontal="center" vertical="center"/>
    </xf>
    <xf numFmtId="0" fontId="77" fillId="0" borderId="7" xfId="0" applyFont="1" applyBorder="1" applyAlignment="1">
      <alignment horizontal="center"/>
    </xf>
    <xf numFmtId="20" fontId="77" fillId="2" borderId="28" xfId="0" applyNumberFormat="1" applyFont="1" applyFill="1" applyBorder="1" applyAlignment="1">
      <alignment horizontal="center" vertical="center"/>
    </xf>
    <xf numFmtId="1" fontId="7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7" fillId="2" borderId="12" xfId="0" applyNumberFormat="1" applyFont="1" applyFill="1" applyBorder="1" applyAlignment="1">
      <alignment horizontal="center" vertical="center"/>
    </xf>
    <xf numFmtId="0" fontId="78" fillId="3" borderId="12" xfId="0" applyFont="1" applyFill="1" applyBorder="1" applyAlignment="1">
      <alignment horizontal="right"/>
    </xf>
    <xf numFmtId="1" fontId="78" fillId="3" borderId="20" xfId="0" applyNumberFormat="1" applyFont="1" applyFill="1" applyBorder="1" applyAlignment="1">
      <alignment horizontal="right"/>
    </xf>
    <xf numFmtId="9" fontId="7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3" fillId="0" borderId="0" xfId="0" applyFont="1"/>
    <xf numFmtId="1" fontId="83" fillId="0" borderId="0" xfId="0" applyNumberFormat="1" applyFont="1" applyAlignment="1">
      <alignment horizontal="center"/>
    </xf>
    <xf numFmtId="0" fontId="83" fillId="0" borderId="0" xfId="0" applyFont="1" applyAlignment="1">
      <alignment horizontal="center"/>
    </xf>
    <xf numFmtId="0" fontId="8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3" fillId="0" borderId="38" xfId="0" applyFont="1" applyBorder="1"/>
    <xf numFmtId="1" fontId="83" fillId="0" borderId="38" xfId="0" applyNumberFormat="1" applyFont="1" applyBorder="1" applyAlignment="1">
      <alignment horizontal="center"/>
    </xf>
    <xf numFmtId="0" fontId="83" fillId="0" borderId="38" xfId="0" applyFont="1" applyBorder="1" applyAlignment="1">
      <alignment horizontal="center"/>
    </xf>
    <xf numFmtId="43" fontId="83" fillId="0" borderId="38" xfId="1" applyFont="1" applyBorder="1" applyAlignment="1">
      <alignment horizontal="center"/>
    </xf>
    <xf numFmtId="0" fontId="83" fillId="0" borderId="39" xfId="0" applyFont="1" applyBorder="1"/>
    <xf numFmtId="0" fontId="85" fillId="0" borderId="0" xfId="0" applyFont="1" applyAlignment="1">
      <alignment wrapText="1"/>
    </xf>
    <xf numFmtId="0" fontId="85" fillId="3" borderId="45" xfId="0" applyFont="1" applyFill="1" applyBorder="1" applyAlignment="1">
      <alignment horizontal="center" vertical="center" wrapText="1"/>
    </xf>
    <xf numFmtId="0" fontId="83" fillId="0" borderId="47" xfId="0" applyFont="1" applyBorder="1"/>
    <xf numFmtId="173" fontId="83" fillId="0" borderId="48" xfId="0" applyNumberFormat="1" applyFont="1" applyBorder="1" applyAlignment="1">
      <alignment horizontal="center"/>
    </xf>
    <xf numFmtId="1" fontId="83" fillId="0" borderId="48" xfId="0" applyNumberFormat="1" applyFont="1" applyBorder="1" applyAlignment="1">
      <alignment horizontal="center"/>
    </xf>
    <xf numFmtId="174" fontId="83" fillId="0" borderId="48" xfId="0" applyNumberFormat="1" applyFont="1" applyBorder="1" applyAlignment="1">
      <alignment horizontal="center"/>
    </xf>
    <xf numFmtId="0" fontId="83" fillId="0" borderId="48" xfId="0" applyFont="1" applyBorder="1"/>
    <xf numFmtId="9" fontId="83" fillId="0" borderId="48" xfId="0" applyNumberFormat="1" applyFont="1" applyBorder="1" applyAlignment="1">
      <alignment horizontal="center"/>
    </xf>
    <xf numFmtId="0" fontId="83" fillId="0" borderId="48" xfId="0" applyFont="1" applyBorder="1" applyAlignment="1">
      <alignment horizontal="center"/>
    </xf>
    <xf numFmtId="9" fontId="83" fillId="0" borderId="49" xfId="0" applyNumberFormat="1" applyFont="1" applyBorder="1" applyAlignment="1">
      <alignment horizontal="center"/>
    </xf>
    <xf numFmtId="0" fontId="8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4" fillId="2" borderId="12" xfId="0" applyFont="1" applyFill="1" applyBorder="1"/>
    <xf numFmtId="14" fontId="83" fillId="2" borderId="12" xfId="0" applyNumberFormat="1" applyFont="1" applyFill="1" applyBorder="1" applyAlignment="1">
      <alignment horizontal="center" vertical="center"/>
    </xf>
    <xf numFmtId="0" fontId="78" fillId="10" borderId="20" xfId="0" applyFont="1" applyFill="1" applyBorder="1"/>
    <xf numFmtId="0" fontId="78" fillId="10" borderId="28" xfId="0" applyFont="1" applyFill="1" applyBorder="1"/>
    <xf numFmtId="14" fontId="8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8" fillId="16" borderId="12" xfId="0" applyFont="1" applyFill="1" applyBorder="1" applyAlignment="1">
      <alignment horizontal="center"/>
    </xf>
    <xf numFmtId="0" fontId="78" fillId="10" borderId="7" xfId="0" applyFont="1" applyFill="1" applyBorder="1" applyAlignment="1">
      <alignment horizontal="center"/>
    </xf>
    <xf numFmtId="9" fontId="83" fillId="0" borderId="12" xfId="0" applyNumberFormat="1" applyFont="1" applyBorder="1" applyAlignment="1">
      <alignment horizontal="center"/>
    </xf>
    <xf numFmtId="0" fontId="78" fillId="17" borderId="12" xfId="0" applyFont="1" applyFill="1" applyBorder="1" applyAlignment="1">
      <alignment horizontal="center"/>
    </xf>
    <xf numFmtId="0" fontId="7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8" fillId="3" borderId="0" xfId="0" applyFont="1" applyFill="1" applyAlignment="1">
      <alignment horizontal="center"/>
    </xf>
    <xf numFmtId="0" fontId="7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3" fillId="18" borderId="12" xfId="0" applyNumberFormat="1" applyFont="1" applyFill="1" applyBorder="1" applyAlignment="1">
      <alignment horizontal="center"/>
    </xf>
    <xf numFmtId="2" fontId="9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8" fillId="3" borderId="20" xfId="0" applyNumberFormat="1" applyFont="1" applyFill="1" applyBorder="1" applyAlignment="1">
      <alignment horizontal="right"/>
    </xf>
    <xf numFmtId="0" fontId="93" fillId="18" borderId="7" xfId="0" applyFont="1" applyFill="1" applyBorder="1"/>
    <xf numFmtId="0" fontId="93" fillId="18" borderId="29" xfId="0" applyFont="1" applyFill="1" applyBorder="1"/>
    <xf numFmtId="174" fontId="93" fillId="18" borderId="29" xfId="0" applyNumberFormat="1" applyFont="1" applyFill="1" applyBorder="1" applyAlignment="1">
      <alignment horizontal="center"/>
    </xf>
    <xf numFmtId="0" fontId="94" fillId="2" borderId="0" xfId="0" applyFont="1" applyFill="1"/>
    <xf numFmtId="176" fontId="83" fillId="0" borderId="48" xfId="0" applyNumberFormat="1" applyFont="1" applyBorder="1" applyAlignment="1">
      <alignment horizontal="center"/>
    </xf>
    <xf numFmtId="0" fontId="77" fillId="2" borderId="7" xfId="0" applyFont="1" applyFill="1" applyBorder="1" applyAlignment="1">
      <alignment horizontal="center" vertical="center"/>
    </xf>
    <xf numFmtId="0" fontId="78" fillId="18" borderId="12" xfId="0" applyFont="1" applyFill="1" applyBorder="1" applyAlignment="1">
      <alignment horizontal="center"/>
    </xf>
    <xf numFmtId="0" fontId="8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8" fillId="2" borderId="0" xfId="0" applyFont="1" applyFill="1" applyAlignment="1">
      <alignment horizontal="center"/>
    </xf>
    <xf numFmtId="0" fontId="7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5" fillId="2" borderId="28" xfId="0" applyFont="1" applyFill="1" applyBorder="1" applyAlignment="1">
      <alignment horizontal="center" vertical="center"/>
    </xf>
    <xf numFmtId="9" fontId="93" fillId="18" borderId="29" xfId="2" applyFont="1" applyFill="1" applyBorder="1" applyAlignment="1">
      <alignment horizontal="center"/>
    </xf>
    <xf numFmtId="0" fontId="78" fillId="20" borderId="12" xfId="0" applyFont="1" applyFill="1" applyBorder="1"/>
    <xf numFmtId="9" fontId="83" fillId="0" borderId="0" xfId="2" applyFont="1" applyAlignment="1">
      <alignment horizontal="center"/>
    </xf>
    <xf numFmtId="0" fontId="78" fillId="0" borderId="12" xfId="0" applyFont="1" applyBorder="1"/>
    <xf numFmtId="176" fontId="0" fillId="0" borderId="12" xfId="0" applyNumberFormat="1" applyBorder="1"/>
    <xf numFmtId="1" fontId="96" fillId="2" borderId="12" xfId="0" applyNumberFormat="1" applyFont="1" applyFill="1" applyBorder="1"/>
    <xf numFmtId="9" fontId="96" fillId="2" borderId="12" xfId="0" applyNumberFormat="1" applyFont="1" applyFill="1" applyBorder="1"/>
    <xf numFmtId="0" fontId="88" fillId="2" borderId="12" xfId="0" applyFont="1" applyFill="1" applyBorder="1"/>
    <xf numFmtId="1" fontId="85" fillId="3" borderId="45" xfId="0" applyNumberFormat="1" applyFont="1" applyFill="1" applyBorder="1" applyAlignment="1">
      <alignment horizontal="center" vertical="center" wrapText="1"/>
    </xf>
    <xf numFmtId="43" fontId="85" fillId="3" borderId="45" xfId="1" applyFont="1" applyFill="1" applyBorder="1" applyAlignment="1">
      <alignment horizontal="center" vertical="center" wrapText="1"/>
    </xf>
    <xf numFmtId="0" fontId="7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4" fillId="2" borderId="28" xfId="0" applyFont="1" applyFill="1" applyBorder="1" applyAlignment="1">
      <alignment vertical="center"/>
    </xf>
    <xf numFmtId="20" fontId="7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3" fillId="8" borderId="20" xfId="0" applyFont="1" applyFill="1" applyBorder="1" applyAlignment="1">
      <alignment horizontal="center" vertical="center"/>
    </xf>
    <xf numFmtId="14" fontId="83" fillId="7" borderId="12" xfId="0" applyNumberFormat="1" applyFont="1" applyFill="1" applyBorder="1" applyAlignment="1">
      <alignment horizontal="center" vertical="center"/>
    </xf>
    <xf numFmtId="20" fontId="71" fillId="2" borderId="28" xfId="0" applyNumberFormat="1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vertical="center"/>
    </xf>
    <xf numFmtId="9" fontId="83" fillId="8" borderId="12" xfId="0" applyNumberFormat="1" applyFont="1" applyFill="1" applyBorder="1" applyAlignment="1">
      <alignment horizontal="center" vertical="center"/>
    </xf>
    <xf numFmtId="1" fontId="8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14" fontId="8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3" fillId="2" borderId="20" xfId="0" applyFont="1" applyFill="1" applyBorder="1" applyAlignment="1">
      <alignment horizontal="center" vertical="center"/>
    </xf>
    <xf numFmtId="14" fontId="83" fillId="7" borderId="28" xfId="0" applyNumberFormat="1" applyFont="1" applyFill="1" applyBorder="1" applyAlignment="1">
      <alignment vertical="center"/>
    </xf>
    <xf numFmtId="0" fontId="84" fillId="2" borderId="28" xfId="0" applyFont="1" applyFill="1" applyBorder="1"/>
    <xf numFmtId="0" fontId="83" fillId="2" borderId="28" xfId="0" applyFont="1" applyFill="1" applyBorder="1" applyAlignment="1">
      <alignment horizontal="center" vertical="center"/>
    </xf>
    <xf numFmtId="14" fontId="83" fillId="7" borderId="10" xfId="0" applyNumberFormat="1" applyFont="1" applyFill="1" applyBorder="1" applyAlignment="1">
      <alignment vertical="center"/>
    </xf>
    <xf numFmtId="14" fontId="83" fillId="7" borderId="10" xfId="0" applyNumberFormat="1" applyFont="1" applyFill="1" applyBorder="1" applyAlignment="1">
      <alignment horizontal="center" vertical="center"/>
    </xf>
    <xf numFmtId="14" fontId="83" fillId="2" borderId="10" xfId="0" applyNumberFormat="1" applyFont="1" applyFill="1" applyBorder="1" applyAlignment="1">
      <alignment vertical="center"/>
    </xf>
    <xf numFmtId="14" fontId="83" fillId="2" borderId="10" xfId="0" applyNumberFormat="1" applyFont="1" applyFill="1" applyBorder="1" applyAlignment="1">
      <alignment horizontal="center" vertical="center"/>
    </xf>
    <xf numFmtId="0" fontId="83" fillId="2" borderId="10" xfId="0" applyFont="1" applyFill="1" applyBorder="1" applyAlignment="1">
      <alignment horizontal="center" vertical="center"/>
    </xf>
    <xf numFmtId="1" fontId="83" fillId="8" borderId="10" xfId="0" applyNumberFormat="1" applyFont="1" applyFill="1" applyBorder="1" applyAlignment="1">
      <alignment horizontal="center" vertical="center"/>
    </xf>
    <xf numFmtId="0" fontId="83" fillId="8" borderId="10" xfId="0" applyFont="1" applyFill="1" applyBorder="1" applyAlignment="1">
      <alignment horizontal="center" vertical="center"/>
    </xf>
    <xf numFmtId="14" fontId="83" fillId="7" borderId="17" xfId="0" applyNumberFormat="1" applyFont="1" applyFill="1" applyBorder="1" applyAlignment="1">
      <alignment vertical="center"/>
    </xf>
    <xf numFmtId="14" fontId="83" fillId="2" borderId="17" xfId="0" applyNumberFormat="1" applyFont="1" applyFill="1" applyBorder="1" applyAlignment="1">
      <alignment vertical="center"/>
    </xf>
    <xf numFmtId="14" fontId="83" fillId="2" borderId="17" xfId="0" applyNumberFormat="1" applyFont="1" applyFill="1" applyBorder="1" applyAlignment="1">
      <alignment horizontal="center" vertical="center"/>
    </xf>
    <xf numFmtId="0" fontId="8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3" fillId="9" borderId="28" xfId="0" applyFont="1" applyFill="1" applyBorder="1" applyAlignment="1">
      <alignment horizontal="center" vertical="center"/>
    </xf>
    <xf numFmtId="0" fontId="84" fillId="2" borderId="10" xfId="0" applyFont="1" applyFill="1" applyBorder="1"/>
    <xf numFmtId="0" fontId="84" fillId="2" borderId="17" xfId="0" applyFont="1" applyFill="1" applyBorder="1"/>
    <xf numFmtId="0" fontId="0" fillId="2" borderId="17" xfId="0" applyFill="1" applyBorder="1"/>
    <xf numFmtId="0" fontId="83" fillId="9" borderId="17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0" fontId="69" fillId="2" borderId="12" xfId="0" applyFont="1" applyFill="1" applyBorder="1" applyAlignment="1">
      <alignment horizontal="center" vertical="center"/>
    </xf>
    <xf numFmtId="9" fontId="83" fillId="2" borderId="12" xfId="0" applyNumberFormat="1" applyFont="1" applyFill="1" applyBorder="1" applyAlignment="1">
      <alignment horizontal="center" vertical="center"/>
    </xf>
    <xf numFmtId="1" fontId="83" fillId="8" borderId="28" xfId="0" applyNumberFormat="1" applyFont="1" applyFill="1" applyBorder="1" applyAlignment="1">
      <alignment horizontal="center" vertical="center"/>
    </xf>
    <xf numFmtId="0" fontId="78" fillId="18" borderId="28" xfId="0" applyFont="1" applyFill="1" applyBorder="1" applyAlignment="1">
      <alignment horizontal="center" vertical="center"/>
    </xf>
    <xf numFmtId="0" fontId="7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3" fillId="0" borderId="47" xfId="0" applyNumberFormat="1" applyFont="1" applyBorder="1" applyAlignment="1">
      <alignment horizontal="center"/>
    </xf>
    <xf numFmtId="1" fontId="83" fillId="0" borderId="12" xfId="0" applyNumberFormat="1" applyFont="1" applyBorder="1" applyAlignment="1">
      <alignment horizontal="center"/>
    </xf>
    <xf numFmtId="174" fontId="83" fillId="0" borderId="12" xfId="0" applyNumberFormat="1" applyFont="1" applyBorder="1" applyAlignment="1">
      <alignment horizontal="center"/>
    </xf>
    <xf numFmtId="0" fontId="8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3" fillId="2" borderId="12" xfId="0" applyFont="1" applyFill="1" applyBorder="1" applyAlignment="1">
      <alignment vertical="top" wrapText="1"/>
    </xf>
    <xf numFmtId="0" fontId="7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8" fillId="18" borderId="30" xfId="0" applyFont="1" applyFill="1" applyBorder="1" applyAlignment="1">
      <alignment horizontal="center" vertical="center"/>
    </xf>
    <xf numFmtId="0" fontId="7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8" fillId="20" borderId="12" xfId="0" applyFont="1" applyFill="1" applyBorder="1" applyAlignment="1">
      <alignment horizontal="center"/>
    </xf>
    <xf numFmtId="0" fontId="78" fillId="18" borderId="20" xfId="0" applyFont="1" applyFill="1" applyBorder="1" applyAlignment="1">
      <alignment horizontal="center" vertical="center"/>
    </xf>
    <xf numFmtId="0" fontId="78" fillId="18" borderId="21" xfId="0" applyFont="1" applyFill="1" applyBorder="1" applyAlignment="1">
      <alignment horizontal="center" vertical="center"/>
    </xf>
    <xf numFmtId="43" fontId="7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1" fillId="2" borderId="12" xfId="0" applyNumberFormat="1" applyFont="1" applyFill="1" applyBorder="1" applyAlignment="1">
      <alignment horizontal="center" vertical="center"/>
    </xf>
    <xf numFmtId="0" fontId="78" fillId="18" borderId="30" xfId="0" applyFont="1" applyFill="1" applyBorder="1" applyAlignment="1">
      <alignment horizontal="center"/>
    </xf>
    <xf numFmtId="0" fontId="78" fillId="18" borderId="32" xfId="0" applyFont="1" applyFill="1" applyBorder="1" applyAlignment="1">
      <alignment horizontal="center"/>
    </xf>
    <xf numFmtId="0" fontId="7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8" fillId="4" borderId="12" xfId="0" applyFont="1" applyFill="1" applyBorder="1"/>
    <xf numFmtId="0" fontId="78" fillId="18" borderId="12" xfId="0" applyFont="1" applyFill="1" applyBorder="1"/>
    <xf numFmtId="0" fontId="78" fillId="18" borderId="12" xfId="0" applyFont="1" applyFill="1" applyBorder="1" applyAlignment="1">
      <alignment horizontal="left"/>
    </xf>
    <xf numFmtId="0" fontId="59" fillId="2" borderId="12" xfId="0" applyFont="1" applyFill="1" applyBorder="1"/>
    <xf numFmtId="0" fontId="77" fillId="3" borderId="0" xfId="0" applyFont="1" applyFill="1" applyAlignment="1">
      <alignment horizontal="center"/>
    </xf>
    <xf numFmtId="0" fontId="77" fillId="3" borderId="19" xfId="0" applyFont="1" applyFill="1" applyBorder="1" applyAlignment="1">
      <alignment horizontal="center"/>
    </xf>
    <xf numFmtId="0" fontId="7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9" fillId="2" borderId="28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3" fillId="3" borderId="19" xfId="0" applyFont="1" applyFill="1" applyBorder="1" applyAlignment="1">
      <alignment horizontal="center" vertical="center"/>
    </xf>
    <xf numFmtId="165" fontId="93" fillId="3" borderId="21" xfId="1" applyNumberFormat="1" applyFont="1" applyFill="1" applyBorder="1" applyAlignment="1">
      <alignment horizontal="center" vertical="center"/>
    </xf>
    <xf numFmtId="166" fontId="93" fillId="3" borderId="21" xfId="0" applyNumberFormat="1" applyFont="1" applyFill="1" applyBorder="1" applyAlignment="1">
      <alignment horizontal="center" vertical="center"/>
    </xf>
    <xf numFmtId="9" fontId="93" fillId="3" borderId="21" xfId="2" applyFont="1" applyFill="1" applyBorder="1" applyAlignment="1">
      <alignment horizontal="center" vertical="center"/>
    </xf>
    <xf numFmtId="9" fontId="93" fillId="3" borderId="22" xfId="2" applyFont="1" applyFill="1" applyBorder="1" applyAlignment="1">
      <alignment horizontal="center" vertical="center" wrapText="1"/>
    </xf>
    <xf numFmtId="14" fontId="98" fillId="2" borderId="9" xfId="0" applyNumberFormat="1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vertical="center"/>
    </xf>
    <xf numFmtId="165" fontId="98" fillId="2" borderId="10" xfId="1" applyNumberFormat="1" applyFont="1" applyFill="1" applyBorder="1" applyAlignment="1">
      <alignment horizontal="center" vertical="center"/>
    </xf>
    <xf numFmtId="166" fontId="98" fillId="2" borderId="10" xfId="0" applyNumberFormat="1" applyFont="1" applyFill="1" applyBorder="1" applyAlignment="1">
      <alignment horizontal="center" vertical="center"/>
    </xf>
    <xf numFmtId="9" fontId="98" fillId="2" borderId="10" xfId="2" applyFont="1" applyFill="1" applyBorder="1" applyAlignment="1">
      <alignment horizontal="center" vertical="center"/>
    </xf>
    <xf numFmtId="167" fontId="98" fillId="2" borderId="11" xfId="1" applyNumberFormat="1" applyFont="1" applyFill="1" applyBorder="1" applyAlignment="1">
      <alignment horizontal="center" vertical="center"/>
    </xf>
    <xf numFmtId="0" fontId="98" fillId="2" borderId="11" xfId="0" applyFont="1" applyFill="1" applyBorder="1" applyAlignment="1">
      <alignment horizontal="center" vertical="center"/>
    </xf>
    <xf numFmtId="1" fontId="98" fillId="2" borderId="11" xfId="0" applyNumberFormat="1" applyFont="1" applyFill="1" applyBorder="1" applyAlignment="1">
      <alignment horizontal="center" vertical="center"/>
    </xf>
    <xf numFmtId="165" fontId="98" fillId="2" borderId="10" xfId="0" applyNumberFormat="1" applyFont="1" applyFill="1" applyBorder="1" applyAlignment="1">
      <alignment horizontal="center" vertical="center"/>
    </xf>
    <xf numFmtId="0" fontId="98" fillId="2" borderId="12" xfId="0" applyFont="1" applyFill="1" applyBorder="1"/>
    <xf numFmtId="14" fontId="98" fillId="2" borderId="14" xfId="0" applyNumberFormat="1" applyFont="1" applyFill="1" applyBorder="1" applyAlignment="1">
      <alignment horizontal="center" vertical="center"/>
    </xf>
    <xf numFmtId="0" fontId="98" fillId="2" borderId="15" xfId="0" applyFont="1" applyFill="1" applyBorder="1" applyAlignment="1">
      <alignment vertical="center"/>
    </xf>
    <xf numFmtId="165" fontId="98" fillId="2" borderId="15" xfId="1" applyNumberFormat="1" applyFont="1" applyFill="1" applyBorder="1" applyAlignment="1">
      <alignment horizontal="center" vertical="center"/>
    </xf>
    <xf numFmtId="166" fontId="98" fillId="2" borderId="15" xfId="0" applyNumberFormat="1" applyFont="1" applyFill="1" applyBorder="1" applyAlignment="1">
      <alignment horizontal="center" vertical="center"/>
    </xf>
    <xf numFmtId="9" fontId="98" fillId="2" borderId="15" xfId="2" applyFont="1" applyFill="1" applyBorder="1" applyAlignment="1">
      <alignment horizontal="center" vertical="center"/>
    </xf>
    <xf numFmtId="165" fontId="98" fillId="2" borderId="17" xfId="1" applyNumberFormat="1" applyFont="1" applyFill="1" applyBorder="1" applyAlignment="1">
      <alignment horizontal="center" vertical="center"/>
    </xf>
    <xf numFmtId="167" fontId="98" fillId="2" borderId="16" xfId="1" applyNumberFormat="1" applyFont="1" applyFill="1" applyBorder="1" applyAlignment="1">
      <alignment horizontal="center" vertical="center"/>
    </xf>
    <xf numFmtId="165" fontId="98" fillId="2" borderId="12" xfId="0" applyNumberFormat="1" applyFont="1" applyFill="1" applyBorder="1"/>
    <xf numFmtId="168" fontId="98" fillId="2" borderId="12" xfId="0" applyNumberFormat="1" applyFont="1" applyFill="1" applyBorder="1"/>
    <xf numFmtId="165" fontId="98" fillId="2" borderId="15" xfId="0" applyNumberFormat="1" applyFont="1" applyFill="1" applyBorder="1" applyAlignment="1">
      <alignment horizontal="center" vertical="center"/>
    </xf>
    <xf numFmtId="165" fontId="98" fillId="2" borderId="17" xfId="0" applyNumberFormat="1" applyFont="1" applyFill="1" applyBorder="1" applyAlignment="1">
      <alignment horizontal="center" vertical="center"/>
    </xf>
    <xf numFmtId="167" fontId="98" fillId="2" borderId="12" xfId="0" applyNumberFormat="1" applyFont="1" applyFill="1" applyBorder="1"/>
    <xf numFmtId="0" fontId="98" fillId="2" borderId="17" xfId="0" applyFont="1" applyFill="1" applyBorder="1" applyAlignment="1">
      <alignment vertical="center"/>
    </xf>
    <xf numFmtId="1" fontId="98" fillId="2" borderId="16" xfId="0" applyNumberFormat="1" applyFont="1" applyFill="1" applyBorder="1" applyAlignment="1">
      <alignment horizontal="center" vertical="center"/>
    </xf>
    <xf numFmtId="14" fontId="98" fillId="2" borderId="19" xfId="0" applyNumberFormat="1" applyFont="1" applyFill="1" applyBorder="1" applyAlignment="1">
      <alignment horizontal="center" vertical="center"/>
    </xf>
    <xf numFmtId="0" fontId="98" fillId="2" borderId="20" xfId="0" applyFont="1" applyFill="1" applyBorder="1" applyAlignment="1">
      <alignment vertical="center"/>
    </xf>
    <xf numFmtId="165" fontId="98" fillId="2" borderId="20" xfId="1" applyNumberFormat="1" applyFont="1" applyFill="1" applyBorder="1" applyAlignment="1">
      <alignment horizontal="center" vertical="center"/>
    </xf>
    <xf numFmtId="166" fontId="98" fillId="2" borderId="21" xfId="0" applyNumberFormat="1" applyFont="1" applyFill="1" applyBorder="1" applyAlignment="1">
      <alignment horizontal="center" vertical="center"/>
    </xf>
    <xf numFmtId="9" fontId="98" fillId="2" borderId="21" xfId="2" applyFont="1" applyFill="1" applyBorder="1" applyAlignment="1">
      <alignment horizontal="center" vertical="center"/>
    </xf>
    <xf numFmtId="167" fontId="98" fillId="2" borderId="22" xfId="1" applyNumberFormat="1" applyFont="1" applyFill="1" applyBorder="1" applyAlignment="1">
      <alignment horizontal="center" vertical="center"/>
    </xf>
    <xf numFmtId="1" fontId="98" fillId="2" borderId="22" xfId="0" applyNumberFormat="1" applyFont="1" applyFill="1" applyBorder="1" applyAlignment="1">
      <alignment horizontal="center" vertical="center"/>
    </xf>
    <xf numFmtId="165" fontId="98" fillId="2" borderId="21" xfId="0" applyNumberFormat="1" applyFont="1" applyFill="1" applyBorder="1" applyAlignment="1">
      <alignment horizontal="center" vertical="center"/>
    </xf>
    <xf numFmtId="165" fontId="98" fillId="2" borderId="20" xfId="0" applyNumberFormat="1" applyFont="1" applyFill="1" applyBorder="1" applyAlignment="1">
      <alignment horizontal="center" vertical="center"/>
    </xf>
    <xf numFmtId="165" fontId="98" fillId="2" borderId="23" xfId="0" applyNumberFormat="1" applyFont="1" applyFill="1" applyBorder="1" applyAlignment="1">
      <alignment horizontal="center" vertical="center"/>
    </xf>
    <xf numFmtId="165" fontId="98" fillId="2" borderId="25" xfId="0" applyNumberFormat="1" applyFont="1" applyFill="1" applyBorder="1" applyAlignment="1">
      <alignment horizontal="center" vertical="center"/>
    </xf>
    <xf numFmtId="0" fontId="98" fillId="2" borderId="16" xfId="0" applyFont="1" applyFill="1" applyBorder="1" applyAlignment="1">
      <alignment horizontal="center" vertical="center"/>
    </xf>
    <xf numFmtId="0" fontId="98" fillId="2" borderId="27" xfId="0" applyFont="1" applyFill="1" applyBorder="1" applyAlignment="1">
      <alignment vertical="center"/>
    </xf>
    <xf numFmtId="165" fontId="98" fillId="2" borderId="27" xfId="1" applyNumberFormat="1" applyFont="1" applyFill="1" applyBorder="1" applyAlignment="1">
      <alignment horizontal="center" vertical="center"/>
    </xf>
    <xf numFmtId="166" fontId="98" fillId="2" borderId="27" xfId="0" applyNumberFormat="1" applyFont="1" applyFill="1" applyBorder="1" applyAlignment="1">
      <alignment horizontal="center" vertical="center"/>
    </xf>
    <xf numFmtId="9" fontId="98" fillId="2" borderId="27" xfId="2" applyFont="1" applyFill="1" applyBorder="1" applyAlignment="1">
      <alignment horizontal="center" vertical="center"/>
    </xf>
    <xf numFmtId="165" fontId="98" fillId="2" borderId="15" xfId="0" applyNumberFormat="1" applyFont="1" applyFill="1" applyBorder="1" applyAlignment="1">
      <alignment vertical="center"/>
    </xf>
    <xf numFmtId="165" fontId="98" fillId="2" borderId="17" xfId="0" applyNumberFormat="1" applyFont="1" applyFill="1" applyBorder="1" applyAlignment="1">
      <alignment vertical="center"/>
    </xf>
    <xf numFmtId="175" fontId="98" fillId="2" borderId="27" xfId="2" applyNumberFormat="1" applyFont="1" applyFill="1" applyBorder="1" applyAlignment="1">
      <alignment horizontal="center" vertical="center"/>
    </xf>
    <xf numFmtId="14" fontId="93" fillId="4" borderId="19" xfId="0" applyNumberFormat="1" applyFont="1" applyFill="1" applyBorder="1" applyAlignment="1">
      <alignment horizontal="center" vertical="center"/>
    </xf>
    <xf numFmtId="0" fontId="93" fillId="4" borderId="21" xfId="0" applyFont="1" applyFill="1" applyBorder="1" applyAlignment="1">
      <alignment vertical="center"/>
    </xf>
    <xf numFmtId="165" fontId="93" fillId="4" borderId="21" xfId="1" applyNumberFormat="1" applyFont="1" applyFill="1" applyBorder="1" applyAlignment="1">
      <alignment horizontal="center" vertical="center"/>
    </xf>
    <xf numFmtId="166" fontId="93" fillId="4" borderId="21" xfId="0" applyNumberFormat="1" applyFont="1" applyFill="1" applyBorder="1" applyAlignment="1">
      <alignment horizontal="center" vertical="center"/>
    </xf>
    <xf numFmtId="9" fontId="93" fillId="4" borderId="21" xfId="2" applyFont="1" applyFill="1" applyBorder="1" applyAlignment="1">
      <alignment horizontal="center" vertical="center"/>
    </xf>
    <xf numFmtId="167" fontId="93" fillId="4" borderId="22" xfId="1" applyNumberFormat="1" applyFont="1" applyFill="1" applyBorder="1" applyAlignment="1">
      <alignment horizontal="center" vertical="center"/>
    </xf>
    <xf numFmtId="0" fontId="93" fillId="4" borderId="22" xfId="0" applyFont="1" applyFill="1" applyBorder="1" applyAlignment="1">
      <alignment horizontal="center" vertical="center"/>
    </xf>
    <xf numFmtId="1" fontId="93" fillId="4" borderId="22" xfId="0" applyNumberFormat="1" applyFont="1" applyFill="1" applyBorder="1" applyAlignment="1">
      <alignment horizontal="center" vertical="center"/>
    </xf>
    <xf numFmtId="165" fontId="93" fillId="4" borderId="21" xfId="0" applyNumberFormat="1" applyFont="1" applyFill="1" applyBorder="1" applyAlignment="1">
      <alignment horizontal="center" vertical="center"/>
    </xf>
    <xf numFmtId="0" fontId="93" fillId="4" borderId="17" xfId="0" applyFont="1" applyFill="1" applyBorder="1"/>
    <xf numFmtId="165" fontId="93" fillId="4" borderId="17" xfId="1" applyNumberFormat="1" applyFont="1" applyFill="1" applyBorder="1" applyAlignment="1">
      <alignment horizontal="center" vertical="center"/>
    </xf>
    <xf numFmtId="9" fontId="93" fillId="4" borderId="17" xfId="2" applyFont="1" applyFill="1" applyBorder="1" applyAlignment="1">
      <alignment horizontal="center" vertical="center"/>
    </xf>
    <xf numFmtId="1" fontId="93" fillId="4" borderId="17" xfId="0" applyNumberFormat="1" applyFont="1" applyFill="1" applyBorder="1" applyAlignment="1">
      <alignment horizontal="center"/>
    </xf>
    <xf numFmtId="165" fontId="9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3" fillId="4" borderId="6" xfId="0" applyNumberFormat="1" applyFont="1" applyFill="1" applyBorder="1" applyAlignment="1">
      <alignment horizontal="center" vertical="center"/>
    </xf>
    <xf numFmtId="165" fontId="93" fillId="4" borderId="54" xfId="0" applyNumberFormat="1" applyFont="1" applyFill="1" applyBorder="1" applyAlignment="1">
      <alignment vertical="center"/>
    </xf>
    <xf numFmtId="0" fontId="93" fillId="3" borderId="22" xfId="0" applyFont="1" applyFill="1" applyBorder="1" applyAlignment="1">
      <alignment horizontal="center" vertical="center" wrapText="1"/>
    </xf>
    <xf numFmtId="0" fontId="93" fillId="3" borderId="21" xfId="0" applyFont="1" applyFill="1" applyBorder="1" applyAlignment="1">
      <alignment horizontal="center" vertical="center"/>
    </xf>
    <xf numFmtId="0" fontId="93" fillId="3" borderId="21" xfId="0" applyFont="1" applyFill="1" applyBorder="1" applyAlignment="1">
      <alignment horizontal="center" vertical="center" wrapText="1"/>
    </xf>
    <xf numFmtId="0" fontId="93" fillId="20" borderId="28" xfId="0" applyFont="1" applyFill="1" applyBorder="1" applyAlignment="1">
      <alignment horizontal="center" vertical="center"/>
    </xf>
    <xf numFmtId="14" fontId="98" fillId="17" borderId="9" xfId="0" applyNumberFormat="1" applyFont="1" applyFill="1" applyBorder="1" applyAlignment="1">
      <alignment horizontal="center" vertical="center"/>
    </xf>
    <xf numFmtId="0" fontId="98" fillId="17" borderId="10" xfId="0" applyFont="1" applyFill="1" applyBorder="1" applyAlignment="1">
      <alignment vertical="center"/>
    </xf>
    <xf numFmtId="165" fontId="98" fillId="17" borderId="10" xfId="1" applyNumberFormat="1" applyFont="1" applyFill="1" applyBorder="1" applyAlignment="1">
      <alignment horizontal="center" vertical="center"/>
    </xf>
    <xf numFmtId="166" fontId="98" fillId="17" borderId="10" xfId="0" applyNumberFormat="1" applyFont="1" applyFill="1" applyBorder="1" applyAlignment="1">
      <alignment horizontal="center" vertical="center"/>
    </xf>
    <xf numFmtId="9" fontId="98" fillId="17" borderId="10" xfId="2" applyFont="1" applyFill="1" applyBorder="1" applyAlignment="1">
      <alignment horizontal="center" vertical="center"/>
    </xf>
    <xf numFmtId="167" fontId="98" fillId="17" borderId="11" xfId="1" applyNumberFormat="1" applyFont="1" applyFill="1" applyBorder="1" applyAlignment="1">
      <alignment horizontal="center" vertical="center"/>
    </xf>
    <xf numFmtId="1" fontId="98" fillId="17" borderId="11" xfId="0" applyNumberFormat="1" applyFont="1" applyFill="1" applyBorder="1" applyAlignment="1">
      <alignment horizontal="center" vertical="center"/>
    </xf>
    <xf numFmtId="165" fontId="98" fillId="17" borderId="10" xfId="0" applyNumberFormat="1" applyFont="1" applyFill="1" applyBorder="1" applyAlignment="1">
      <alignment horizontal="center" vertical="center"/>
    </xf>
    <xf numFmtId="0" fontId="98" fillId="17" borderId="12" xfId="0" applyFont="1" applyFill="1" applyBorder="1"/>
    <xf numFmtId="14" fontId="98" fillId="17" borderId="14" xfId="0" applyNumberFormat="1" applyFont="1" applyFill="1" applyBorder="1" applyAlignment="1">
      <alignment horizontal="center" vertical="center"/>
    </xf>
    <xf numFmtId="0" fontId="98" fillId="17" borderId="15" xfId="0" applyFont="1" applyFill="1" applyBorder="1" applyAlignment="1">
      <alignment vertical="center"/>
    </xf>
    <xf numFmtId="165" fontId="98" fillId="17" borderId="17" xfId="1" applyNumberFormat="1" applyFont="1" applyFill="1" applyBorder="1" applyAlignment="1">
      <alignment horizontal="center" vertical="center"/>
    </xf>
    <xf numFmtId="9" fontId="98" fillId="17" borderId="15" xfId="2" applyFont="1" applyFill="1" applyBorder="1" applyAlignment="1">
      <alignment horizontal="center" vertical="center"/>
    </xf>
    <xf numFmtId="167" fontId="98" fillId="17" borderId="16" xfId="1" applyNumberFormat="1" applyFont="1" applyFill="1" applyBorder="1" applyAlignment="1">
      <alignment horizontal="center" vertical="center"/>
    </xf>
    <xf numFmtId="165" fontId="98" fillId="17" borderId="15" xfId="0" applyNumberFormat="1" applyFont="1" applyFill="1" applyBorder="1" applyAlignment="1">
      <alignment horizontal="center" vertical="center"/>
    </xf>
    <xf numFmtId="165" fontId="98" fillId="17" borderId="12" xfId="0" applyNumberFormat="1" applyFont="1" applyFill="1" applyBorder="1"/>
    <xf numFmtId="165" fontId="98" fillId="17" borderId="17" xfId="0" applyNumberFormat="1" applyFont="1" applyFill="1" applyBorder="1" applyAlignment="1">
      <alignment horizontal="center" vertical="center"/>
    </xf>
    <xf numFmtId="0" fontId="98" fillId="17" borderId="17" xfId="0" applyFont="1" applyFill="1" applyBorder="1" applyAlignment="1">
      <alignment vertical="center"/>
    </xf>
    <xf numFmtId="1" fontId="9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8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left" vertical="center"/>
    </xf>
    <xf numFmtId="0" fontId="98" fillId="2" borderId="12" xfId="0" applyFont="1" applyFill="1" applyBorder="1" applyAlignment="1">
      <alignment wrapText="1"/>
    </xf>
    <xf numFmtId="0" fontId="5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8" fillId="4" borderId="12" xfId="0" applyFont="1" applyFill="1" applyBorder="1" applyAlignment="1">
      <alignment horizontal="center" wrapText="1"/>
    </xf>
    <xf numFmtId="166" fontId="99" fillId="17" borderId="10" xfId="0" applyNumberFormat="1" applyFont="1" applyFill="1" applyBorder="1" applyAlignment="1">
      <alignment horizontal="center" vertical="center"/>
    </xf>
    <xf numFmtId="166" fontId="99" fillId="2" borderId="21" xfId="0" applyNumberFormat="1" applyFont="1" applyFill="1" applyBorder="1" applyAlignment="1">
      <alignment horizontal="center" vertical="center"/>
    </xf>
    <xf numFmtId="166" fontId="99" fillId="17" borderId="15" xfId="0" applyNumberFormat="1" applyFont="1" applyFill="1" applyBorder="1" applyAlignment="1">
      <alignment horizontal="center" vertical="center"/>
    </xf>
    <xf numFmtId="166" fontId="99" fillId="2" borderId="15" xfId="0" applyNumberFormat="1" applyFont="1" applyFill="1" applyBorder="1" applyAlignment="1">
      <alignment horizontal="center" vertical="center"/>
    </xf>
    <xf numFmtId="166" fontId="99" fillId="2" borderId="10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3" fillId="18" borderId="12" xfId="0" applyFont="1" applyFill="1" applyBorder="1" applyAlignment="1">
      <alignment horizontal="center"/>
    </xf>
    <xf numFmtId="0" fontId="7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8" fillId="18" borderId="12" xfId="0" applyNumberFormat="1" applyFont="1" applyFill="1" applyBorder="1" applyAlignment="1">
      <alignment horizontal="center" wrapText="1"/>
    </xf>
    <xf numFmtId="14" fontId="52" fillId="2" borderId="12" xfId="0" applyNumberFormat="1" applyFont="1" applyFill="1" applyBorder="1"/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173" fontId="83" fillId="0" borderId="47" xfId="0" applyNumberFormat="1" applyFont="1" applyBorder="1" applyAlignment="1">
      <alignment horizontal="center"/>
    </xf>
    <xf numFmtId="1" fontId="83" fillId="0" borderId="20" xfId="0" applyNumberFormat="1" applyFont="1" applyBorder="1" applyAlignment="1">
      <alignment horizontal="center"/>
    </xf>
    <xf numFmtId="0" fontId="83" fillId="0" borderId="20" xfId="0" applyFont="1" applyBorder="1"/>
    <xf numFmtId="9" fontId="83" fillId="0" borderId="20" xfId="0" applyNumberFormat="1" applyFont="1" applyBorder="1" applyAlignment="1">
      <alignment horizontal="center"/>
    </xf>
    <xf numFmtId="0" fontId="83" fillId="0" borderId="20" xfId="0" applyFont="1" applyBorder="1" applyAlignment="1">
      <alignment horizontal="center"/>
    </xf>
    <xf numFmtId="173" fontId="83" fillId="14" borderId="12" xfId="0" applyNumberFormat="1" applyFont="1" applyFill="1" applyBorder="1" applyAlignment="1">
      <alignment horizontal="center"/>
    </xf>
    <xf numFmtId="43" fontId="83" fillId="14" borderId="12" xfId="1" applyFont="1" applyFill="1" applyBorder="1" applyAlignment="1">
      <alignment horizontal="center"/>
    </xf>
    <xf numFmtId="0" fontId="83" fillId="21" borderId="12" xfId="0" applyFont="1" applyFill="1" applyBorder="1" applyAlignment="1">
      <alignment horizontal="center"/>
    </xf>
    <xf numFmtId="0" fontId="83" fillId="14" borderId="12" xfId="0" applyFont="1" applyFill="1" applyBorder="1"/>
    <xf numFmtId="1" fontId="83" fillId="21" borderId="12" xfId="0" applyNumberFormat="1" applyFont="1" applyFill="1" applyBorder="1" applyAlignment="1">
      <alignment horizontal="center"/>
    </xf>
    <xf numFmtId="2" fontId="83" fillId="21" borderId="12" xfId="0" applyNumberFormat="1" applyFont="1" applyFill="1" applyBorder="1" applyAlignment="1">
      <alignment horizontal="center"/>
    </xf>
    <xf numFmtId="176" fontId="83" fillId="21" borderId="12" xfId="0" applyNumberFormat="1" applyFont="1" applyFill="1" applyBorder="1" applyAlignment="1">
      <alignment horizontal="center"/>
    </xf>
    <xf numFmtId="9" fontId="83" fillId="21" borderId="12" xfId="0" applyNumberFormat="1" applyFont="1" applyFill="1" applyBorder="1" applyAlignment="1">
      <alignment horizontal="center"/>
    </xf>
    <xf numFmtId="0" fontId="83" fillId="14" borderId="12" xfId="0" applyFont="1" applyFill="1" applyBorder="1" applyAlignment="1">
      <alignment horizontal="center"/>
    </xf>
    <xf numFmtId="0" fontId="85" fillId="21" borderId="12" xfId="0" applyFont="1" applyFill="1" applyBorder="1" applyAlignment="1">
      <alignment horizontal="center" wrapText="1"/>
    </xf>
    <xf numFmtId="43" fontId="83" fillId="21" borderId="12" xfId="1" applyFont="1" applyFill="1" applyBorder="1" applyAlignment="1">
      <alignment horizontal="center"/>
    </xf>
    <xf numFmtId="1" fontId="83" fillId="14" borderId="48" xfId="0" applyNumberFormat="1" applyFont="1" applyFill="1" applyBorder="1" applyAlignment="1">
      <alignment horizontal="center"/>
    </xf>
    <xf numFmtId="0" fontId="7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0" fillId="2" borderId="7" xfId="0" applyFont="1" applyFill="1" applyBorder="1" applyAlignment="1">
      <alignment vertical="center"/>
    </xf>
    <xf numFmtId="0" fontId="7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8" fillId="2" borderId="7" xfId="0" applyFont="1" applyFill="1" applyBorder="1" applyAlignment="1">
      <alignment vertical="center"/>
    </xf>
    <xf numFmtId="0" fontId="81" fillId="16" borderId="0" xfId="0" applyFont="1" applyFill="1"/>
    <xf numFmtId="0" fontId="0" fillId="16" borderId="0" xfId="0" applyFill="1"/>
    <xf numFmtId="180" fontId="81" fillId="16" borderId="0" xfId="3" applyNumberFormat="1" applyFont="1" applyFill="1"/>
    <xf numFmtId="0" fontId="78" fillId="0" borderId="0" xfId="0" applyFont="1" applyAlignment="1">
      <alignment horizontal="center"/>
    </xf>
    <xf numFmtId="0" fontId="78" fillId="18" borderId="7" xfId="0" applyFont="1" applyFill="1" applyBorder="1" applyAlignment="1">
      <alignment horizontal="center"/>
    </xf>
    <xf numFmtId="0" fontId="7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8" fillId="4" borderId="12" xfId="0" applyNumberFormat="1" applyFont="1" applyFill="1" applyBorder="1" applyAlignment="1">
      <alignment horizontal="center"/>
    </xf>
    <xf numFmtId="0" fontId="7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4" fillId="2" borderId="7" xfId="0" applyFont="1" applyFill="1" applyBorder="1" applyAlignment="1">
      <alignment vertical="center"/>
    </xf>
    <xf numFmtId="0" fontId="43" fillId="2" borderId="28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7" fillId="2" borderId="13" xfId="0" applyNumberFormat="1" applyFont="1" applyFill="1" applyBorder="1" applyAlignment="1">
      <alignment vertical="center"/>
    </xf>
    <xf numFmtId="14" fontId="77" fillId="2" borderId="14" xfId="0" applyNumberFormat="1" applyFont="1" applyFill="1" applyBorder="1" applyAlignment="1">
      <alignment vertical="center"/>
    </xf>
    <xf numFmtId="1" fontId="9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left" vertical="center"/>
    </xf>
    <xf numFmtId="14" fontId="38" fillId="2" borderId="20" xfId="0" applyNumberFormat="1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vertical="center"/>
    </xf>
    <xf numFmtId="0" fontId="3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7" fillId="2" borderId="12" xfId="0" applyNumberFormat="1" applyFont="1" applyFill="1" applyBorder="1" applyAlignment="1">
      <alignment horizontal="center" vertical="center"/>
    </xf>
    <xf numFmtId="1" fontId="77" fillId="2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20" fontId="77" fillId="23" borderId="12" xfId="0" applyNumberFormat="1" applyFont="1" applyFill="1" applyBorder="1" applyAlignment="1">
      <alignment horizontal="center" vertical="center"/>
    </xf>
    <xf numFmtId="1" fontId="77" fillId="23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1" fontId="77" fillId="22" borderId="12" xfId="0" applyNumberFormat="1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14" fontId="48" fillId="22" borderId="10" xfId="0" applyNumberFormat="1" applyFont="1" applyFill="1" applyBorder="1" applyAlignment="1">
      <alignment horizontal="center" vertical="center"/>
    </xf>
    <xf numFmtId="14" fontId="48" fillId="22" borderId="17" xfId="0" applyNumberFormat="1" applyFont="1" applyFill="1" applyBorder="1" applyAlignment="1">
      <alignment horizontal="center" vertical="center"/>
    </xf>
    <xf numFmtId="14" fontId="4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8" fillId="23" borderId="17" xfId="0" applyNumberFormat="1" applyFont="1" applyFill="1" applyBorder="1" applyAlignment="1">
      <alignment horizontal="center" vertical="center"/>
    </xf>
    <xf numFmtId="14" fontId="77" fillId="23" borderId="17" xfId="0" applyNumberFormat="1" applyFont="1" applyFill="1" applyBorder="1" applyAlignment="1">
      <alignment horizontal="center" vertical="center"/>
    </xf>
    <xf numFmtId="14" fontId="4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 wrapText="1"/>
    </xf>
    <xf numFmtId="14" fontId="4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1" fillId="22" borderId="28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39" fillId="23" borderId="20" xfId="0" applyNumberFormat="1" applyFont="1" applyFill="1" applyBorder="1" applyAlignment="1">
      <alignment horizontal="center" vertical="center"/>
    </xf>
    <xf numFmtId="14" fontId="38" fillId="23" borderId="20" xfId="0" applyNumberFormat="1" applyFont="1" applyFill="1" applyBorder="1" applyAlignment="1">
      <alignment horizontal="center" vertical="center"/>
    </xf>
    <xf numFmtId="14" fontId="3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8" fillId="2" borderId="0" xfId="0" applyFont="1" applyFill="1"/>
    <xf numFmtId="0" fontId="78" fillId="22" borderId="10" xfId="0" applyFont="1" applyFill="1" applyBorder="1" applyAlignment="1">
      <alignment horizontal="center"/>
    </xf>
    <xf numFmtId="0" fontId="78" fillId="22" borderId="17" xfId="0" applyFont="1" applyFill="1" applyBorder="1" applyAlignment="1">
      <alignment horizontal="center"/>
    </xf>
    <xf numFmtId="0" fontId="78" fillId="23" borderId="10" xfId="0" applyFont="1" applyFill="1" applyBorder="1" applyAlignment="1">
      <alignment horizontal="center"/>
    </xf>
    <xf numFmtId="0" fontId="78" fillId="23" borderId="17" xfId="0" applyFont="1" applyFill="1" applyBorder="1" applyAlignment="1">
      <alignment horizontal="center"/>
    </xf>
    <xf numFmtId="0" fontId="78" fillId="23" borderId="28" xfId="0" applyFont="1" applyFill="1" applyBorder="1" applyAlignment="1">
      <alignment horizontal="center"/>
    </xf>
    <xf numFmtId="0" fontId="78" fillId="23" borderId="20" xfId="0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/>
    </xf>
    <xf numFmtId="0" fontId="78" fillId="22" borderId="28" xfId="0" applyFont="1" applyFill="1" applyBorder="1" applyAlignment="1">
      <alignment horizontal="center"/>
    </xf>
    <xf numFmtId="0" fontId="78" fillId="23" borderId="12" xfId="0" applyFont="1" applyFill="1" applyBorder="1" applyAlignment="1">
      <alignment horizontal="center"/>
    </xf>
    <xf numFmtId="0" fontId="78" fillId="2" borderId="20" xfId="0" applyFont="1" applyFill="1" applyBorder="1" applyAlignment="1">
      <alignment horizontal="center"/>
    </xf>
    <xf numFmtId="0" fontId="78" fillId="2" borderId="10" xfId="0" applyFont="1" applyFill="1" applyBorder="1" applyAlignment="1">
      <alignment horizont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8" fillId="3" borderId="0" xfId="0" applyFont="1" applyFill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top" wrapText="1"/>
    </xf>
    <xf numFmtId="0" fontId="47" fillId="22" borderId="12" xfId="0" applyFont="1" applyFill="1" applyBorder="1" applyAlignment="1">
      <alignment horizontal="left" vertical="center" wrapText="1"/>
    </xf>
    <xf numFmtId="0" fontId="47" fillId="23" borderId="12" xfId="0" applyFont="1" applyFill="1" applyBorder="1" applyAlignment="1">
      <alignment horizontal="left" vertical="center" wrapText="1"/>
    </xf>
    <xf numFmtId="20" fontId="71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/>
    </xf>
    <xf numFmtId="0" fontId="74" fillId="22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42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0" fontId="68" fillId="22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 wrapText="1"/>
    </xf>
    <xf numFmtId="0" fontId="68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38" fillId="23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5" fillId="2" borderId="20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" fontId="77" fillId="23" borderId="28" xfId="0" applyNumberFormat="1" applyFont="1" applyFill="1" applyBorder="1" applyAlignment="1">
      <alignment horizontal="center" vertical="center"/>
    </xf>
    <xf numFmtId="0" fontId="64" fillId="23" borderId="20" xfId="0" applyFont="1" applyFill="1" applyBorder="1" applyAlignment="1">
      <alignment horizontal="center" vertical="center"/>
    </xf>
    <xf numFmtId="20" fontId="77" fillId="23" borderId="20" xfId="0" applyNumberFormat="1" applyFont="1" applyFill="1" applyBorder="1" applyAlignment="1">
      <alignment horizontal="center" vertical="center"/>
    </xf>
    <xf numFmtId="0" fontId="63" fillId="23" borderId="28" xfId="0" applyFont="1" applyFill="1" applyBorder="1" applyAlignment="1">
      <alignment horizontal="center" vertical="center"/>
    </xf>
    <xf numFmtId="20" fontId="77" fillId="23" borderId="28" xfId="0" applyNumberFormat="1" applyFont="1" applyFill="1" applyBorder="1" applyAlignment="1">
      <alignment horizontal="center" vertical="center"/>
    </xf>
    <xf numFmtId="0" fontId="63" fillId="23" borderId="70" xfId="0" applyFont="1" applyFill="1" applyBorder="1" applyAlignment="1">
      <alignment horizontal="center" vertical="center"/>
    </xf>
    <xf numFmtId="20" fontId="77" fillId="23" borderId="70" xfId="0" applyNumberFormat="1" applyFont="1" applyFill="1" applyBorder="1" applyAlignment="1">
      <alignment horizontal="center" vertical="center"/>
    </xf>
    <xf numFmtId="1" fontId="77" fillId="23" borderId="70" xfId="0" applyNumberFormat="1" applyFont="1" applyFill="1" applyBorder="1" applyAlignment="1">
      <alignment horizontal="center" vertical="center"/>
    </xf>
    <xf numFmtId="0" fontId="35" fillId="23" borderId="70" xfId="0" applyFont="1" applyFill="1" applyBorder="1" applyAlignment="1">
      <alignment horizontal="left" vertical="center" wrapText="1"/>
    </xf>
    <xf numFmtId="1" fontId="77" fillId="22" borderId="7" xfId="0" applyNumberFormat="1" applyFont="1" applyFill="1" applyBorder="1" applyAlignment="1">
      <alignment horizontal="center" vertical="center"/>
    </xf>
    <xf numFmtId="0" fontId="78" fillId="22" borderId="20" xfId="0" applyFont="1" applyFill="1" applyBorder="1" applyAlignment="1">
      <alignment horizontal="left"/>
    </xf>
    <xf numFmtId="0" fontId="35" fillId="22" borderId="68" xfId="0" applyFont="1" applyFill="1" applyBorder="1" applyAlignment="1">
      <alignment horizontal="left" vertical="center" wrapText="1"/>
    </xf>
    <xf numFmtId="1" fontId="7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4" fillId="22" borderId="12" xfId="0" applyNumberFormat="1" applyFont="1" applyFill="1" applyBorder="1" applyAlignment="1">
      <alignment horizontal="left" vertical="center" wrapText="1"/>
    </xf>
    <xf numFmtId="0" fontId="33" fillId="23" borderId="68" xfId="0" applyFont="1" applyFill="1" applyBorder="1" applyAlignment="1">
      <alignment horizontal="left" vertical="center" wrapText="1"/>
    </xf>
    <xf numFmtId="0" fontId="33" fillId="23" borderId="28" xfId="0" applyFont="1" applyFill="1" applyBorder="1" applyAlignment="1">
      <alignment horizontal="left" vertical="center" wrapText="1"/>
    </xf>
    <xf numFmtId="0" fontId="83" fillId="24" borderId="47" xfId="0" applyFont="1" applyFill="1" applyBorder="1"/>
    <xf numFmtId="173" fontId="83" fillId="24" borderId="48" xfId="0" applyNumberFormat="1" applyFont="1" applyFill="1" applyBorder="1" applyAlignment="1">
      <alignment horizontal="center"/>
    </xf>
    <xf numFmtId="1" fontId="83" fillId="24" borderId="48" xfId="0" applyNumberFormat="1" applyFont="1" applyFill="1" applyBorder="1" applyAlignment="1">
      <alignment horizontal="center"/>
    </xf>
    <xf numFmtId="174" fontId="83" fillId="24" borderId="48" xfId="0" applyNumberFormat="1" applyFont="1" applyFill="1" applyBorder="1" applyAlignment="1">
      <alignment horizontal="center"/>
    </xf>
    <xf numFmtId="176" fontId="83" fillId="24" borderId="48" xfId="0" applyNumberFormat="1" applyFont="1" applyFill="1" applyBorder="1" applyAlignment="1">
      <alignment horizontal="center"/>
    </xf>
    <xf numFmtId="9" fontId="83" fillId="24" borderId="48" xfId="0" applyNumberFormat="1" applyFont="1" applyFill="1" applyBorder="1" applyAlignment="1">
      <alignment horizontal="center"/>
    </xf>
    <xf numFmtId="9" fontId="83" fillId="24" borderId="49" xfId="0" applyNumberFormat="1" applyFont="1" applyFill="1" applyBorder="1" applyAlignment="1">
      <alignment horizontal="center"/>
    </xf>
    <xf numFmtId="9" fontId="83" fillId="24" borderId="12" xfId="0" applyNumberFormat="1" applyFont="1" applyFill="1" applyBorder="1" applyAlignment="1">
      <alignment horizontal="center"/>
    </xf>
    <xf numFmtId="0" fontId="83" fillId="24" borderId="12" xfId="0" applyFont="1" applyFill="1" applyBorder="1"/>
    <xf numFmtId="0" fontId="83" fillId="24" borderId="48" xfId="0" applyFont="1" applyFill="1" applyBorder="1"/>
    <xf numFmtId="0" fontId="83" fillId="24" borderId="48" xfId="0" applyFont="1" applyFill="1" applyBorder="1" applyAlignment="1">
      <alignment horizontal="center"/>
    </xf>
    <xf numFmtId="0" fontId="83" fillId="24" borderId="0" xfId="0" applyFont="1" applyFill="1"/>
    <xf numFmtId="0" fontId="0" fillId="24" borderId="0" xfId="0" applyFill="1"/>
    <xf numFmtId="0" fontId="83" fillId="24" borderId="47" xfId="0" applyFont="1" applyFill="1" applyBorder="1" applyAlignment="1">
      <alignment horizontal="center"/>
    </xf>
    <xf numFmtId="0" fontId="83" fillId="24" borderId="50" xfId="0" applyFont="1" applyFill="1" applyBorder="1" applyAlignment="1">
      <alignment horizontal="center"/>
    </xf>
    <xf numFmtId="1" fontId="83" fillId="24" borderId="50" xfId="0" applyNumberFormat="1" applyFont="1" applyFill="1" applyBorder="1" applyAlignment="1">
      <alignment horizontal="center"/>
    </xf>
    <xf numFmtId="176" fontId="8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3" fillId="24" borderId="49" xfId="0" applyFont="1" applyFill="1" applyBorder="1"/>
    <xf numFmtId="0" fontId="83" fillId="24" borderId="49" xfId="0" applyFont="1" applyFill="1" applyBorder="1" applyAlignment="1">
      <alignment horizontal="center"/>
    </xf>
    <xf numFmtId="9" fontId="83" fillId="24" borderId="47" xfId="0" applyNumberFormat="1" applyFont="1" applyFill="1" applyBorder="1" applyAlignment="1">
      <alignment horizontal="center"/>
    </xf>
    <xf numFmtId="2" fontId="83" fillId="24" borderId="48" xfId="0" applyNumberFormat="1" applyFont="1" applyFill="1" applyBorder="1" applyAlignment="1">
      <alignment horizontal="center"/>
    </xf>
    <xf numFmtId="1" fontId="83" fillId="24" borderId="47" xfId="0" applyNumberFormat="1" applyFont="1" applyFill="1" applyBorder="1" applyAlignment="1">
      <alignment horizontal="center"/>
    </xf>
    <xf numFmtId="1" fontId="83" fillId="24" borderId="12" xfId="0" applyNumberFormat="1" applyFont="1" applyFill="1" applyBorder="1" applyAlignment="1">
      <alignment horizontal="center"/>
    </xf>
    <xf numFmtId="0" fontId="8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1" fillId="2" borderId="17" xfId="0" applyNumberFormat="1" applyFont="1" applyFill="1" applyBorder="1" applyAlignment="1">
      <alignment horizontal="center" vertical="center"/>
    </xf>
    <xf numFmtId="0" fontId="78" fillId="17" borderId="0" xfId="0" applyFont="1" applyFill="1" applyAlignment="1">
      <alignment horizontal="center" vertical="center"/>
    </xf>
    <xf numFmtId="14" fontId="36" fillId="22" borderId="20" xfId="0" applyNumberFormat="1" applyFon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7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5" fillId="23" borderId="28" xfId="0" applyNumberFormat="1" applyFont="1" applyFill="1" applyBorder="1" applyAlignment="1">
      <alignment horizontal="left" vertical="center" wrapText="1"/>
    </xf>
    <xf numFmtId="0" fontId="78" fillId="23" borderId="21" xfId="0" applyFont="1" applyFill="1" applyBorder="1" applyAlignment="1">
      <alignment horizontal="center"/>
    </xf>
    <xf numFmtId="14" fontId="35" fillId="23" borderId="10" xfId="0" applyNumberFormat="1" applyFont="1" applyFill="1" applyBorder="1" applyAlignment="1">
      <alignment horizontal="center" vertical="center"/>
    </xf>
    <xf numFmtId="14" fontId="35" fillId="23" borderId="17" xfId="0" applyNumberFormat="1" applyFont="1" applyFill="1" applyBorder="1" applyAlignment="1">
      <alignment horizontal="left" vertical="center" wrapText="1"/>
    </xf>
    <xf numFmtId="14" fontId="3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9" fillId="17" borderId="28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7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1" fillId="5" borderId="18" xfId="0" applyFont="1" applyFill="1" applyBorder="1"/>
    <xf numFmtId="0" fontId="81" fillId="5" borderId="67" xfId="0" applyFont="1" applyFill="1" applyBorder="1"/>
    <xf numFmtId="170" fontId="81" fillId="5" borderId="0" xfId="3" applyNumberFormat="1" applyFont="1" applyFill="1" applyBorder="1"/>
    <xf numFmtId="0" fontId="81" fillId="5" borderId="13" xfId="0" applyFont="1" applyFill="1" applyBorder="1"/>
    <xf numFmtId="0" fontId="81" fillId="5" borderId="51" xfId="0" applyFont="1" applyFill="1" applyBorder="1"/>
    <xf numFmtId="0" fontId="81" fillId="5" borderId="26" xfId="0" applyFont="1" applyFill="1" applyBorder="1"/>
    <xf numFmtId="181" fontId="0" fillId="2" borderId="0" xfId="0" applyNumberFormat="1" applyFill="1"/>
    <xf numFmtId="0" fontId="82" fillId="5" borderId="0" xfId="0" applyFont="1" applyFill="1"/>
    <xf numFmtId="169" fontId="81" fillId="5" borderId="0" xfId="3" applyNumberFormat="1" applyFont="1" applyFill="1" applyBorder="1"/>
    <xf numFmtId="10" fontId="8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0" fillId="2" borderId="0" xfId="0" applyFont="1" applyFill="1"/>
    <xf numFmtId="180" fontId="81" fillId="0" borderId="72" xfId="3" applyNumberFormat="1" applyFont="1" applyFill="1" applyBorder="1"/>
    <xf numFmtId="0" fontId="78" fillId="3" borderId="71" xfId="0" applyFont="1" applyFill="1" applyBorder="1"/>
    <xf numFmtId="178" fontId="0" fillId="2" borderId="72" xfId="0" applyNumberFormat="1" applyFill="1" applyBorder="1"/>
    <xf numFmtId="0" fontId="81" fillId="23" borderId="18" xfId="0" applyFont="1" applyFill="1" applyBorder="1"/>
    <xf numFmtId="0" fontId="81" fillId="23" borderId="0" xfId="0" applyFont="1" applyFill="1"/>
    <xf numFmtId="171" fontId="81" fillId="23" borderId="0" xfId="0" applyNumberFormat="1" applyFont="1" applyFill="1"/>
    <xf numFmtId="0" fontId="81" fillId="23" borderId="67" xfId="0" applyFont="1" applyFill="1" applyBorder="1"/>
    <xf numFmtId="172" fontId="81" fillId="23" borderId="0" xfId="0" applyNumberFormat="1" applyFont="1" applyFill="1"/>
    <xf numFmtId="1" fontId="77" fillId="23" borderId="20" xfId="0" applyNumberFormat="1" applyFont="1" applyFill="1" applyBorder="1" applyAlignment="1">
      <alignment horizontal="center" vertical="center"/>
    </xf>
    <xf numFmtId="0" fontId="33" fillId="23" borderId="20" xfId="0" applyFont="1" applyFill="1" applyBorder="1" applyAlignment="1">
      <alignment horizontal="left" vertical="center"/>
    </xf>
    <xf numFmtId="14" fontId="77" fillId="23" borderId="74" xfId="0" applyNumberFormat="1" applyFont="1" applyFill="1" applyBorder="1" applyAlignment="1">
      <alignment horizontal="center" vertical="center"/>
    </xf>
    <xf numFmtId="20" fontId="77" fillId="23" borderId="74" xfId="0" applyNumberFormat="1" applyFont="1" applyFill="1" applyBorder="1" applyAlignment="1">
      <alignment horizontal="center" vertical="center"/>
    </xf>
    <xf numFmtId="1" fontId="77" fillId="23" borderId="74" xfId="0" applyNumberFormat="1" applyFont="1" applyFill="1" applyBorder="1" applyAlignment="1">
      <alignment horizontal="center" vertical="center"/>
    </xf>
    <xf numFmtId="0" fontId="36" fillId="23" borderId="74" xfId="0" applyFont="1" applyFill="1" applyBorder="1" applyAlignment="1">
      <alignment horizontal="left" vertical="center" wrapText="1"/>
    </xf>
    <xf numFmtId="0" fontId="62" fillId="23" borderId="76" xfId="0" applyFont="1" applyFill="1" applyBorder="1" applyAlignment="1">
      <alignment horizontal="center" vertical="center"/>
    </xf>
    <xf numFmtId="20" fontId="77" fillId="23" borderId="76" xfId="0" applyNumberFormat="1" applyFont="1" applyFill="1" applyBorder="1" applyAlignment="1">
      <alignment horizontal="center" vertical="center"/>
    </xf>
    <xf numFmtId="1" fontId="77" fillId="23" borderId="76" xfId="0" applyNumberFormat="1" applyFont="1" applyFill="1" applyBorder="1" applyAlignment="1">
      <alignment horizontal="center" vertical="center"/>
    </xf>
    <xf numFmtId="0" fontId="62" fillId="23" borderId="76" xfId="0" applyFont="1" applyFill="1" applyBorder="1" applyAlignment="1">
      <alignment horizontal="left" vertical="center"/>
    </xf>
    <xf numFmtId="20" fontId="77" fillId="22" borderId="28" xfId="0" applyNumberFormat="1" applyFont="1" applyFill="1" applyBorder="1" applyAlignment="1">
      <alignment horizontal="center" vertical="center"/>
    </xf>
    <xf numFmtId="1" fontId="77" fillId="22" borderId="28" xfId="0" applyNumberFormat="1" applyFont="1" applyFill="1" applyBorder="1" applyAlignment="1">
      <alignment horizontal="center" vertical="center"/>
    </xf>
    <xf numFmtId="0" fontId="29" fillId="22" borderId="28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 wrapText="1"/>
    </xf>
    <xf numFmtId="14" fontId="38" fillId="2" borderId="12" xfId="0" applyNumberFormat="1" applyFont="1" applyFill="1" applyBorder="1" applyAlignment="1">
      <alignment horizontal="center" vertical="center"/>
    </xf>
    <xf numFmtId="14" fontId="35" fillId="2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left" vertical="center" wrapText="1"/>
    </xf>
    <xf numFmtId="14" fontId="31" fillId="23" borderId="12" xfId="0" applyNumberFormat="1" applyFont="1" applyFill="1" applyBorder="1" applyAlignment="1">
      <alignment horizontal="center" vertical="center"/>
    </xf>
    <xf numFmtId="14" fontId="31" fillId="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0" fontId="28" fillId="23" borderId="20" xfId="0" applyFont="1" applyFill="1" applyBorder="1" applyAlignment="1">
      <alignment horizontal="center" vertical="center"/>
    </xf>
    <xf numFmtId="0" fontId="28" fillId="23" borderId="74" xfId="0" applyFont="1" applyFill="1" applyBorder="1" applyAlignment="1">
      <alignment horizontal="center" vertical="center"/>
    </xf>
    <xf numFmtId="0" fontId="2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6" fillId="22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9" fontId="78" fillId="22" borderId="12" xfId="0" applyNumberFormat="1" applyFont="1" applyFill="1" applyBorder="1" applyAlignment="1">
      <alignment horizontal="center"/>
    </xf>
    <xf numFmtId="1" fontId="78" fillId="22" borderId="27" xfId="0" applyNumberFormat="1" applyFont="1" applyFill="1" applyBorder="1" applyAlignment="1">
      <alignment horizontal="center" vertical="center"/>
    </xf>
    <xf numFmtId="1" fontId="78" fillId="22" borderId="12" xfId="0" applyNumberFormat="1" applyFont="1" applyFill="1" applyBorder="1" applyAlignment="1">
      <alignment horizontal="center"/>
    </xf>
    <xf numFmtId="176" fontId="78" fillId="22" borderId="23" xfId="0" applyNumberFormat="1" applyFont="1" applyFill="1" applyBorder="1" applyAlignment="1">
      <alignment horizontal="center" vertical="center"/>
    </xf>
    <xf numFmtId="176" fontId="78" fillId="22" borderId="11" xfId="0" applyNumberFormat="1" applyFont="1" applyFill="1" applyBorder="1" applyAlignment="1">
      <alignment horizontal="center" vertical="center"/>
    </xf>
    <xf numFmtId="176" fontId="78" fillId="22" borderId="25" xfId="0" applyNumberFormat="1" applyFont="1" applyFill="1" applyBorder="1" applyAlignment="1">
      <alignment horizontal="center" vertical="center"/>
    </xf>
    <xf numFmtId="176" fontId="78" fillId="22" borderId="54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8" fillId="23" borderId="10" xfId="0" applyNumberFormat="1" applyFont="1" applyFill="1" applyBorder="1" applyAlignment="1">
      <alignment horizontal="left" vertical="center" wrapText="1"/>
    </xf>
    <xf numFmtId="14" fontId="28" fillId="22" borderId="28" xfId="0" applyNumberFormat="1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/>
    </xf>
    <xf numFmtId="0" fontId="71" fillId="22" borderId="12" xfId="0" applyFont="1" applyFill="1" applyBorder="1" applyAlignment="1">
      <alignment horizontal="center" vertical="center"/>
    </xf>
    <xf numFmtId="20" fontId="71" fillId="22" borderId="12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left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6" fillId="2" borderId="28" xfId="0" applyNumberFormat="1" applyFont="1" applyFill="1" applyBorder="1" applyAlignment="1">
      <alignment horizontal="center" vertical="center"/>
    </xf>
    <xf numFmtId="0" fontId="7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0" fillId="23" borderId="76" xfId="0" applyNumberFormat="1" applyFont="1" applyFill="1" applyBorder="1" applyAlignment="1">
      <alignment horizontal="center" vertical="center"/>
    </xf>
    <xf numFmtId="0" fontId="7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8" fillId="3" borderId="30" xfId="0" applyFont="1" applyFill="1" applyBorder="1" applyAlignment="1">
      <alignment horizontal="center" vertical="center"/>
    </xf>
    <xf numFmtId="0" fontId="78" fillId="3" borderId="31" xfId="0" applyFont="1" applyFill="1" applyBorder="1" applyAlignment="1">
      <alignment horizontal="center" vertical="center"/>
    </xf>
    <xf numFmtId="0" fontId="78" fillId="3" borderId="20" xfId="0" applyFont="1" applyFill="1" applyBorder="1" applyAlignment="1">
      <alignment horizontal="center" vertical="center"/>
    </xf>
    <xf numFmtId="0" fontId="78" fillId="3" borderId="20" xfId="0" applyFont="1" applyFill="1" applyBorder="1" applyAlignment="1">
      <alignment horizontal="center" vertical="center" wrapText="1"/>
    </xf>
    <xf numFmtId="1" fontId="78" fillId="23" borderId="74" xfId="0" applyNumberFormat="1" applyFont="1" applyFill="1" applyBorder="1" applyAlignment="1">
      <alignment horizontal="center"/>
    </xf>
    <xf numFmtId="1" fontId="7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14" fontId="2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78" fillId="23" borderId="7" xfId="0" applyFont="1" applyFill="1" applyBorder="1" applyAlignment="1">
      <alignment horizontal="center"/>
    </xf>
    <xf numFmtId="14" fontId="78" fillId="23" borderId="12" xfId="0" applyNumberFormat="1" applyFont="1" applyFill="1" applyBorder="1" applyAlignment="1">
      <alignment horizontal="center" vertical="center"/>
    </xf>
    <xf numFmtId="176" fontId="78" fillId="23" borderId="25" xfId="0" applyNumberFormat="1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center" vertical="center"/>
    </xf>
    <xf numFmtId="166" fontId="77" fillId="23" borderId="12" xfId="0" applyNumberFormat="1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0" fontId="22" fillId="22" borderId="12" xfId="0" applyFont="1" applyFill="1" applyBorder="1" applyAlignment="1">
      <alignment horizontal="left" vertic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/>
    </xf>
    <xf numFmtId="14" fontId="78" fillId="22" borderId="12" xfId="0" applyNumberFormat="1" applyFont="1" applyFill="1" applyBorder="1" applyAlignment="1">
      <alignment horizontal="center" vertical="center" wrapText="1"/>
    </xf>
    <xf numFmtId="14" fontId="35" fillId="23" borderId="12" xfId="0" applyNumberFormat="1" applyFont="1" applyFill="1" applyBorder="1" applyAlignment="1">
      <alignment horizontal="center" vertical="center" wrapText="1"/>
    </xf>
    <xf numFmtId="14" fontId="34" fillId="22" borderId="12" xfId="0" applyNumberFormat="1" applyFont="1" applyFill="1" applyBorder="1" applyAlignment="1">
      <alignment horizontal="center" vertical="center" wrapText="1"/>
    </xf>
    <xf numFmtId="0" fontId="21" fillId="23" borderId="12" xfId="0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0" fontId="101" fillId="2" borderId="1" xfId="0" applyFont="1" applyFill="1" applyBorder="1"/>
    <xf numFmtId="0" fontId="101" fillId="2" borderId="2" xfId="0" applyFont="1" applyFill="1" applyBorder="1"/>
    <xf numFmtId="0" fontId="101" fillId="2" borderId="3" xfId="0" applyFont="1" applyFill="1" applyBorder="1"/>
    <xf numFmtId="0" fontId="101" fillId="2" borderId="0" xfId="0" applyFont="1" applyFill="1"/>
    <xf numFmtId="0" fontId="102" fillId="2" borderId="18" xfId="0" applyFont="1" applyFill="1" applyBorder="1" applyAlignment="1">
      <alignment horizontal="center"/>
    </xf>
    <xf numFmtId="0" fontId="103" fillId="2" borderId="18" xfId="0" applyFont="1" applyFill="1" applyBorder="1"/>
    <xf numFmtId="0" fontId="102" fillId="2" borderId="1" xfId="0" applyFont="1" applyFill="1" applyBorder="1"/>
    <xf numFmtId="0" fontId="102" fillId="2" borderId="2" xfId="0" applyFont="1" applyFill="1" applyBorder="1"/>
    <xf numFmtId="0" fontId="102" fillId="2" borderId="3" xfId="0" applyFont="1" applyFill="1" applyBorder="1"/>
    <xf numFmtId="0" fontId="102" fillId="2" borderId="0" xfId="0" applyFont="1" applyFill="1"/>
    <xf numFmtId="0" fontId="101" fillId="2" borderId="18" xfId="0" applyFont="1" applyFill="1" applyBorder="1"/>
    <xf numFmtId="0" fontId="101" fillId="2" borderId="67" xfId="0" applyFont="1" applyFill="1" applyBorder="1"/>
    <xf numFmtId="0" fontId="102" fillId="4" borderId="12" xfId="0" applyFont="1" applyFill="1" applyBorder="1" applyAlignment="1">
      <alignment horizontal="center"/>
    </xf>
    <xf numFmtId="0" fontId="101" fillId="2" borderId="18" xfId="0" applyFont="1" applyFill="1" applyBorder="1" applyAlignment="1">
      <alignment horizontal="center"/>
    </xf>
    <xf numFmtId="0" fontId="103" fillId="2" borderId="12" xfId="0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0" fontId="101" fillId="2" borderId="12" xfId="0" applyFont="1" applyFill="1" applyBorder="1"/>
    <xf numFmtId="0" fontId="101" fillId="2" borderId="13" xfId="0" applyFont="1" applyFill="1" applyBorder="1"/>
    <xf numFmtId="0" fontId="101" fillId="2" borderId="51" xfId="0" applyFont="1" applyFill="1" applyBorder="1"/>
    <xf numFmtId="0" fontId="101" fillId="2" borderId="26" xfId="0" applyFont="1" applyFill="1" applyBorder="1"/>
    <xf numFmtId="14" fontId="103" fillId="2" borderId="12" xfId="0" applyNumberFormat="1" applyFont="1" applyFill="1" applyBorder="1" applyAlignment="1">
      <alignment horizontal="center"/>
    </xf>
    <xf numFmtId="14" fontId="101" fillId="2" borderId="12" xfId="0" applyNumberFormat="1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3" fillId="18" borderId="29" xfId="0" applyFont="1" applyFill="1" applyBorder="1" applyAlignment="1">
      <alignment vertical="center"/>
    </xf>
    <xf numFmtId="0" fontId="9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8" fillId="22" borderId="12" xfId="0" applyNumberFormat="1" applyFont="1" applyFill="1" applyBorder="1" applyAlignment="1">
      <alignment horizontal="center" vertical="center"/>
    </xf>
    <xf numFmtId="9" fontId="7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8" fillId="3" borderId="12" xfId="0" applyFont="1" applyFill="1" applyBorder="1" applyAlignment="1">
      <alignment horizontal="center" vertical="center"/>
    </xf>
    <xf numFmtId="0" fontId="74" fillId="22" borderId="28" xfId="0" applyFont="1" applyFill="1" applyBorder="1" applyAlignment="1">
      <alignment horizontal="center" vertical="center"/>
    </xf>
    <xf numFmtId="20" fontId="74" fillId="22" borderId="28" xfId="0" applyNumberFormat="1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8" fillId="3" borderId="12" xfId="0" applyFont="1" applyFill="1" applyBorder="1" applyAlignment="1">
      <alignment horizontal="center" vertical="center" wrapText="1"/>
    </xf>
    <xf numFmtId="14" fontId="78" fillId="22" borderId="28" xfId="0" applyNumberFormat="1" applyFont="1" applyFill="1" applyBorder="1" applyAlignment="1">
      <alignment horizontal="center" vertical="center"/>
    </xf>
    <xf numFmtId="14" fontId="78" fillId="2" borderId="12" xfId="0" applyNumberFormat="1" applyFont="1" applyFill="1" applyBorder="1" applyAlignment="1">
      <alignment horizontal="center" vertical="center"/>
    </xf>
    <xf numFmtId="0" fontId="78" fillId="2" borderId="20" xfId="0" applyFont="1" applyFill="1" applyBorder="1" applyAlignment="1">
      <alignment horizontal="center" vertical="center"/>
    </xf>
    <xf numFmtId="0" fontId="78" fillId="2" borderId="28" xfId="0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0" fontId="78" fillId="23" borderId="20" xfId="0" applyFont="1" applyFill="1" applyBorder="1" applyAlignment="1">
      <alignment horizontal="center" vertical="center"/>
    </xf>
    <xf numFmtId="0" fontId="78" fillId="23" borderId="74" xfId="0" applyFont="1" applyFill="1" applyBorder="1" applyAlignment="1">
      <alignment horizontal="center" vertical="center"/>
    </xf>
    <xf numFmtId="0" fontId="78" fillId="23" borderId="76" xfId="0" applyFont="1" applyFill="1" applyBorder="1" applyAlignment="1">
      <alignment horizontal="center" vertical="center"/>
    </xf>
    <xf numFmtId="0" fontId="78" fillId="22" borderId="10" xfId="0" applyFont="1" applyFill="1" applyBorder="1" applyAlignment="1">
      <alignment horizontal="center" vertical="center"/>
    </xf>
    <xf numFmtId="0" fontId="78" fillId="22" borderId="20" xfId="0" applyFont="1" applyFill="1" applyBorder="1" applyAlignment="1">
      <alignment horizontal="center" vertical="center"/>
    </xf>
    <xf numFmtId="0" fontId="78" fillId="23" borderId="10" xfId="0" applyFont="1" applyFill="1" applyBorder="1" applyAlignment="1">
      <alignment horizontal="center" vertical="center"/>
    </xf>
    <xf numFmtId="0" fontId="78" fillId="2" borderId="10" xfId="0" applyFont="1" applyFill="1" applyBorder="1" applyAlignment="1">
      <alignment horizontal="center" vertical="center"/>
    </xf>
    <xf numFmtId="0" fontId="78" fillId="3" borderId="78" xfId="0" applyFont="1" applyFill="1" applyBorder="1" applyAlignment="1">
      <alignment horizontal="center" vertical="center" wrapText="1"/>
    </xf>
    <xf numFmtId="0" fontId="78" fillId="23" borderId="81" xfId="0" applyFont="1" applyFill="1" applyBorder="1" applyAlignment="1">
      <alignment horizontal="center" vertical="center"/>
    </xf>
    <xf numFmtId="0" fontId="78" fillId="23" borderId="83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wrapText="1"/>
    </xf>
    <xf numFmtId="0" fontId="19" fillId="23" borderId="12" xfId="0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8" fillId="23" borderId="12" xfId="0" applyFont="1" applyFill="1" applyBorder="1" applyAlignment="1">
      <alignment horizontal="left" vertical="center" wrapText="1"/>
    </xf>
    <xf numFmtId="166" fontId="77" fillId="17" borderId="12" xfId="0" applyNumberFormat="1" applyFont="1" applyFill="1" applyBorder="1" applyAlignment="1">
      <alignment horizontal="center" vertical="center"/>
    </xf>
    <xf numFmtId="1" fontId="7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14" fontId="18" fillId="17" borderId="12" xfId="0" applyNumberFormat="1" applyFont="1" applyFill="1" applyBorder="1" applyAlignment="1">
      <alignment horizontal="center" vertical="center"/>
    </xf>
    <xf numFmtId="0" fontId="7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4" fillId="2" borderId="72" xfId="0" applyFont="1" applyFill="1" applyBorder="1" applyAlignment="1">
      <alignment wrapText="1"/>
    </xf>
    <xf numFmtId="1" fontId="105" fillId="2" borderId="71" xfId="0" applyNumberFormat="1" applyFont="1" applyFill="1" applyBorder="1" applyAlignment="1">
      <alignment horizontal="center" vertical="center"/>
    </xf>
    <xf numFmtId="1" fontId="106" fillId="2" borderId="71" xfId="0" applyNumberFormat="1" applyFont="1" applyFill="1" applyBorder="1" applyAlignment="1">
      <alignment horizontal="center" vertical="center"/>
    </xf>
    <xf numFmtId="9" fontId="10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8" fillId="18" borderId="60" xfId="0" applyFont="1" applyFill="1" applyBorder="1" applyAlignment="1">
      <alignment horizontal="center"/>
    </xf>
    <xf numFmtId="0" fontId="7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8" fillId="19" borderId="12" xfId="0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0" fontId="7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8" fillId="4" borderId="12" xfId="0" applyNumberFormat="1" applyFont="1" applyFill="1" applyBorder="1" applyAlignment="1">
      <alignment horizontal="center"/>
    </xf>
    <xf numFmtId="14" fontId="1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8" fillId="18" borderId="12" xfId="0" applyNumberFormat="1" applyFont="1" applyFill="1" applyBorder="1" applyAlignment="1">
      <alignment horizontal="center"/>
    </xf>
    <xf numFmtId="14" fontId="98" fillId="2" borderId="4" xfId="0" applyNumberFormat="1" applyFont="1" applyFill="1" applyBorder="1" applyAlignment="1">
      <alignment horizontal="center" vertical="center"/>
    </xf>
    <xf numFmtId="14" fontId="16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7" fillId="19" borderId="12" xfId="0" applyFont="1" applyFill="1" applyBorder="1" applyAlignment="1">
      <alignment horizontal="center" vertical="center"/>
    </xf>
    <xf numFmtId="166" fontId="77" fillId="19" borderId="12" xfId="0" applyNumberFormat="1" applyFont="1" applyFill="1" applyBorder="1" applyAlignment="1">
      <alignment horizontal="center" vertical="center"/>
    </xf>
    <xf numFmtId="1" fontId="77" fillId="19" borderId="12" xfId="0" applyNumberFormat="1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3" fillId="24" borderId="12" xfId="0" applyNumberFormat="1" applyFont="1" applyFill="1" applyBorder="1" applyAlignment="1">
      <alignment horizontal="center"/>
    </xf>
    <xf numFmtId="1" fontId="98" fillId="2" borderId="15" xfId="0" applyNumberFormat="1" applyFont="1" applyFill="1" applyBorder="1" applyAlignment="1">
      <alignment horizontal="center" vertical="center"/>
    </xf>
    <xf numFmtId="1" fontId="98" fillId="2" borderId="25" xfId="0" applyNumberFormat="1" applyFont="1" applyFill="1" applyBorder="1" applyAlignment="1">
      <alignment horizontal="center" vertical="center"/>
    </xf>
    <xf numFmtId="0" fontId="98" fillId="2" borderId="5" xfId="0" applyFont="1" applyFill="1" applyBorder="1" applyAlignment="1">
      <alignment vertical="center"/>
    </xf>
    <xf numFmtId="165" fontId="98" fillId="2" borderId="5" xfId="1" applyNumberFormat="1" applyFont="1" applyFill="1" applyBorder="1" applyAlignment="1">
      <alignment horizontal="center" vertical="center"/>
    </xf>
    <xf numFmtId="166" fontId="98" fillId="2" borderId="5" xfId="0" applyNumberFormat="1" applyFont="1" applyFill="1" applyBorder="1" applyAlignment="1">
      <alignment horizontal="center" vertical="center"/>
    </xf>
    <xf numFmtId="9" fontId="98" fillId="2" borderId="5" xfId="2" applyFont="1" applyFill="1" applyBorder="1" applyAlignment="1">
      <alignment horizontal="center" vertical="center"/>
    </xf>
    <xf numFmtId="167" fontId="98" fillId="2" borderId="6" xfId="1" applyNumberFormat="1" applyFont="1" applyFill="1" applyBorder="1" applyAlignment="1">
      <alignment horizontal="center" vertical="center"/>
    </xf>
    <xf numFmtId="0" fontId="98" fillId="2" borderId="6" xfId="0" applyFont="1" applyFill="1" applyBorder="1" applyAlignment="1">
      <alignment horizontal="center" vertical="center"/>
    </xf>
    <xf numFmtId="1" fontId="98" fillId="2" borderId="6" xfId="0" applyNumberFormat="1" applyFont="1" applyFill="1" applyBorder="1" applyAlignment="1">
      <alignment horizontal="center" vertical="center"/>
    </xf>
    <xf numFmtId="1" fontId="98" fillId="2" borderId="5" xfId="0" applyNumberFormat="1" applyFont="1" applyFill="1" applyBorder="1" applyAlignment="1">
      <alignment horizontal="center" vertical="center"/>
    </xf>
    <xf numFmtId="1" fontId="98" fillId="2" borderId="59" xfId="0" applyNumberFormat="1" applyFont="1" applyFill="1" applyBorder="1" applyAlignment="1">
      <alignment horizontal="center" vertical="center"/>
    </xf>
    <xf numFmtId="167" fontId="98" fillId="2" borderId="32" xfId="1" applyNumberFormat="1" applyFont="1" applyFill="1" applyBorder="1" applyAlignment="1">
      <alignment horizontal="center" vertical="center"/>
    </xf>
    <xf numFmtId="0" fontId="98" fillId="2" borderId="32" xfId="0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165" fontId="98" fillId="2" borderId="12" xfId="1" applyNumberFormat="1" applyFont="1" applyFill="1" applyBorder="1" applyAlignment="1">
      <alignment horizontal="center" vertical="center"/>
    </xf>
    <xf numFmtId="166" fontId="98" fillId="2" borderId="12" xfId="0" applyNumberFormat="1" applyFont="1" applyFill="1" applyBorder="1" applyAlignment="1">
      <alignment horizontal="center" vertical="center"/>
    </xf>
    <xf numFmtId="9" fontId="98" fillId="2" borderId="12" xfId="2" applyFont="1" applyFill="1" applyBorder="1" applyAlignment="1">
      <alignment horizontal="center" vertical="center"/>
    </xf>
    <xf numFmtId="167" fontId="98" fillId="2" borderId="12" xfId="1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1" fontId="98" fillId="2" borderId="12" xfId="0" applyNumberFormat="1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0" fontId="1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 wrapText="1"/>
    </xf>
    <xf numFmtId="0" fontId="7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4" fillId="19" borderId="12" xfId="0" applyNumberFormat="1" applyFont="1" applyFill="1" applyBorder="1" applyAlignment="1">
      <alignment horizontal="center" vertical="center" wrapText="1"/>
    </xf>
    <xf numFmtId="173" fontId="83" fillId="0" borderId="0" xfId="0" applyNumberFormat="1" applyFont="1" applyAlignment="1">
      <alignment horizontal="center"/>
    </xf>
    <xf numFmtId="173" fontId="83" fillId="0" borderId="49" xfId="0" applyNumberFormat="1" applyFont="1" applyBorder="1" applyAlignment="1">
      <alignment horizontal="center"/>
    </xf>
    <xf numFmtId="174" fontId="83" fillId="0" borderId="47" xfId="0" applyNumberFormat="1" applyFont="1" applyBorder="1" applyAlignment="1">
      <alignment horizontal="center"/>
    </xf>
    <xf numFmtId="176" fontId="83" fillId="0" borderId="47" xfId="0" applyNumberFormat="1" applyFont="1" applyBorder="1" applyAlignment="1">
      <alignment horizontal="center"/>
    </xf>
    <xf numFmtId="1" fontId="83" fillId="21" borderId="28" xfId="0" applyNumberFormat="1" applyFont="1" applyFill="1" applyBorder="1" applyAlignment="1">
      <alignment horizontal="center"/>
    </xf>
    <xf numFmtId="2" fontId="83" fillId="21" borderId="28" xfId="0" applyNumberFormat="1" applyFont="1" applyFill="1" applyBorder="1" applyAlignment="1">
      <alignment horizontal="center"/>
    </xf>
    <xf numFmtId="176" fontId="83" fillId="21" borderId="28" xfId="0" applyNumberFormat="1" applyFont="1" applyFill="1" applyBorder="1" applyAlignment="1">
      <alignment horizontal="center"/>
    </xf>
    <xf numFmtId="9" fontId="83" fillId="21" borderId="28" xfId="0" applyNumberFormat="1" applyFont="1" applyFill="1" applyBorder="1" applyAlignment="1">
      <alignment horizontal="center"/>
    </xf>
    <xf numFmtId="0" fontId="83" fillId="21" borderId="28" xfId="0" applyFont="1" applyFill="1" applyBorder="1" applyAlignment="1">
      <alignment horizontal="center"/>
    </xf>
    <xf numFmtId="176" fontId="83" fillId="0" borderId="12" xfId="0" applyNumberFormat="1" applyFont="1" applyBorder="1" applyAlignment="1">
      <alignment horizontal="center"/>
    </xf>
    <xf numFmtId="9" fontId="83" fillId="22" borderId="48" xfId="2" applyFont="1" applyFill="1" applyBorder="1" applyAlignment="1">
      <alignment horizontal="center" vertical="center"/>
    </xf>
    <xf numFmtId="0" fontId="83" fillId="0" borderId="49" xfId="0" applyFont="1" applyBorder="1"/>
    <xf numFmtId="0" fontId="83" fillId="24" borderId="7" xfId="0" applyFont="1" applyFill="1" applyBorder="1"/>
    <xf numFmtId="0" fontId="83" fillId="0" borderId="7" xfId="0" applyFont="1" applyBorder="1"/>
    <xf numFmtId="0" fontId="83" fillId="0" borderId="30" xfId="0" applyFont="1" applyBorder="1"/>
    <xf numFmtId="0" fontId="83" fillId="24" borderId="8" xfId="0" applyFont="1" applyFill="1" applyBorder="1" applyAlignment="1">
      <alignment horizontal="center"/>
    </xf>
    <xf numFmtId="0" fontId="83" fillId="0" borderId="8" xfId="0" applyFont="1" applyBorder="1" applyAlignment="1">
      <alignment horizontal="center"/>
    </xf>
    <xf numFmtId="0" fontId="83" fillId="0" borderId="31" xfId="0" applyFont="1" applyBorder="1" applyAlignment="1">
      <alignment horizontal="center"/>
    </xf>
    <xf numFmtId="14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3" fillId="4" borderId="28" xfId="0" applyNumberFormat="1" applyFont="1" applyFill="1" applyBorder="1" applyAlignment="1">
      <alignment horizontal="center" vertical="center"/>
    </xf>
    <xf numFmtId="0" fontId="98" fillId="2" borderId="22" xfId="0" applyFont="1" applyFill="1" applyBorder="1" applyAlignment="1">
      <alignment horizontal="center" vertical="center"/>
    </xf>
    <xf numFmtId="1" fontId="98" fillId="2" borderId="21" xfId="0" applyNumberFormat="1" applyFont="1" applyFill="1" applyBorder="1" applyAlignment="1">
      <alignment horizontal="center" vertical="center"/>
    </xf>
    <xf numFmtId="1" fontId="98" fillId="2" borderId="61" xfId="0" applyNumberFormat="1" applyFont="1" applyFill="1" applyBorder="1" applyAlignment="1">
      <alignment horizontal="center" vertical="center"/>
    </xf>
    <xf numFmtId="1" fontId="98" fillId="2" borderId="32" xfId="0" applyNumberFormat="1" applyFont="1" applyFill="1" applyBorder="1" applyAlignment="1">
      <alignment horizontal="center" vertical="center"/>
    </xf>
    <xf numFmtId="165" fontId="98" fillId="2" borderId="28" xfId="0" applyNumberFormat="1" applyFont="1" applyFill="1" applyBorder="1" applyAlignment="1">
      <alignment horizontal="center" vertical="center"/>
    </xf>
    <xf numFmtId="165" fontId="98" fillId="2" borderId="66" xfId="0" applyNumberFormat="1" applyFont="1" applyFill="1" applyBorder="1" applyAlignment="1">
      <alignment horizontal="center" vertical="center"/>
    </xf>
    <xf numFmtId="165" fontId="98" fillId="2" borderId="12" xfId="0" applyNumberFormat="1" applyFont="1" applyFill="1" applyBorder="1" applyAlignment="1">
      <alignment horizontal="center" vertical="center"/>
    </xf>
    <xf numFmtId="14" fontId="98" fillId="2" borderId="33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14" fontId="52" fillId="18" borderId="12" xfId="0" applyNumberFormat="1" applyFont="1" applyFill="1" applyBorder="1"/>
    <xf numFmtId="0" fontId="11" fillId="17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14" fontId="1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0" fillId="17" borderId="12" xfId="0" applyFont="1" applyFill="1" applyBorder="1" applyAlignment="1">
      <alignment horizontal="center" vertical="center"/>
    </xf>
    <xf numFmtId="166" fontId="10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14" fontId="8" fillId="17" borderId="12" xfId="0" applyNumberFormat="1" applyFont="1" applyFill="1" applyBorder="1" applyAlignment="1">
      <alignment horizontal="center" vertical="center"/>
    </xf>
    <xf numFmtId="174" fontId="101" fillId="2" borderId="12" xfId="0" applyNumberFormat="1" applyFon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8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center" vertical="center"/>
    </xf>
    <xf numFmtId="166" fontId="6" fillId="17" borderId="12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14" fontId="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5" fillId="19" borderId="12" xfId="0" applyFont="1" applyFill="1" applyBorder="1" applyAlignment="1">
      <alignment horizontal="center" vertical="center"/>
    </xf>
    <xf numFmtId="166" fontId="5" fillId="19" borderId="12" xfId="0" applyNumberFormat="1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88" fillId="4" borderId="12" xfId="0" applyFont="1" applyFill="1" applyBorder="1" applyAlignment="1">
      <alignment horizontal="center" vertical="center"/>
    </xf>
    <xf numFmtId="0" fontId="8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" fillId="19" borderId="12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vertical="center"/>
    </xf>
    <xf numFmtId="176" fontId="0" fillId="0" borderId="0" xfId="0" applyNumberFormat="1"/>
    <xf numFmtId="14" fontId="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7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78" fillId="18" borderId="20" xfId="1" applyFont="1" applyFill="1" applyBorder="1" applyAlignment="1">
      <alignment horizontal="center"/>
    </xf>
    <xf numFmtId="43" fontId="7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78" fillId="19" borderId="12" xfId="0" applyFont="1" applyFill="1" applyBorder="1"/>
    <xf numFmtId="1" fontId="7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" fillId="2" borderId="7" xfId="0" applyFont="1" applyFill="1" applyBorder="1" applyAlignment="1">
      <alignment vertical="center"/>
    </xf>
    <xf numFmtId="0" fontId="1" fillId="19" borderId="12" xfId="0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/>
    </xf>
    <xf numFmtId="0" fontId="1" fillId="19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left" vertical="center"/>
    </xf>
    <xf numFmtId="176" fontId="0" fillId="17" borderId="23" xfId="0" applyNumberFormat="1" applyFill="1" applyBorder="1" applyAlignment="1">
      <alignment vertical="center"/>
    </xf>
    <xf numFmtId="2" fontId="0" fillId="17" borderId="11" xfId="0" applyNumberFormat="1" applyFill="1" applyBorder="1" applyAlignment="1">
      <alignment vertical="center"/>
    </xf>
    <xf numFmtId="14" fontId="1" fillId="17" borderId="12" xfId="0" applyNumberFormat="1" applyFont="1" applyFill="1" applyBorder="1" applyAlignment="1">
      <alignment horizontal="center" vertical="center"/>
    </xf>
    <xf numFmtId="0" fontId="78" fillId="18" borderId="20" xfId="0" applyFont="1" applyFill="1" applyBorder="1" applyAlignment="1">
      <alignment horizontal="center" wrapText="1"/>
    </xf>
    <xf numFmtId="0" fontId="78" fillId="18" borderId="28" xfId="0" applyFont="1" applyFill="1" applyBorder="1" applyAlignment="1">
      <alignment horizontal="center" wrapText="1"/>
    </xf>
    <xf numFmtId="0" fontId="78" fillId="18" borderId="7" xfId="0" applyFont="1" applyFill="1" applyBorder="1" applyAlignment="1">
      <alignment horizontal="center"/>
    </xf>
    <xf numFmtId="0" fontId="78" fillId="18" borderId="29" xfId="0" applyFont="1" applyFill="1" applyBorder="1" applyAlignment="1">
      <alignment horizontal="center"/>
    </xf>
    <xf numFmtId="0" fontId="78" fillId="18" borderId="8" xfId="0" applyFont="1" applyFill="1" applyBorder="1" applyAlignment="1">
      <alignment horizontal="center"/>
    </xf>
    <xf numFmtId="0" fontId="78" fillId="18" borderId="12" xfId="0" applyFont="1" applyFill="1" applyBorder="1" applyAlignment="1">
      <alignment horizontal="center"/>
    </xf>
    <xf numFmtId="0" fontId="78" fillId="18" borderId="12" xfId="0" applyFont="1" applyFill="1" applyBorder="1" applyAlignment="1">
      <alignment horizontal="center" vertical="center"/>
    </xf>
    <xf numFmtId="0" fontId="97" fillId="4" borderId="36" xfId="0" applyFont="1" applyFill="1" applyBorder="1" applyAlignment="1">
      <alignment horizontal="center"/>
    </xf>
    <xf numFmtId="0" fontId="97" fillId="4" borderId="55" xfId="0" applyFont="1" applyFill="1" applyBorder="1" applyAlignment="1">
      <alignment horizontal="center"/>
    </xf>
    <xf numFmtId="0" fontId="97" fillId="4" borderId="56" xfId="0" applyFont="1" applyFill="1" applyBorder="1" applyAlignment="1">
      <alignment horizontal="center"/>
    </xf>
    <xf numFmtId="0" fontId="78" fillId="18" borderId="12" xfId="0" applyFont="1" applyFill="1" applyBorder="1" applyAlignment="1">
      <alignment horizontal="center" vertical="center" wrapText="1"/>
    </xf>
    <xf numFmtId="0" fontId="78" fillId="18" borderId="20" xfId="0" applyFont="1" applyFill="1" applyBorder="1" applyAlignment="1">
      <alignment horizontal="center" vertical="center"/>
    </xf>
    <xf numFmtId="0" fontId="78" fillId="18" borderId="21" xfId="0" applyFont="1" applyFill="1" applyBorder="1" applyAlignment="1">
      <alignment horizontal="center" vertical="center"/>
    </xf>
    <xf numFmtId="0" fontId="78" fillId="18" borderId="28" xfId="0" applyFont="1" applyFill="1" applyBorder="1" applyAlignment="1">
      <alignment horizontal="center" vertical="center"/>
    </xf>
    <xf numFmtId="17" fontId="97" fillId="4" borderId="36" xfId="0" applyNumberFormat="1" applyFont="1" applyFill="1" applyBorder="1" applyAlignment="1">
      <alignment horizontal="center"/>
    </xf>
    <xf numFmtId="17" fontId="97" fillId="4" borderId="55" xfId="0" applyNumberFormat="1" applyFont="1" applyFill="1" applyBorder="1" applyAlignment="1">
      <alignment horizontal="center"/>
    </xf>
    <xf numFmtId="17" fontId="97" fillId="4" borderId="56" xfId="0" applyNumberFormat="1" applyFont="1" applyFill="1" applyBorder="1" applyAlignment="1">
      <alignment horizontal="center"/>
    </xf>
    <xf numFmtId="0" fontId="78" fillId="18" borderId="20" xfId="0" applyFont="1" applyFill="1" applyBorder="1" applyAlignment="1">
      <alignment horizontal="center" vertical="center" wrapText="1"/>
    </xf>
    <xf numFmtId="0" fontId="78" fillId="18" borderId="21" xfId="0" applyFont="1" applyFill="1" applyBorder="1" applyAlignment="1">
      <alignment horizontal="center" vertical="center" wrapText="1"/>
    </xf>
    <xf numFmtId="0" fontId="78" fillId="18" borderId="28" xfId="0" applyFont="1" applyFill="1" applyBorder="1" applyAlignment="1">
      <alignment horizontal="center" vertical="center" wrapText="1"/>
    </xf>
    <xf numFmtId="0" fontId="78" fillId="18" borderId="30" xfId="0" applyFont="1" applyFill="1" applyBorder="1" applyAlignment="1">
      <alignment horizontal="center" vertical="center"/>
    </xf>
    <xf numFmtId="0" fontId="78" fillId="18" borderId="34" xfId="0" applyFont="1" applyFill="1" applyBorder="1" applyAlignment="1">
      <alignment horizontal="center" vertical="center"/>
    </xf>
    <xf numFmtId="0" fontId="78" fillId="18" borderId="31" xfId="0" applyFont="1" applyFill="1" applyBorder="1" applyAlignment="1">
      <alignment horizontal="center" vertical="center"/>
    </xf>
    <xf numFmtId="0" fontId="78" fillId="18" borderId="32" xfId="0" applyFont="1" applyFill="1" applyBorder="1" applyAlignment="1">
      <alignment horizontal="center" vertical="center"/>
    </xf>
    <xf numFmtId="0" fontId="78" fillId="18" borderId="53" xfId="0" applyFont="1" applyFill="1" applyBorder="1" applyAlignment="1">
      <alignment horizontal="center" vertical="center"/>
    </xf>
    <xf numFmtId="0" fontId="78" fillId="18" borderId="33" xfId="0" applyFont="1" applyFill="1" applyBorder="1" applyAlignment="1">
      <alignment horizontal="center" vertical="center"/>
    </xf>
    <xf numFmtId="0" fontId="78" fillId="20" borderId="12" xfId="0" applyFont="1" applyFill="1" applyBorder="1" applyAlignment="1">
      <alignment horizontal="center"/>
    </xf>
    <xf numFmtId="178" fontId="78" fillId="18" borderId="7" xfId="0" applyNumberFormat="1" applyFont="1" applyFill="1" applyBorder="1" applyAlignment="1">
      <alignment horizontal="center"/>
    </xf>
    <xf numFmtId="178" fontId="78" fillId="18" borderId="29" xfId="0" applyNumberFormat="1" applyFont="1" applyFill="1" applyBorder="1" applyAlignment="1">
      <alignment horizontal="center"/>
    </xf>
    <xf numFmtId="178" fontId="78" fillId="18" borderId="8" xfId="0" applyNumberFormat="1" applyFont="1" applyFill="1" applyBorder="1" applyAlignment="1">
      <alignment horizontal="center"/>
    </xf>
    <xf numFmtId="0" fontId="78" fillId="19" borderId="7" xfId="0" applyFont="1" applyFill="1" applyBorder="1" applyAlignment="1">
      <alignment horizontal="center"/>
    </xf>
    <xf numFmtId="0" fontId="78" fillId="19" borderId="29" xfId="0" applyFont="1" applyFill="1" applyBorder="1" applyAlignment="1">
      <alignment horizontal="center"/>
    </xf>
    <xf numFmtId="0" fontId="78" fillId="19" borderId="8" xfId="0" applyFont="1" applyFill="1" applyBorder="1" applyAlignment="1">
      <alignment horizontal="center"/>
    </xf>
    <xf numFmtId="0" fontId="78" fillId="4" borderId="12" xfId="0" applyFont="1" applyFill="1" applyBorder="1" applyAlignment="1">
      <alignment horizontal="center"/>
    </xf>
    <xf numFmtId="0" fontId="85" fillId="3" borderId="41" xfId="0" applyFont="1" applyFill="1" applyBorder="1" applyAlignment="1">
      <alignment horizontal="center" vertical="center" wrapText="1"/>
    </xf>
    <xf numFmtId="0" fontId="84" fillId="3" borderId="42" xfId="0" applyFont="1" applyFill="1" applyBorder="1" applyAlignment="1">
      <alignment vertical="center"/>
    </xf>
    <xf numFmtId="0" fontId="84" fillId="3" borderId="43" xfId="0" applyFont="1" applyFill="1" applyBorder="1" applyAlignment="1">
      <alignment vertical="center"/>
    </xf>
    <xf numFmtId="0" fontId="90" fillId="15" borderId="51" xfId="0" applyFont="1" applyFill="1" applyBorder="1" applyAlignment="1">
      <alignment horizontal="center"/>
    </xf>
    <xf numFmtId="0" fontId="91" fillId="15" borderId="0" xfId="0" applyFont="1" applyFill="1" applyAlignment="1">
      <alignment horizontal="center"/>
    </xf>
    <xf numFmtId="0" fontId="95" fillId="3" borderId="42" xfId="0" applyFont="1" applyFill="1" applyBorder="1" applyAlignment="1">
      <alignment horizontal="center" vertical="center"/>
    </xf>
    <xf numFmtId="0" fontId="95" fillId="3" borderId="43" xfId="0" applyFont="1" applyFill="1" applyBorder="1" applyAlignment="1">
      <alignment horizontal="center" vertical="center"/>
    </xf>
    <xf numFmtId="0" fontId="85" fillId="3" borderId="42" xfId="0" applyFont="1" applyFill="1" applyBorder="1" applyAlignment="1">
      <alignment horizontal="center" vertical="center" wrapText="1"/>
    </xf>
    <xf numFmtId="0" fontId="85" fillId="3" borderId="43" xfId="0" applyFont="1" applyFill="1" applyBorder="1" applyAlignment="1">
      <alignment horizontal="center" vertical="center" wrapText="1"/>
    </xf>
    <xf numFmtId="0" fontId="85" fillId="3" borderId="40" xfId="0" applyFont="1" applyFill="1" applyBorder="1" applyAlignment="1">
      <alignment horizontal="center" vertical="center" wrapText="1"/>
    </xf>
    <xf numFmtId="0" fontId="84" fillId="3" borderId="44" xfId="0" applyFont="1" applyFill="1" applyBorder="1" applyAlignment="1">
      <alignment vertical="center"/>
    </xf>
    <xf numFmtId="1" fontId="85" fillId="3" borderId="41" xfId="0" applyNumberFormat="1" applyFont="1" applyFill="1" applyBorder="1" applyAlignment="1">
      <alignment horizontal="center" vertical="center" wrapText="1"/>
    </xf>
    <xf numFmtId="1" fontId="85" fillId="3" borderId="40" xfId="0" applyNumberFormat="1" applyFont="1" applyFill="1" applyBorder="1" applyAlignment="1">
      <alignment horizontal="center" vertical="center" wrapText="1"/>
    </xf>
    <xf numFmtId="0" fontId="84" fillId="3" borderId="46" xfId="0" applyFont="1" applyFill="1" applyBorder="1" applyAlignment="1">
      <alignment vertical="center"/>
    </xf>
    <xf numFmtId="1" fontId="85" fillId="3" borderId="44" xfId="0" applyNumberFormat="1" applyFont="1" applyFill="1" applyBorder="1" applyAlignment="1">
      <alignment horizontal="center" vertical="center" wrapText="1"/>
    </xf>
    <xf numFmtId="177" fontId="78" fillId="4" borderId="12" xfId="0" applyNumberFormat="1" applyFont="1" applyFill="1" applyBorder="1" applyAlignment="1">
      <alignment horizontal="center"/>
    </xf>
    <xf numFmtId="0" fontId="78" fillId="19" borderId="57" xfId="0" applyFont="1" applyFill="1" applyBorder="1" applyAlignment="1">
      <alignment horizontal="center"/>
    </xf>
    <xf numFmtId="0" fontId="78" fillId="19" borderId="10" xfId="0" applyFont="1" applyFill="1" applyBorder="1" applyAlignment="1">
      <alignment horizontal="center"/>
    </xf>
    <xf numFmtId="177" fontId="78" fillId="19" borderId="10" xfId="0" applyNumberFormat="1" applyFont="1" applyFill="1" applyBorder="1" applyAlignment="1">
      <alignment horizontal="center"/>
    </xf>
    <xf numFmtId="0" fontId="78" fillId="19" borderId="23" xfId="0" applyFont="1" applyFill="1" applyBorder="1" applyAlignment="1">
      <alignment horizontal="center"/>
    </xf>
    <xf numFmtId="0" fontId="93" fillId="18" borderId="0" xfId="0" applyFont="1" applyFill="1" applyAlignment="1">
      <alignment horizontal="center"/>
    </xf>
    <xf numFmtId="0" fontId="78" fillId="3" borderId="7" xfId="0" applyFont="1" applyFill="1" applyBorder="1" applyAlignment="1">
      <alignment horizontal="center"/>
    </xf>
    <xf numFmtId="0" fontId="78" fillId="3" borderId="8" xfId="0" applyFont="1" applyFill="1" applyBorder="1" applyAlignment="1">
      <alignment horizontal="center"/>
    </xf>
    <xf numFmtId="0" fontId="78" fillId="3" borderId="29" xfId="0" applyFont="1" applyFill="1" applyBorder="1" applyAlignment="1">
      <alignment horizontal="center"/>
    </xf>
    <xf numFmtId="0" fontId="78" fillId="3" borderId="0" xfId="0" applyFont="1" applyFill="1" applyAlignment="1">
      <alignment horizontal="center"/>
    </xf>
    <xf numFmtId="0" fontId="88" fillId="20" borderId="7" xfId="0" applyFont="1" applyFill="1" applyBorder="1" applyAlignment="1">
      <alignment horizontal="center"/>
    </xf>
    <xf numFmtId="0" fontId="88" fillId="20" borderId="8" xfId="0" applyFont="1" applyFill="1" applyBorder="1" applyAlignment="1">
      <alignment horizontal="center"/>
    </xf>
    <xf numFmtId="0" fontId="78" fillId="2" borderId="0" xfId="0" applyFont="1" applyFill="1" applyAlignment="1">
      <alignment horizontal="center"/>
    </xf>
    <xf numFmtId="14" fontId="75" fillId="2" borderId="32" xfId="0" applyNumberFormat="1" applyFont="1" applyFill="1" applyBorder="1" applyAlignment="1">
      <alignment horizontal="center" vertical="center"/>
    </xf>
    <xf numFmtId="14" fontId="77" fillId="2" borderId="33" xfId="0" applyNumberFormat="1" applyFont="1" applyFill="1" applyBorder="1" applyAlignment="1">
      <alignment horizontal="center" vertical="center"/>
    </xf>
    <xf numFmtId="0" fontId="78" fillId="3" borderId="30" xfId="0" applyFont="1" applyFill="1" applyBorder="1" applyAlignment="1">
      <alignment horizontal="center"/>
    </xf>
    <xf numFmtId="0" fontId="78" fillId="3" borderId="34" xfId="0" applyFont="1" applyFill="1" applyBorder="1" applyAlignment="1">
      <alignment horizontal="center"/>
    </xf>
    <xf numFmtId="0" fontId="78" fillId="3" borderId="31" xfId="0" applyFont="1" applyFill="1" applyBorder="1" applyAlignment="1">
      <alignment horizontal="center"/>
    </xf>
    <xf numFmtId="0" fontId="77" fillId="3" borderId="36" xfId="0" applyFont="1" applyFill="1" applyBorder="1" applyAlignment="1">
      <alignment horizontal="center"/>
    </xf>
    <xf numFmtId="0" fontId="77" fillId="3" borderId="37" xfId="0" applyFont="1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165" fontId="98" fillId="2" borderId="63" xfId="0" applyNumberFormat="1" applyFont="1" applyFill="1" applyBorder="1" applyAlignment="1">
      <alignment horizontal="center" vertical="center"/>
    </xf>
    <xf numFmtId="165" fontId="98" fillId="2" borderId="65" xfId="0" applyNumberFormat="1" applyFont="1" applyFill="1" applyBorder="1" applyAlignment="1">
      <alignment horizontal="center" vertical="center"/>
    </xf>
    <xf numFmtId="165" fontId="98" fillId="2" borderId="86" xfId="0" applyNumberFormat="1" applyFont="1" applyFill="1" applyBorder="1" applyAlignment="1">
      <alignment horizontal="center" vertical="center"/>
    </xf>
    <xf numFmtId="14" fontId="98" fillId="2" borderId="1" xfId="0" applyNumberFormat="1" applyFont="1" applyFill="1" applyBorder="1" applyAlignment="1">
      <alignment horizontal="center" vertical="center"/>
    </xf>
    <xf numFmtId="14" fontId="98" fillId="2" borderId="4" xfId="0" applyNumberFormat="1" applyFont="1" applyFill="1" applyBorder="1" applyAlignment="1">
      <alignment horizontal="center" vertical="center"/>
    </xf>
    <xf numFmtId="14" fontId="98" fillId="2" borderId="13" xfId="0" applyNumberFormat="1" applyFont="1" applyFill="1" applyBorder="1" applyAlignment="1">
      <alignment horizontal="center" vertical="center"/>
    </xf>
    <xf numFmtId="14" fontId="98" fillId="2" borderId="14" xfId="0" applyNumberFormat="1" applyFont="1" applyFill="1" applyBorder="1" applyAlignment="1">
      <alignment horizontal="center" vertical="center"/>
    </xf>
    <xf numFmtId="165" fontId="98" fillId="2" borderId="6" xfId="0" applyNumberFormat="1" applyFont="1" applyFill="1" applyBorder="1" applyAlignment="1">
      <alignment horizontal="center" vertical="center"/>
    </xf>
    <xf numFmtId="0" fontId="98" fillId="2" borderId="16" xfId="0" applyFont="1" applyFill="1" applyBorder="1" applyAlignment="1">
      <alignment horizontal="center" vertical="center"/>
    </xf>
    <xf numFmtId="165" fontId="98" fillId="2" borderId="5" xfId="0" applyNumberFormat="1" applyFont="1" applyFill="1" applyBorder="1" applyAlignment="1">
      <alignment horizontal="center" vertical="center"/>
    </xf>
    <xf numFmtId="165" fontId="98" fillId="2" borderId="15" xfId="0" applyNumberFormat="1" applyFont="1" applyFill="1" applyBorder="1" applyAlignment="1">
      <alignment horizontal="center" vertical="center"/>
    </xf>
    <xf numFmtId="14" fontId="98" fillId="2" borderId="18" xfId="0" applyNumberFormat="1" applyFont="1" applyFill="1" applyBorder="1" applyAlignment="1">
      <alignment horizontal="center" vertical="center"/>
    </xf>
    <xf numFmtId="14" fontId="98" fillId="2" borderId="19" xfId="0" applyNumberFormat="1" applyFont="1" applyFill="1" applyBorder="1" applyAlignment="1">
      <alignment horizontal="center" vertical="center"/>
    </xf>
    <xf numFmtId="165" fontId="98" fillId="2" borderId="0" xfId="0" applyNumberFormat="1" applyFont="1" applyFill="1" applyAlignment="1">
      <alignment horizontal="center" vertical="center"/>
    </xf>
    <xf numFmtId="0" fontId="98" fillId="2" borderId="53" xfId="0" applyFont="1" applyFill="1" applyBorder="1" applyAlignment="1">
      <alignment horizontal="center" vertical="center"/>
    </xf>
    <xf numFmtId="14" fontId="98" fillId="17" borderId="1" xfId="0" applyNumberFormat="1" applyFont="1" applyFill="1" applyBorder="1" applyAlignment="1">
      <alignment horizontal="center" vertical="center"/>
    </xf>
    <xf numFmtId="14" fontId="98" fillId="17" borderId="4" xfId="0" applyNumberFormat="1" applyFont="1" applyFill="1" applyBorder="1" applyAlignment="1">
      <alignment horizontal="center" vertical="center"/>
    </xf>
    <xf numFmtId="14" fontId="98" fillId="17" borderId="13" xfId="0" applyNumberFormat="1" applyFont="1" applyFill="1" applyBorder="1" applyAlignment="1">
      <alignment horizontal="center" vertical="center"/>
    </xf>
    <xf numFmtId="14" fontId="98" fillId="17" borderId="14" xfId="0" applyNumberFormat="1" applyFont="1" applyFill="1" applyBorder="1" applyAlignment="1">
      <alignment horizontal="center" vertical="center"/>
    </xf>
    <xf numFmtId="165" fontId="98" fillId="17" borderId="5" xfId="0" applyNumberFormat="1" applyFont="1" applyFill="1" applyBorder="1" applyAlignment="1">
      <alignment horizontal="center" vertical="center"/>
    </xf>
    <xf numFmtId="165" fontId="98" fillId="17" borderId="15" xfId="0" applyNumberFormat="1" applyFont="1" applyFill="1" applyBorder="1" applyAlignment="1">
      <alignment horizontal="center" vertical="center"/>
    </xf>
    <xf numFmtId="0" fontId="93" fillId="3" borderId="18" xfId="0" applyFont="1" applyFill="1" applyBorder="1" applyAlignment="1">
      <alignment horizontal="center" vertical="center"/>
    </xf>
    <xf numFmtId="0" fontId="93" fillId="3" borderId="19" xfId="0" applyFont="1" applyFill="1" applyBorder="1" applyAlignment="1">
      <alignment horizontal="center" vertical="center"/>
    </xf>
    <xf numFmtId="0" fontId="93" fillId="3" borderId="36" xfId="0" applyFont="1" applyFill="1" applyBorder="1" applyAlignment="1">
      <alignment horizontal="center"/>
    </xf>
    <xf numFmtId="0" fontId="93" fillId="3" borderId="55" xfId="0" applyFont="1" applyFill="1" applyBorder="1" applyAlignment="1">
      <alignment horizontal="center"/>
    </xf>
    <xf numFmtId="0" fontId="93" fillId="3" borderId="56" xfId="0" applyFont="1" applyFill="1" applyBorder="1" applyAlignment="1">
      <alignment horizontal="center"/>
    </xf>
    <xf numFmtId="165" fontId="98" fillId="2" borderId="21" xfId="0" applyNumberFormat="1" applyFont="1" applyFill="1" applyBorder="1" applyAlignment="1">
      <alignment horizontal="center" vertical="center"/>
    </xf>
    <xf numFmtId="14" fontId="93" fillId="4" borderId="18" xfId="0" applyNumberFormat="1" applyFont="1" applyFill="1" applyBorder="1" applyAlignment="1">
      <alignment horizontal="center" vertical="center"/>
    </xf>
    <xf numFmtId="14" fontId="93" fillId="4" borderId="19" xfId="0" applyNumberFormat="1" applyFont="1" applyFill="1" applyBorder="1" applyAlignment="1">
      <alignment horizontal="center" vertical="center"/>
    </xf>
    <xf numFmtId="0" fontId="93" fillId="4" borderId="24" xfId="0" applyFont="1" applyFill="1" applyBorder="1" applyAlignment="1">
      <alignment horizontal="center"/>
    </xf>
    <xf numFmtId="0" fontId="93" fillId="4" borderId="17" xfId="0" applyFont="1" applyFill="1" applyBorder="1" applyAlignment="1">
      <alignment horizontal="center"/>
    </xf>
    <xf numFmtId="0" fontId="98" fillId="2" borderId="20" xfId="0" applyFont="1" applyFill="1" applyBorder="1" applyAlignment="1">
      <alignment horizontal="left" wrapText="1"/>
    </xf>
    <xf numFmtId="0" fontId="98" fillId="2" borderId="28" xfId="0" applyFont="1" applyFill="1" applyBorder="1" applyAlignment="1">
      <alignment horizontal="left" wrapText="1"/>
    </xf>
    <xf numFmtId="0" fontId="102" fillId="2" borderId="18" xfId="0" applyFont="1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0" fontId="102" fillId="2" borderId="67" xfId="0" applyFont="1" applyFill="1" applyBorder="1" applyAlignment="1">
      <alignment horizontal="center"/>
    </xf>
    <xf numFmtId="0" fontId="102" fillId="2" borderId="13" xfId="0" applyFont="1" applyFill="1" applyBorder="1" applyAlignment="1">
      <alignment horizontal="center"/>
    </xf>
    <xf numFmtId="0" fontId="102" fillId="2" borderId="51" xfId="0" applyFont="1" applyFill="1" applyBorder="1" applyAlignment="1">
      <alignment horizontal="center"/>
    </xf>
    <xf numFmtId="0" fontId="102" fillId="2" borderId="26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104" fillId="2" borderId="67" xfId="0" applyFont="1" applyFill="1" applyBorder="1" applyAlignment="1">
      <alignment horizontal="center"/>
    </xf>
    <xf numFmtId="0" fontId="104" fillId="2" borderId="13" xfId="0" applyFont="1" applyFill="1" applyBorder="1" applyAlignment="1">
      <alignment horizontal="center"/>
    </xf>
    <xf numFmtId="0" fontId="104" fillId="2" borderId="51" xfId="0" applyFont="1" applyFill="1" applyBorder="1" applyAlignment="1">
      <alignment horizontal="center"/>
    </xf>
    <xf numFmtId="0" fontId="104" fillId="2" borderId="26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78" fillId="18" borderId="0" xfId="0" applyFont="1" applyFill="1" applyAlignment="1">
      <alignment horizont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21" xfId="0" applyFont="1" applyFill="1" applyBorder="1" applyAlignment="1">
      <alignment horizontal="center" vertical="center"/>
    </xf>
    <xf numFmtId="0" fontId="100" fillId="23" borderId="28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2" borderId="21" xfId="0" applyFont="1" applyFill="1" applyBorder="1" applyAlignment="1">
      <alignment horizontal="center" vertical="center"/>
    </xf>
    <xf numFmtId="0" fontId="100" fillId="22" borderId="28" xfId="0" applyFont="1" applyFill="1" applyBorder="1" applyAlignment="1">
      <alignment horizontal="center" vertical="center"/>
    </xf>
    <xf numFmtId="0" fontId="93" fillId="17" borderId="20" xfId="0" applyFont="1" applyFill="1" applyBorder="1" applyAlignment="1">
      <alignment horizontal="center" vertical="center"/>
    </xf>
    <xf numFmtId="0" fontId="93" fillId="17" borderId="21" xfId="0" applyFont="1" applyFill="1" applyBorder="1" applyAlignment="1">
      <alignment horizontal="center" vertical="center"/>
    </xf>
    <xf numFmtId="0" fontId="93" fillId="17" borderId="28" xfId="0" applyFont="1" applyFill="1" applyBorder="1" applyAlignment="1">
      <alignment horizontal="center" vertical="center"/>
    </xf>
    <xf numFmtId="0" fontId="97" fillId="17" borderId="20" xfId="0" applyFont="1" applyFill="1" applyBorder="1" applyAlignment="1">
      <alignment horizontal="center" vertical="center"/>
    </xf>
    <xf numFmtId="0" fontId="97" fillId="17" borderId="21" xfId="0" applyFont="1" applyFill="1" applyBorder="1" applyAlignment="1">
      <alignment horizontal="center" vertical="center"/>
    </xf>
    <xf numFmtId="0" fontId="97" fillId="17" borderId="28" xfId="0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 vertical="center"/>
    </xf>
    <xf numFmtId="0" fontId="108" fillId="22" borderId="21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14" fontId="60" fillId="19" borderId="12" xfId="0" applyNumberFormat="1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60" fillId="23" borderId="73" xfId="0" applyNumberFormat="1" applyFont="1" applyFill="1" applyBorder="1" applyAlignment="1">
      <alignment horizontal="center" vertical="center"/>
    </xf>
    <xf numFmtId="14" fontId="77" fillId="23" borderId="74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0" fillId="22" borderId="28" xfId="0" applyNumberFormat="1" applyFont="1" applyFill="1" applyBorder="1" applyAlignment="1">
      <alignment horizontal="center" vertical="center"/>
    </xf>
    <xf numFmtId="14" fontId="77" fillId="22" borderId="28" xfId="0" applyNumberFormat="1" applyFont="1" applyFill="1" applyBorder="1" applyAlignment="1">
      <alignment horizontal="center" vertical="center"/>
    </xf>
    <xf numFmtId="0" fontId="100" fillId="23" borderId="34" xfId="0" applyFont="1" applyFill="1" applyBorder="1" applyAlignment="1">
      <alignment horizontal="center" vertical="center"/>
    </xf>
    <xf numFmtId="0" fontId="100" fillId="23" borderId="0" xfId="0" applyFont="1" applyFill="1" applyAlignment="1">
      <alignment horizontal="center" vertical="center"/>
    </xf>
    <xf numFmtId="0" fontId="100" fillId="23" borderId="77" xfId="0" applyFont="1" applyFill="1" applyBorder="1" applyAlignment="1">
      <alignment horizontal="center" vertical="center"/>
    </xf>
    <xf numFmtId="0" fontId="100" fillId="23" borderId="30" xfId="0" applyFont="1" applyFill="1" applyBorder="1" applyAlignment="1">
      <alignment horizontal="center" vertical="center"/>
    </xf>
    <xf numFmtId="0" fontId="100" fillId="23" borderId="22" xfId="0" applyFont="1" applyFill="1" applyBorder="1" applyAlignment="1">
      <alignment horizontal="center" vertical="center"/>
    </xf>
    <xf numFmtId="0" fontId="100" fillId="23" borderId="32" xfId="0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14" fontId="60" fillId="23" borderId="69" xfId="0" applyNumberFormat="1" applyFont="1" applyFill="1" applyBorder="1" applyAlignment="1">
      <alignment horizontal="center" vertical="center"/>
    </xf>
    <xf numFmtId="14" fontId="77" fillId="23" borderId="70" xfId="0" applyNumberFormat="1" applyFont="1" applyFill="1" applyBorder="1" applyAlignment="1">
      <alignment horizontal="center" vertical="center"/>
    </xf>
    <xf numFmtId="14" fontId="60" fillId="23" borderId="28" xfId="0" applyNumberFormat="1" applyFont="1" applyFill="1" applyBorder="1" applyAlignment="1">
      <alignment horizontal="center" vertical="center"/>
    </xf>
    <xf numFmtId="14" fontId="77" fillId="23" borderId="28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4" fontId="60" fillId="23" borderId="75" xfId="0" applyNumberFormat="1" applyFont="1" applyFill="1" applyBorder="1" applyAlignment="1">
      <alignment horizontal="center" vertical="center"/>
    </xf>
    <xf numFmtId="14" fontId="77" fillId="23" borderId="76" xfId="0" applyNumberFormat="1" applyFont="1" applyFill="1" applyBorder="1" applyAlignment="1">
      <alignment horizontal="center" vertical="center"/>
    </xf>
    <xf numFmtId="0" fontId="78" fillId="3" borderId="22" xfId="0" applyFont="1" applyFill="1" applyBorder="1" applyAlignment="1">
      <alignment horizontal="center"/>
    </xf>
    <xf numFmtId="0" fontId="78" fillId="3" borderId="12" xfId="0" applyFont="1" applyFill="1" applyBorder="1" applyAlignment="1">
      <alignment horizontal="center" vertical="center"/>
    </xf>
    <xf numFmtId="9" fontId="78" fillId="19" borderId="12" xfId="2" applyFont="1" applyFill="1" applyBorder="1" applyAlignment="1">
      <alignment horizontal="center" vertical="center"/>
    </xf>
    <xf numFmtId="9" fontId="78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8" fillId="17" borderId="20" xfId="0" applyFont="1" applyFill="1" applyBorder="1" applyAlignment="1">
      <alignment horizontal="center" vertical="center"/>
    </xf>
    <xf numFmtId="0" fontId="108" fillId="17" borderId="21" xfId="0" applyFon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0" fillId="22" borderId="80" xfId="0" applyFont="1" applyFill="1" applyBorder="1" applyAlignment="1">
      <alignment horizontal="center" vertical="center"/>
    </xf>
    <xf numFmtId="0" fontId="100" fillId="22" borderId="30" xfId="0" applyFont="1" applyFill="1" applyBorder="1" applyAlignment="1">
      <alignment horizontal="center" vertical="center"/>
    </xf>
    <xf numFmtId="0" fontId="100" fillId="22" borderId="22" xfId="0" applyFont="1" applyFill="1" applyBorder="1" applyAlignment="1">
      <alignment horizontal="center" vertical="center"/>
    </xf>
    <xf numFmtId="0" fontId="100" fillId="22" borderId="53" xfId="0" applyFont="1" applyFill="1" applyBorder="1" applyAlignment="1">
      <alignment horizontal="center" vertical="center"/>
    </xf>
    <xf numFmtId="0" fontId="93" fillId="19" borderId="20" xfId="0" applyFont="1" applyFill="1" applyBorder="1" applyAlignment="1">
      <alignment horizontal="center" vertical="center"/>
    </xf>
    <xf numFmtId="0" fontId="93" fillId="19" borderId="21" xfId="0" applyFont="1" applyFill="1" applyBorder="1" applyAlignment="1">
      <alignment horizontal="center" vertical="center"/>
    </xf>
    <xf numFmtId="0" fontId="93" fillId="19" borderId="28" xfId="0" applyFont="1" applyFill="1" applyBorder="1" applyAlignment="1">
      <alignment horizontal="center" vertical="center"/>
    </xf>
    <xf numFmtId="0" fontId="100" fillId="19" borderId="20" xfId="0" applyFont="1" applyFill="1" applyBorder="1" applyAlignment="1">
      <alignment horizontal="center" vertical="center"/>
    </xf>
    <xf numFmtId="0" fontId="100" fillId="19" borderId="21" xfId="0" applyFont="1" applyFill="1" applyBorder="1" applyAlignment="1">
      <alignment horizontal="center" vertical="center"/>
    </xf>
    <xf numFmtId="0" fontId="100" fillId="19" borderId="28" xfId="0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 wrapText="1"/>
    </xf>
    <xf numFmtId="0" fontId="100" fillId="23" borderId="21" xfId="0" applyFont="1" applyFill="1" applyBorder="1" applyAlignment="1">
      <alignment horizontal="center" vertical="center" wrapText="1"/>
    </xf>
    <xf numFmtId="0" fontId="100" fillId="23" borderId="28" xfId="0" applyFont="1" applyFill="1" applyBorder="1" applyAlignment="1">
      <alignment horizontal="center" vertical="center" wrapText="1"/>
    </xf>
    <xf numFmtId="0" fontId="82" fillId="17" borderId="20" xfId="0" applyFont="1" applyFill="1" applyBorder="1" applyAlignment="1">
      <alignment horizontal="center" vertical="center"/>
    </xf>
    <xf numFmtId="0" fontId="82" fillId="17" borderId="21" xfId="0" applyFont="1" applyFill="1" applyBorder="1" applyAlignment="1">
      <alignment horizontal="center" vertical="center"/>
    </xf>
    <xf numFmtId="0" fontId="82" fillId="17" borderId="28" xfId="0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center" vertical="center"/>
    </xf>
    <xf numFmtId="0" fontId="93" fillId="22" borderId="21" xfId="0" applyFont="1" applyFill="1" applyBorder="1" applyAlignment="1">
      <alignment horizontal="center" vertical="center"/>
    </xf>
    <xf numFmtId="0" fontId="93" fillId="22" borderId="28" xfId="0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/>
    </xf>
    <xf numFmtId="0" fontId="93" fillId="23" borderId="21" xfId="0" applyFont="1" applyFill="1" applyBorder="1" applyAlignment="1">
      <alignment horizontal="center" vertical="center"/>
    </xf>
    <xf numFmtId="0" fontId="93" fillId="23" borderId="28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93" fillId="19" borderId="67" xfId="0" applyFont="1" applyFill="1" applyBorder="1" applyAlignment="1">
      <alignment horizontal="center" vertical="center"/>
    </xf>
    <xf numFmtId="0" fontId="78" fillId="4" borderId="0" xfId="0" applyFont="1" applyFill="1" applyAlignment="1">
      <alignment horizontal="center"/>
    </xf>
    <xf numFmtId="0" fontId="78" fillId="3" borderId="30" xfId="0" applyFont="1" applyFill="1" applyBorder="1" applyAlignment="1">
      <alignment horizontal="center" vertical="center"/>
    </xf>
    <xf numFmtId="0" fontId="78" fillId="3" borderId="31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46" fillId="23" borderId="74" xfId="0" applyNumberFormat="1" applyFont="1" applyFill="1" applyBorder="1" applyAlignment="1">
      <alignment horizontal="center" vertical="center" wrapText="1"/>
    </xf>
    <xf numFmtId="14" fontId="77" fillId="23" borderId="76" xfId="0" applyNumberFormat="1" applyFont="1" applyFill="1" applyBorder="1" applyAlignment="1">
      <alignment horizontal="center" vertical="center" wrapText="1"/>
    </xf>
    <xf numFmtId="0" fontId="78" fillId="23" borderId="12" xfId="0" applyFont="1" applyFill="1" applyBorder="1" applyAlignment="1">
      <alignment horizontal="center" vertical="center"/>
    </xf>
    <xf numFmtId="0" fontId="78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78" fillId="22" borderId="12" xfId="0" applyNumberFormat="1" applyFont="1" applyFill="1" applyBorder="1" applyAlignment="1">
      <alignment horizontal="center" vertical="center"/>
    </xf>
    <xf numFmtId="14" fontId="77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78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78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7" fillId="23" borderId="73" xfId="0" applyNumberFormat="1" applyFont="1" applyFill="1" applyBorder="1" applyAlignment="1">
      <alignment horizontal="center" vertical="center"/>
    </xf>
    <xf numFmtId="14" fontId="77" fillId="23" borderId="75" xfId="0" applyNumberFormat="1" applyFont="1" applyFill="1" applyBorder="1" applyAlignment="1">
      <alignment horizontal="center" vertical="center"/>
    </xf>
    <xf numFmtId="14" fontId="77" fillId="19" borderId="1" xfId="0" applyNumberFormat="1" applyFont="1" applyFill="1" applyBorder="1" applyAlignment="1">
      <alignment horizontal="center" vertical="center"/>
    </xf>
    <xf numFmtId="14" fontId="77" fillId="19" borderId="4" xfId="0" applyNumberFormat="1" applyFont="1" applyFill="1" applyBorder="1" applyAlignment="1">
      <alignment horizontal="center" vertical="center"/>
    </xf>
    <xf numFmtId="14" fontId="77" fillId="19" borderId="13" xfId="0" applyNumberFormat="1" applyFont="1" applyFill="1" applyBorder="1" applyAlignment="1">
      <alignment horizontal="center" vertical="center"/>
    </xf>
    <xf numFmtId="14" fontId="77" fillId="19" borderId="14" xfId="0" applyNumberFormat="1" applyFont="1" applyFill="1" applyBorder="1" applyAlignment="1">
      <alignment horizontal="center" vertical="center"/>
    </xf>
    <xf numFmtId="14" fontId="77" fillId="22" borderId="1" xfId="0" applyNumberFormat="1" applyFont="1" applyFill="1" applyBorder="1" applyAlignment="1">
      <alignment horizontal="center" vertical="center"/>
    </xf>
    <xf numFmtId="14" fontId="77" fillId="22" borderId="4" xfId="0" applyNumberFormat="1" applyFont="1" applyFill="1" applyBorder="1" applyAlignment="1">
      <alignment horizontal="center" vertical="center"/>
    </xf>
    <xf numFmtId="14" fontId="77" fillId="22" borderId="13" xfId="0" applyNumberFormat="1" applyFont="1" applyFill="1" applyBorder="1" applyAlignment="1">
      <alignment horizontal="center" vertical="center"/>
    </xf>
    <xf numFmtId="14" fontId="77" fillId="22" borderId="14" xfId="0" applyNumberFormat="1" applyFont="1" applyFill="1" applyBorder="1" applyAlignment="1">
      <alignment horizontal="center" vertical="center"/>
    </xf>
    <xf numFmtId="14" fontId="77" fillId="2" borderId="84" xfId="0" applyNumberFormat="1" applyFont="1" applyFill="1" applyBorder="1" applyAlignment="1">
      <alignment horizontal="center" vertical="center"/>
    </xf>
    <xf numFmtId="14" fontId="77" fillId="2" borderId="31" xfId="0" applyNumberFormat="1" applyFont="1" applyFill="1" applyBorder="1" applyAlignment="1">
      <alignment horizontal="center" vertical="center"/>
    </xf>
    <xf numFmtId="14" fontId="77" fillId="22" borderId="84" xfId="0" applyNumberFormat="1" applyFont="1" applyFill="1" applyBorder="1" applyAlignment="1">
      <alignment horizontal="center" vertical="center"/>
    </xf>
    <xf numFmtId="14" fontId="77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77" fillId="23" borderId="1" xfId="0" applyNumberFormat="1" applyFont="1" applyFill="1" applyBorder="1" applyAlignment="1">
      <alignment horizontal="center" vertical="center"/>
    </xf>
    <xf numFmtId="14" fontId="77" fillId="23" borderId="4" xfId="0" applyNumberFormat="1" applyFont="1" applyFill="1" applyBorder="1" applyAlignment="1">
      <alignment horizontal="center" vertical="center"/>
    </xf>
    <xf numFmtId="14" fontId="77" fillId="23" borderId="13" xfId="0" applyNumberFormat="1" applyFont="1" applyFill="1" applyBorder="1" applyAlignment="1">
      <alignment horizontal="center" vertical="center"/>
    </xf>
    <xf numFmtId="14" fontId="77" fillId="23" borderId="14" xfId="0" applyNumberFormat="1" applyFont="1" applyFill="1" applyBorder="1" applyAlignment="1">
      <alignment horizontal="center" vertical="center"/>
    </xf>
    <xf numFmtId="1" fontId="78" fillId="23" borderId="21" xfId="0" applyNumberFormat="1" applyFont="1" applyFill="1" applyBorder="1" applyAlignment="1">
      <alignment horizontal="center" vertical="center"/>
    </xf>
    <xf numFmtId="1" fontId="78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79" fillId="25" borderId="36" xfId="0" applyFont="1" applyFill="1" applyBorder="1" applyAlignment="1">
      <alignment horizontal="center" vertical="center" wrapText="1"/>
    </xf>
    <xf numFmtId="0" fontId="79" fillId="25" borderId="55" xfId="0" applyFont="1" applyFill="1" applyBorder="1" applyAlignment="1">
      <alignment horizontal="center" vertical="center" wrapText="1"/>
    </xf>
    <xf numFmtId="0" fontId="79" fillId="25" borderId="56" xfId="0" applyFont="1" applyFill="1" applyBorder="1" applyAlignment="1">
      <alignment horizontal="center" vertical="center" wrapText="1"/>
    </xf>
    <xf numFmtId="14" fontId="77" fillId="2" borderId="1" xfId="0" applyNumberFormat="1" applyFont="1" applyFill="1" applyBorder="1" applyAlignment="1">
      <alignment horizontal="center" vertical="center"/>
    </xf>
    <xf numFmtId="14" fontId="77" fillId="2" borderId="4" xfId="0" applyNumberFormat="1" applyFont="1" applyFill="1" applyBorder="1" applyAlignment="1">
      <alignment horizontal="center" vertical="center"/>
    </xf>
    <xf numFmtId="14" fontId="77" fillId="2" borderId="13" xfId="0" applyNumberFormat="1" applyFont="1" applyFill="1" applyBorder="1" applyAlignment="1">
      <alignment horizontal="center" vertical="center"/>
    </xf>
    <xf numFmtId="14" fontId="77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77" fillId="2" borderId="18" xfId="0" applyNumberFormat="1" applyFont="1" applyFill="1" applyBorder="1" applyAlignment="1">
      <alignment horizontal="center" vertical="center"/>
    </xf>
    <xf numFmtId="14" fontId="77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0" fontId="78" fillId="2" borderId="20" xfId="0" applyFont="1" applyFill="1" applyBorder="1" applyAlignment="1">
      <alignment horizontal="center" vertical="center"/>
    </xf>
    <xf numFmtId="0" fontId="78" fillId="2" borderId="28" xfId="0" applyFont="1" applyFill="1" applyBorder="1" applyAlignment="1">
      <alignment horizontal="center" vertical="center"/>
    </xf>
    <xf numFmtId="14" fontId="77" fillId="17" borderId="1" xfId="0" applyNumberFormat="1" applyFont="1" applyFill="1" applyBorder="1" applyAlignment="1">
      <alignment horizontal="center" vertical="center"/>
    </xf>
    <xf numFmtId="14" fontId="77" fillId="17" borderId="4" xfId="0" applyNumberFormat="1" applyFont="1" applyFill="1" applyBorder="1" applyAlignment="1">
      <alignment horizontal="center" vertical="center"/>
    </xf>
    <xf numFmtId="14" fontId="77" fillId="17" borderId="13" xfId="0" applyNumberFormat="1" applyFont="1" applyFill="1" applyBorder="1" applyAlignment="1">
      <alignment horizontal="center" vertical="center"/>
    </xf>
    <xf numFmtId="14" fontId="77" fillId="17" borderId="14" xfId="0" applyNumberFormat="1" applyFont="1" applyFill="1" applyBorder="1" applyAlignment="1">
      <alignment horizontal="center" vertical="center"/>
    </xf>
    <xf numFmtId="0" fontId="93" fillId="17" borderId="67" xfId="0" applyFont="1" applyFill="1" applyBorder="1" applyAlignment="1">
      <alignment horizontal="center" vertical="center"/>
    </xf>
    <xf numFmtId="0" fontId="78" fillId="19" borderId="67" xfId="0" applyFont="1" applyFill="1" applyBorder="1" applyAlignment="1">
      <alignment horizontal="center" vertical="center"/>
    </xf>
    <xf numFmtId="0" fontId="78" fillId="23" borderId="67" xfId="0" applyFont="1" applyFill="1" applyBorder="1" applyAlignment="1">
      <alignment horizontal="center" vertical="center"/>
    </xf>
    <xf numFmtId="0" fontId="78" fillId="22" borderId="67" xfId="0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0" fontId="78" fillId="17" borderId="67" xfId="0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78" fillId="18" borderId="57" xfId="0" applyFont="1" applyFill="1" applyBorder="1" applyAlignment="1">
      <alignment horizontal="center"/>
    </xf>
    <xf numFmtId="0" fontId="78" fillId="18" borderId="10" xfId="0" applyFont="1" applyFill="1" applyBorder="1" applyAlignment="1">
      <alignment horizontal="center"/>
    </xf>
    <xf numFmtId="0" fontId="7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88" fillId="16" borderId="36" xfId="0" applyFont="1" applyFill="1" applyBorder="1" applyAlignment="1">
      <alignment horizontal="center"/>
    </xf>
    <xf numFmtId="0" fontId="88" fillId="16" borderId="55" xfId="0" applyFont="1" applyFill="1" applyBorder="1" applyAlignment="1">
      <alignment horizontal="center"/>
    </xf>
    <xf numFmtId="0" fontId="88" fillId="16" borderId="56" xfId="0" applyFont="1" applyFill="1" applyBorder="1" applyAlignment="1">
      <alignment horizontal="center"/>
    </xf>
    <xf numFmtId="0" fontId="78" fillId="4" borderId="18" xfId="0" applyFont="1" applyFill="1" applyBorder="1" applyAlignment="1">
      <alignment horizontal="center"/>
    </xf>
    <xf numFmtId="0" fontId="78" fillId="4" borderId="67" xfId="0" applyFont="1" applyFill="1" applyBorder="1" applyAlignment="1">
      <alignment horizontal="center"/>
    </xf>
    <xf numFmtId="0" fontId="93" fillId="4" borderId="0" xfId="0" applyFont="1" applyFill="1" applyAlignment="1">
      <alignment horizontal="center"/>
    </xf>
    <xf numFmtId="14" fontId="77" fillId="2" borderId="32" xfId="0" applyNumberFormat="1" applyFont="1" applyFill="1" applyBorder="1" applyAlignment="1">
      <alignment horizontal="center" vertical="center"/>
    </xf>
    <xf numFmtId="0" fontId="92" fillId="4" borderId="1" xfId="0" applyFont="1" applyFill="1" applyBorder="1" applyAlignment="1">
      <alignment horizontal="center" vertical="center"/>
    </xf>
    <xf numFmtId="0" fontId="92" fillId="4" borderId="2" xfId="0" applyFont="1" applyFill="1" applyBorder="1" applyAlignment="1">
      <alignment horizontal="center" vertical="center"/>
    </xf>
    <xf numFmtId="0" fontId="92" fillId="4" borderId="3" xfId="0" applyFont="1" applyFill="1" applyBorder="1" applyAlignment="1">
      <alignment horizontal="center" vertical="center"/>
    </xf>
    <xf numFmtId="0" fontId="92" fillId="4" borderId="13" xfId="0" applyFont="1" applyFill="1" applyBorder="1" applyAlignment="1">
      <alignment horizontal="center" vertical="center"/>
    </xf>
    <xf numFmtId="0" fontId="92" fillId="4" borderId="51" xfId="0" applyFont="1" applyFill="1" applyBorder="1" applyAlignment="1">
      <alignment horizontal="center" vertical="center"/>
    </xf>
    <xf numFmtId="0" fontId="92" fillId="4" borderId="26" xfId="0" applyFont="1" applyFill="1" applyBorder="1" applyAlignment="1">
      <alignment horizontal="center" vertical="center"/>
    </xf>
    <xf numFmtId="0" fontId="83" fillId="8" borderId="12" xfId="0" applyFont="1" applyFill="1" applyBorder="1" applyAlignment="1">
      <alignment horizontal="center" vertical="center"/>
    </xf>
    <xf numFmtId="0" fontId="83" fillId="8" borderId="20" xfId="0" applyFont="1" applyFill="1" applyBorder="1" applyAlignment="1">
      <alignment horizontal="center" vertical="center"/>
    </xf>
    <xf numFmtId="0" fontId="83" fillId="8" borderId="21" xfId="0" applyFont="1" applyFill="1" applyBorder="1" applyAlignment="1">
      <alignment horizontal="center" vertical="center"/>
    </xf>
    <xf numFmtId="0" fontId="83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4" fillId="2" borderId="20" xfId="0" applyFont="1" applyFill="1" applyBorder="1" applyAlignment="1">
      <alignment horizontal="center"/>
    </xf>
    <xf numFmtId="0" fontId="84" fillId="2" borderId="21" xfId="0" applyFont="1" applyFill="1" applyBorder="1" applyAlignment="1">
      <alignment horizontal="center"/>
    </xf>
    <xf numFmtId="0" fontId="84" fillId="2" borderId="28" xfId="0" applyFont="1" applyFill="1" applyBorder="1" applyAlignment="1">
      <alignment horizontal="center"/>
    </xf>
    <xf numFmtId="0" fontId="83" fillId="2" borderId="59" xfId="0" applyFont="1" applyFill="1" applyBorder="1" applyAlignment="1">
      <alignment horizontal="center" vertical="top" wrapText="1"/>
    </xf>
    <xf numFmtId="0" fontId="83" fillId="2" borderId="61" xfId="0" applyFont="1" applyFill="1" applyBorder="1" applyAlignment="1">
      <alignment horizontal="center" vertical="top" wrapText="1"/>
    </xf>
    <xf numFmtId="0" fontId="83" fillId="2" borderId="62" xfId="0" applyFont="1" applyFill="1" applyBorder="1" applyAlignment="1">
      <alignment horizontal="center" vertical="top" wrapText="1"/>
    </xf>
    <xf numFmtId="0" fontId="83" fillId="2" borderId="63" xfId="0" applyFont="1" applyFill="1" applyBorder="1" applyAlignment="1">
      <alignment horizontal="center" vertical="top" wrapText="1"/>
    </xf>
    <xf numFmtId="0" fontId="83" fillId="2" borderId="64" xfId="0" applyFont="1" applyFill="1" applyBorder="1" applyAlignment="1">
      <alignment horizontal="center" vertical="top" wrapText="1"/>
    </xf>
    <xf numFmtId="0" fontId="8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3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4" fillId="2" borderId="12" xfId="0" applyFont="1" applyFill="1" applyBorder="1"/>
    <xf numFmtId="14" fontId="83" fillId="7" borderId="12" xfId="0" applyNumberFormat="1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 vertical="center"/>
    </xf>
    <xf numFmtId="14" fontId="83" fillId="7" borderId="20" xfId="0" applyNumberFormat="1" applyFont="1" applyFill="1" applyBorder="1" applyAlignment="1">
      <alignment horizontal="center" vertical="center"/>
    </xf>
    <xf numFmtId="14" fontId="83" fillId="7" borderId="21" xfId="0" applyNumberFormat="1" applyFont="1" applyFill="1" applyBorder="1" applyAlignment="1">
      <alignment horizontal="center" vertical="center"/>
    </xf>
    <xf numFmtId="0" fontId="78" fillId="10" borderId="12" xfId="0" applyFont="1" applyFill="1" applyBorder="1" applyAlignment="1">
      <alignment horizontal="center"/>
    </xf>
    <xf numFmtId="14" fontId="83" fillId="7" borderId="57" xfId="0" applyNumberFormat="1" applyFont="1" applyFill="1" applyBorder="1" applyAlignment="1">
      <alignment horizontal="center" vertical="center"/>
    </xf>
    <xf numFmtId="14" fontId="83" fillId="7" borderId="60" xfId="0" applyNumberFormat="1" applyFont="1" applyFill="1" applyBorder="1" applyAlignment="1">
      <alignment horizontal="center" vertical="center"/>
    </xf>
    <xf numFmtId="14" fontId="83" fillId="7" borderId="24" xfId="0" applyNumberFormat="1" applyFont="1" applyFill="1" applyBorder="1" applyAlignment="1">
      <alignment horizontal="center" vertical="center"/>
    </xf>
    <xf numFmtId="14" fontId="8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4" fillId="2" borderId="20" xfId="0" applyFont="1" applyFill="1" applyBorder="1" applyAlignment="1">
      <alignment horizontal="center" vertical="center"/>
    </xf>
    <xf numFmtId="0" fontId="84" fillId="2" borderId="21" xfId="0" applyFont="1" applyFill="1" applyBorder="1" applyAlignment="1">
      <alignment horizontal="center" vertical="center"/>
    </xf>
    <xf numFmtId="0" fontId="84" fillId="2" borderId="28" xfId="0" applyFont="1" applyFill="1" applyBorder="1" applyAlignment="1">
      <alignment horizontal="center" vertical="center"/>
    </xf>
    <xf numFmtId="0" fontId="85" fillId="11" borderId="7" xfId="0" applyFont="1" applyFill="1" applyBorder="1" applyAlignment="1">
      <alignment horizontal="center" vertical="center"/>
    </xf>
    <xf numFmtId="0" fontId="85" fillId="11" borderId="29" xfId="0" applyFont="1" applyFill="1" applyBorder="1" applyAlignment="1">
      <alignment horizontal="center" vertical="center"/>
    </xf>
    <xf numFmtId="0" fontId="85" fillId="11" borderId="8" xfId="0" applyFont="1" applyFill="1" applyBorder="1" applyAlignment="1">
      <alignment horizontal="center" vertical="center"/>
    </xf>
    <xf numFmtId="20" fontId="85" fillId="11" borderId="7" xfId="0" applyNumberFormat="1" applyFont="1" applyFill="1" applyBorder="1" applyAlignment="1">
      <alignment horizontal="center" vertical="center"/>
    </xf>
    <xf numFmtId="20" fontId="85" fillId="11" borderId="29" xfId="0" applyNumberFormat="1" applyFont="1" applyFill="1" applyBorder="1" applyAlignment="1">
      <alignment horizontal="center" vertical="center"/>
    </xf>
    <xf numFmtId="20" fontId="85" fillId="11" borderId="8" xfId="0" applyNumberFormat="1" applyFont="1" applyFill="1" applyBorder="1" applyAlignment="1">
      <alignment horizontal="center" vertical="center"/>
    </xf>
    <xf numFmtId="20" fontId="87" fillId="10" borderId="7" xfId="0" applyNumberFormat="1" applyFont="1" applyFill="1" applyBorder="1" applyAlignment="1">
      <alignment horizontal="center"/>
    </xf>
    <xf numFmtId="20" fontId="87" fillId="10" borderId="29" xfId="0" applyNumberFormat="1" applyFont="1" applyFill="1" applyBorder="1" applyAlignment="1">
      <alignment horizontal="center"/>
    </xf>
    <xf numFmtId="20" fontId="87" fillId="10" borderId="8" xfId="0" applyNumberFormat="1" applyFont="1" applyFill="1" applyBorder="1" applyAlignment="1">
      <alignment horizontal="center"/>
    </xf>
    <xf numFmtId="14" fontId="83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78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6" fillId="23" borderId="5" xfId="0" applyNumberFormat="1" applyFont="1" applyFill="1" applyBorder="1" applyAlignment="1">
      <alignment horizontal="center" vertical="center" wrapText="1"/>
    </xf>
    <xf numFmtId="14" fontId="7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77" fillId="23" borderId="18" xfId="0" applyNumberFormat="1" applyFont="1" applyFill="1" applyBorder="1" applyAlignment="1">
      <alignment horizontal="center" vertical="center"/>
    </xf>
    <xf numFmtId="14" fontId="77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77" fillId="23" borderId="36" xfId="0" applyNumberFormat="1" applyFont="1" applyFill="1" applyBorder="1" applyAlignment="1">
      <alignment horizontal="center" vertical="center"/>
    </xf>
    <xf numFmtId="14" fontId="77" fillId="23" borderId="37" xfId="0" applyNumberFormat="1" applyFont="1" applyFill="1" applyBorder="1" applyAlignment="1">
      <alignment horizontal="center" vertical="center"/>
    </xf>
    <xf numFmtId="14" fontId="77" fillId="0" borderId="30" xfId="0" applyNumberFormat="1" applyFont="1" applyBorder="1" applyAlignment="1">
      <alignment horizontal="center" vertical="center"/>
    </xf>
    <xf numFmtId="14" fontId="77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5275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1.4615869033186912</c:v>
                </c:pt>
                <c:pt idx="1">
                  <c:v>1.1498740566393495</c:v>
                </c:pt>
                <c:pt idx="2">
                  <c:v>0.831234257811578</c:v>
                </c:pt>
                <c:pt idx="3">
                  <c:v>6.9269521484298172E-2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09" t="s">
        <v>337</v>
      </c>
      <c r="D3" s="1209"/>
      <c r="E3" s="1209"/>
      <c r="F3" s="1209"/>
      <c r="G3" s="1209"/>
      <c r="H3" s="1209"/>
      <c r="L3" s="1209" t="s">
        <v>337</v>
      </c>
      <c r="M3" s="1209"/>
      <c r="N3" s="1209"/>
      <c r="O3" s="1209"/>
      <c r="P3" s="1209"/>
      <c r="Q3" s="1209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13" t="s">
        <v>124</v>
      </c>
      <c r="I1" s="1213"/>
      <c r="J1" s="1213"/>
      <c r="K1" s="1213"/>
      <c r="L1" s="1213"/>
      <c r="M1" s="1213"/>
      <c r="N1" s="1213"/>
      <c r="O1" s="1213"/>
      <c r="P1" s="1213"/>
      <c r="Q1" s="1213"/>
      <c r="R1" s="1213"/>
      <c r="S1" s="1213"/>
      <c r="T1" s="1213"/>
      <c r="U1" s="1213"/>
      <c r="V1" s="1213"/>
      <c r="W1" s="1213"/>
      <c r="X1" s="1213"/>
      <c r="Y1" s="1213"/>
      <c r="Z1" s="1213"/>
      <c r="AA1" s="1213"/>
      <c r="AB1" s="1213"/>
      <c r="AC1" s="1213"/>
      <c r="AD1" s="1213"/>
      <c r="AE1" s="1213"/>
      <c r="AF1" s="1213"/>
      <c r="AG1" s="1213"/>
      <c r="AH1" s="1213"/>
      <c r="AI1" s="1213"/>
      <c r="AJ1" s="1213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14" t="s">
        <v>125</v>
      </c>
      <c r="I2" s="1214"/>
      <c r="J2" s="1214"/>
      <c r="K2" s="1214"/>
      <c r="L2" s="1214"/>
      <c r="M2" s="1214"/>
      <c r="N2" s="1214"/>
      <c r="O2" s="1214"/>
      <c r="P2" s="1214"/>
      <c r="Q2" s="1214"/>
      <c r="R2" s="1214"/>
      <c r="S2" s="1214"/>
      <c r="T2" s="1214"/>
      <c r="U2" s="1214"/>
      <c r="V2" s="1214"/>
      <c r="W2" s="1214"/>
      <c r="X2" s="1214"/>
      <c r="Y2" s="1214"/>
      <c r="Z2" s="1214"/>
      <c r="AA2" s="1214"/>
      <c r="AB2" s="1214"/>
      <c r="AC2" s="1214"/>
      <c r="AD2" s="1214"/>
      <c r="AE2" s="1214"/>
      <c r="AF2" s="1214"/>
      <c r="AG2" s="1214"/>
      <c r="AH2" s="1214"/>
      <c r="AI2" s="1214"/>
      <c r="AJ2" s="1214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19" t="s">
        <v>72</v>
      </c>
      <c r="C5" s="1221" t="s">
        <v>73</v>
      </c>
      <c r="D5" s="1211"/>
      <c r="E5" s="1211"/>
      <c r="F5" s="1211"/>
      <c r="G5" s="1211"/>
      <c r="H5" s="1212"/>
      <c r="I5" s="1222" t="s">
        <v>431</v>
      </c>
      <c r="J5" s="1222" t="s">
        <v>320</v>
      </c>
      <c r="K5" s="1210" t="s">
        <v>74</v>
      </c>
      <c r="L5" s="1211"/>
      <c r="M5" s="1211"/>
      <c r="N5" s="1219" t="s">
        <v>75</v>
      </c>
      <c r="O5" s="1215" t="s">
        <v>177</v>
      </c>
      <c r="P5" s="1215"/>
      <c r="Q5" s="1215"/>
      <c r="R5" s="1215"/>
      <c r="S5" s="1215"/>
      <c r="T5" s="1215"/>
      <c r="U5" s="1215"/>
      <c r="V5" s="1215"/>
      <c r="W5" s="1215"/>
      <c r="X5" s="1215"/>
      <c r="Y5" s="1216"/>
      <c r="Z5" s="1210" t="s">
        <v>76</v>
      </c>
      <c r="AA5" s="1217"/>
      <c r="AB5" s="1217"/>
      <c r="AC5" s="1217"/>
      <c r="AD5" s="1217"/>
      <c r="AE5" s="1217"/>
      <c r="AF5" s="1217"/>
      <c r="AG5" s="1218"/>
      <c r="AH5" s="1210" t="s">
        <v>77</v>
      </c>
      <c r="AI5" s="1212"/>
      <c r="AJ5" s="1210" t="s">
        <v>78</v>
      </c>
      <c r="AK5" s="1211"/>
      <c r="AL5" s="1211"/>
      <c r="AM5" s="1211"/>
      <c r="AN5" s="1211"/>
      <c r="AO5" s="1212"/>
      <c r="AP5" s="1210" t="s">
        <v>79</v>
      </c>
      <c r="AQ5" s="1212"/>
      <c r="AR5" s="75"/>
      <c r="AS5" s="85" t="s">
        <v>80</v>
      </c>
    </row>
    <row r="6" spans="1:45" ht="29.4" thickBot="1" x14ac:dyDescent="0.35">
      <c r="A6" s="84"/>
      <c r="B6" s="1220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20"/>
      <c r="J6" s="1224"/>
      <c r="K6" s="86" t="s">
        <v>86</v>
      </c>
      <c r="L6" s="86" t="s">
        <v>87</v>
      </c>
      <c r="M6" s="86" t="s">
        <v>126</v>
      </c>
      <c r="N6" s="1223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6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6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6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6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6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6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6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6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6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6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6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6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6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6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6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6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6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6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6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6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6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6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6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6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6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6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6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6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6" t="str">
        <f t="shared" si="4"/>
        <v/>
      </c>
      <c r="V35" s="91"/>
      <c r="W35" s="91"/>
      <c r="X35" s="91"/>
      <c r="Y35" s="1057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8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6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7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6" t="str">
        <f t="shared" si="4"/>
        <v/>
      </c>
      <c r="V37" s="652"/>
      <c r="W37" s="652"/>
      <c r="X37" s="652"/>
      <c r="Y37" s="1058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61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6" t="str">
        <f t="shared" si="4"/>
        <v/>
      </c>
      <c r="V38" s="95"/>
      <c r="W38" s="95"/>
      <c r="X38" s="95"/>
      <c r="Y38" s="1059"/>
      <c r="Z38" s="215">
        <f>'Reagent Consumption'!O54</f>
        <v>0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2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6" t="str">
        <f t="shared" si="4"/>
        <v/>
      </c>
      <c r="V39" s="95"/>
      <c r="W39" s="95"/>
      <c r="X39" s="95"/>
      <c r="Y39" s="1059"/>
      <c r="Z39" s="215">
        <f>'Reagent Consumption'!O55</f>
        <v>0</v>
      </c>
      <c r="AA39" s="213">
        <f>'Fuel Consumption'!D36</f>
        <v>2232</v>
      </c>
      <c r="AB39" s="215">
        <f>'Reagent Consumption'!Q55</f>
        <v>0</v>
      </c>
      <c r="AC39" s="215">
        <f>'Reagent Consumption'!P55</f>
        <v>0</v>
      </c>
      <c r="AD39" s="215">
        <f>'Reagent Consumption'!R55</f>
        <v>0</v>
      </c>
      <c r="AE39" s="215">
        <f>'Reagent Consumption'!S55</f>
        <v>0</v>
      </c>
      <c r="AF39" s="215">
        <f>'Reagent Consumption'!T55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2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6" t="str">
        <f t="shared" si="4"/>
        <v/>
      </c>
      <c r="V40" s="95"/>
      <c r="W40" s="95"/>
      <c r="X40" s="95"/>
      <c r="Y40" s="1059"/>
      <c r="Z40" s="215">
        <f>'Reagent Consumption'!O56</f>
        <v>0</v>
      </c>
      <c r="AA40" s="213">
        <f>'Fuel Consumption'!D37</f>
        <v>1968</v>
      </c>
      <c r="AB40" s="215">
        <f>'Reagent Consumption'!Q56</f>
        <v>0</v>
      </c>
      <c r="AC40" s="215">
        <f>'Reagent Consumption'!P56</f>
        <v>0</v>
      </c>
      <c r="AD40" s="215">
        <f>'Reagent Consumption'!R56</f>
        <v>0</v>
      </c>
      <c r="AE40" s="215">
        <f>'Reagent Consumption'!S56</f>
        <v>0</v>
      </c>
      <c r="AF40" s="215">
        <f>'Reagent Consumption'!T56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2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6" t="str">
        <f t="shared" si="4"/>
        <v/>
      </c>
      <c r="V41" s="95"/>
      <c r="W41" s="95"/>
      <c r="X41" s="95"/>
      <c r="Y41" s="1059"/>
      <c r="Z41" s="215">
        <f>'Reagent Consumption'!O57</f>
        <v>0</v>
      </c>
      <c r="AA41" s="213">
        <f>'Fuel Consumption'!D38</f>
        <v>0</v>
      </c>
      <c r="AB41" s="215">
        <f>'Reagent Consumption'!Q57</f>
        <v>0</v>
      </c>
      <c r="AC41" s="215">
        <f>'Reagent Consumption'!P57</f>
        <v>0</v>
      </c>
      <c r="AD41" s="215">
        <f>'Reagent Consumption'!R57</f>
        <v>0</v>
      </c>
      <c r="AE41" s="215">
        <f>'Reagent Consumption'!S57</f>
        <v>0</v>
      </c>
      <c r="AF41" s="215">
        <f>'Reagent Consumption'!T57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2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5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6" t="str">
        <f t="shared" si="4"/>
        <v/>
      </c>
      <c r="V42" s="95"/>
      <c r="W42" s="95"/>
      <c r="X42" s="95"/>
      <c r="Y42" s="1059"/>
      <c r="Z42" s="215">
        <f>'Reagent Consumption'!O58</f>
        <v>0</v>
      </c>
      <c r="AA42" s="213">
        <f>'Fuel Consumption'!D39</f>
        <v>0</v>
      </c>
      <c r="AB42" s="215">
        <f>'Reagent Consumption'!Q58</f>
        <v>0</v>
      </c>
      <c r="AC42" s="215">
        <f>'Reagent Consumption'!P58</f>
        <v>0</v>
      </c>
      <c r="AD42" s="215">
        <f>'Reagent Consumption'!R58</f>
        <v>0</v>
      </c>
      <c r="AE42" s="215">
        <f>'Reagent Consumption'!S58</f>
        <v>0</v>
      </c>
      <c r="AF42" s="215">
        <f>'Reagent Consumption'!T58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2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5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6" t="str">
        <f t="shared" si="4"/>
        <v/>
      </c>
      <c r="V43" s="95"/>
      <c r="W43" s="95"/>
      <c r="X43" s="95"/>
      <c r="Y43" s="1059"/>
      <c r="Z43" s="215">
        <f>'Reagent Consumption'!O59</f>
        <v>0</v>
      </c>
      <c r="AA43" s="213">
        <f>'Fuel Consumption'!D40</f>
        <v>0</v>
      </c>
      <c r="AB43" s="215">
        <f>'Reagent Consumption'!Q59</f>
        <v>0</v>
      </c>
      <c r="AC43" s="215">
        <f>'Reagent Consumption'!P59</f>
        <v>0</v>
      </c>
      <c r="AD43" s="215">
        <f>'Reagent Consumption'!R59</f>
        <v>0</v>
      </c>
      <c r="AE43" s="215">
        <f>'Reagent Consumption'!S59</f>
        <v>0</v>
      </c>
      <c r="AF43" s="215">
        <f>'Reagent Consumption'!T59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2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5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6" t="str">
        <f t="shared" si="4"/>
        <v/>
      </c>
      <c r="V44" s="95"/>
      <c r="W44" s="95"/>
      <c r="X44" s="95"/>
      <c r="Y44" s="1059"/>
      <c r="Z44" s="215">
        <f>'Reagent Consumption'!O60</f>
        <v>0</v>
      </c>
      <c r="AA44" s="213">
        <f>'Fuel Consumption'!D41</f>
        <v>0</v>
      </c>
      <c r="AB44" s="215">
        <f>'Reagent Consumption'!Q60</f>
        <v>0</v>
      </c>
      <c r="AC44" s="215">
        <f>'Reagent Consumption'!P60</f>
        <v>0</v>
      </c>
      <c r="AD44" s="215">
        <f>'Reagent Consumption'!R60</f>
        <v>0</v>
      </c>
      <c r="AE44" s="215">
        <f>'Reagent Consumption'!S60</f>
        <v>0</v>
      </c>
      <c r="AF44" s="215">
        <f>'Reagent Consumption'!T60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2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5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6" t="str">
        <f t="shared" si="4"/>
        <v/>
      </c>
      <c r="V45" s="95"/>
      <c r="W45" s="95"/>
      <c r="X45" s="95"/>
      <c r="Y45" s="1059"/>
      <c r="Z45" s="215">
        <f>'Reagent Consumption'!O61</f>
        <v>0</v>
      </c>
      <c r="AA45" s="213">
        <f>'Fuel Consumption'!D42</f>
        <v>0</v>
      </c>
      <c r="AB45" s="215">
        <f>'Reagent Consumption'!Q61</f>
        <v>0</v>
      </c>
      <c r="AC45" s="215">
        <f>'Reagent Consumption'!P61</f>
        <v>0</v>
      </c>
      <c r="AD45" s="215">
        <f>'Reagent Consumption'!R61</f>
        <v>0</v>
      </c>
      <c r="AE45" s="215">
        <f>'Reagent Consumption'!S61</f>
        <v>0</v>
      </c>
      <c r="AF45" s="215">
        <f>'Reagent Consumption'!T61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2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5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6" t="str">
        <f t="shared" si="4"/>
        <v/>
      </c>
      <c r="V46" s="95"/>
      <c r="W46" s="95"/>
      <c r="X46" s="95"/>
      <c r="Y46" s="1059"/>
      <c r="Z46" s="215">
        <f>'Reagent Consumption'!O62</f>
        <v>0</v>
      </c>
      <c r="AA46" s="213">
        <f>'Fuel Consumption'!D43</f>
        <v>0</v>
      </c>
      <c r="AB46" s="215">
        <f>'Reagent Consumption'!Q62</f>
        <v>0</v>
      </c>
      <c r="AC46" s="215">
        <f>'Reagent Consumption'!P62</f>
        <v>0</v>
      </c>
      <c r="AD46" s="215">
        <f>'Reagent Consumption'!R62</f>
        <v>0</v>
      </c>
      <c r="AE46" s="215">
        <f>'Reagent Consumption'!S62</f>
        <v>0</v>
      </c>
      <c r="AF46" s="215">
        <f>'Reagent Consumption'!T62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2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5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6" t="str">
        <f t="shared" si="4"/>
        <v/>
      </c>
      <c r="V47" s="95"/>
      <c r="W47" s="95"/>
      <c r="X47" s="95"/>
      <c r="Y47" s="1059"/>
      <c r="Z47" s="215">
        <f>'Reagent Consumption'!O63</f>
        <v>0</v>
      </c>
      <c r="AA47" s="213">
        <f>'Fuel Consumption'!D44</f>
        <v>0</v>
      </c>
      <c r="AB47" s="215">
        <f>'Reagent Consumption'!Q63</f>
        <v>0</v>
      </c>
      <c r="AC47" s="215">
        <f>'Reagent Consumption'!P63</f>
        <v>0</v>
      </c>
      <c r="AD47" s="215">
        <f>'Reagent Consumption'!R63</f>
        <v>0</v>
      </c>
      <c r="AE47" s="215">
        <f>'Reagent Consumption'!S63</f>
        <v>0</v>
      </c>
      <c r="AF47" s="215">
        <f>'Reagent Consumption'!T63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2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5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6" t="str">
        <f t="shared" si="4"/>
        <v/>
      </c>
      <c r="V48" s="95"/>
      <c r="W48" s="95"/>
      <c r="X48" s="95"/>
      <c r="Y48" s="1059"/>
      <c r="Z48" s="215">
        <f>'Reagent Consumption'!O64</f>
        <v>0</v>
      </c>
      <c r="AA48" s="213">
        <f>'Fuel Consumption'!D45</f>
        <v>0</v>
      </c>
      <c r="AB48" s="215">
        <f>'Reagent Consumption'!Q64</f>
        <v>0</v>
      </c>
      <c r="AC48" s="215">
        <f>'Reagent Consumption'!P64</f>
        <v>0</v>
      </c>
      <c r="AD48" s="215">
        <f>'Reagent Consumption'!R64</f>
        <v>0</v>
      </c>
      <c r="AE48" s="215">
        <f>'Reagent Consumption'!S64</f>
        <v>0</v>
      </c>
      <c r="AF48" s="215">
        <f>'Reagent Consumption'!T64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2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8">
        <f t="shared" si="12"/>
        <v>0</v>
      </c>
      <c r="F49" s="404"/>
      <c r="G49" s="212">
        <f t="shared" si="10"/>
        <v>0</v>
      </c>
      <c r="H49" s="1049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6" t="str">
        <f t="shared" si="4"/>
        <v/>
      </c>
      <c r="V49" s="404"/>
      <c r="W49" s="404"/>
      <c r="X49" s="404"/>
      <c r="Y49" s="1060"/>
      <c r="Z49" s="215">
        <f>'Reagent Consumption'!O65</f>
        <v>0</v>
      </c>
      <c r="AA49" s="213">
        <f>'Fuel Consumption'!D46</f>
        <v>0</v>
      </c>
      <c r="AB49" s="215">
        <f>'Reagent Consumption'!Q65</f>
        <v>0</v>
      </c>
      <c r="AC49" s="215">
        <f>'Reagent Consumption'!P65</f>
        <v>0</v>
      </c>
      <c r="AD49" s="215">
        <f>'Reagent Consumption'!R65</f>
        <v>0</v>
      </c>
      <c r="AE49" s="215">
        <f>'Reagent Consumption'!S65</f>
        <v>0</v>
      </c>
      <c r="AF49" s="215">
        <f>'Reagent Consumption'!T65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3"/>
      <c r="AQ49" s="404"/>
      <c r="AR49" s="75"/>
      <c r="AS49" s="75"/>
    </row>
    <row r="50" spans="1:45" ht="14.4" x14ac:dyDescent="0.3">
      <c r="A50" s="75"/>
      <c r="B50" s="1047">
        <v>46291</v>
      </c>
      <c r="C50" s="213"/>
      <c r="D50" s="403">
        <f>D49+C50</f>
        <v>4501.8596000000007</v>
      </c>
      <c r="E50" s="214"/>
      <c r="F50" s="95"/>
      <c r="G50" s="213"/>
      <c r="H50" s="1055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6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7">
        <v>46292</v>
      </c>
      <c r="C51" s="213"/>
      <c r="D51" s="403">
        <f t="shared" si="14"/>
        <v>4501.8596000000007</v>
      </c>
      <c r="E51" s="214"/>
      <c r="F51" s="95"/>
      <c r="G51" s="213"/>
      <c r="H51" s="1055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6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6">
        <v>46293</v>
      </c>
      <c r="C52" s="213"/>
      <c r="D52" s="403">
        <f t="shared" si="14"/>
        <v>4501.8596000000007</v>
      </c>
      <c r="E52" s="214"/>
      <c r="F52" s="95"/>
      <c r="G52" s="213"/>
      <c r="H52" s="1055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6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7">
        <v>46294</v>
      </c>
      <c r="C53" s="213"/>
      <c r="D53" s="403">
        <f t="shared" si="14"/>
        <v>4501.8596000000007</v>
      </c>
      <c r="E53" s="214"/>
      <c r="F53" s="95"/>
      <c r="G53" s="213"/>
      <c r="H53" s="1055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6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7">
        <v>46295</v>
      </c>
      <c r="C54" s="213"/>
      <c r="D54" s="403">
        <f t="shared" si="14"/>
        <v>4501.8596000000007</v>
      </c>
      <c r="E54" s="214"/>
      <c r="F54" s="95"/>
      <c r="G54" s="213"/>
      <c r="H54" s="1055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6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7">
        <v>46296</v>
      </c>
      <c r="C55" s="213"/>
      <c r="D55" s="403">
        <f t="shared" si="14"/>
        <v>4501.8596000000007</v>
      </c>
      <c r="E55" s="214"/>
      <c r="F55" s="95"/>
      <c r="G55" s="213"/>
      <c r="H55" s="1055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6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0">
        <f>SUM(C7:C49)</f>
        <v>4501.8596000000007</v>
      </c>
      <c r="D56" s="1051"/>
      <c r="E56" s="1051"/>
      <c r="F56" s="1051"/>
      <c r="G56" s="1050">
        <f>SUM(G7:G49)</f>
        <v>3314.2664226920892</v>
      </c>
      <c r="H56" s="1052">
        <f>SUM(H7:H37)</f>
        <v>2.0790216177881677</v>
      </c>
      <c r="I56" s="418">
        <f>'Crushing Down Time Hours'!L45</f>
        <v>0</v>
      </c>
      <c r="J56" s="1050"/>
      <c r="K56" s="1053"/>
      <c r="L56" s="1054"/>
      <c r="M56" s="1054"/>
      <c r="N56" s="1053"/>
      <c r="O56" s="1054">
        <f t="shared" ref="O56:Y56" si="15">SUM(O7:O36)</f>
        <v>0</v>
      </c>
      <c r="P56" s="1054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5275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202" t="s">
        <v>204</v>
      </c>
      <c r="X60" s="1202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42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42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202" t="s">
        <v>206</v>
      </c>
      <c r="X66" s="1202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9"/>
  <sheetViews>
    <sheetView zoomScale="88" zoomScaleNormal="100" workbookViewId="0">
      <pane xSplit="1" ySplit="5" topLeftCell="N6" activePane="bottomRight" state="frozen"/>
      <selection pane="topRight" activeCell="B1" sqref="B1"/>
      <selection pane="bottomLeft" activeCell="A2" sqref="A2"/>
      <selection pane="bottomRight" activeCell="X15" sqref="X1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30" t="s">
        <v>279</v>
      </c>
      <c r="C1" s="1230"/>
      <c r="D1" s="1230"/>
      <c r="E1" s="1230"/>
      <c r="F1" s="1230"/>
      <c r="G1" s="1230"/>
      <c r="H1" s="1230"/>
      <c r="I1" s="1230"/>
      <c r="J1" s="1230"/>
      <c r="K1" s="1230"/>
      <c r="L1" s="1230"/>
      <c r="M1" s="1230"/>
      <c r="N1" s="1230"/>
      <c r="O1" s="1230"/>
      <c r="P1" s="1230"/>
      <c r="Q1" s="1230"/>
      <c r="R1" s="1230"/>
      <c r="S1" s="1230"/>
    </row>
    <row r="2" spans="1:42" ht="18" x14ac:dyDescent="0.35">
      <c r="B2" s="1230" t="s">
        <v>280</v>
      </c>
      <c r="C2" s="1230"/>
      <c r="D2" s="1230"/>
      <c r="E2" s="1230"/>
      <c r="F2" s="1230"/>
      <c r="G2" s="1230"/>
      <c r="H2" s="1230"/>
      <c r="I2" s="1230"/>
      <c r="J2" s="1230"/>
      <c r="K2" s="1230"/>
      <c r="L2" s="1230"/>
      <c r="M2" s="1230"/>
      <c r="N2" s="1230"/>
      <c r="O2" s="1230"/>
      <c r="P2" s="1230"/>
      <c r="Q2" s="1230"/>
      <c r="R2" s="1230"/>
      <c r="S2" s="1230"/>
    </row>
    <row r="3" spans="1:42" ht="18" x14ac:dyDescent="0.35">
      <c r="B3" s="1230" t="s">
        <v>281</v>
      </c>
      <c r="C3" s="1230"/>
      <c r="D3" s="1230"/>
      <c r="E3" s="1230"/>
      <c r="F3" s="1230"/>
      <c r="G3" s="1230"/>
      <c r="H3" s="1230"/>
      <c r="I3" s="1230"/>
      <c r="J3" s="1230"/>
      <c r="K3" s="1230"/>
      <c r="L3" s="1230"/>
      <c r="M3" s="1230"/>
      <c r="N3" s="1230"/>
      <c r="O3" s="1230"/>
      <c r="P3" s="1230"/>
      <c r="Q3" s="1230"/>
      <c r="R3" s="1230"/>
      <c r="S3" s="1230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31"/>
      <c r="C5" s="1232"/>
      <c r="D5" s="1231" t="s">
        <v>24</v>
      </c>
      <c r="E5" s="1233"/>
      <c r="F5" s="1232"/>
      <c r="G5" s="1231" t="s">
        <v>25</v>
      </c>
      <c r="H5" s="1233"/>
      <c r="I5" s="1232"/>
      <c r="J5" s="1231" t="s">
        <v>319</v>
      </c>
      <c r="K5" s="1232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34" t="s">
        <v>162</v>
      </c>
      <c r="Y6" s="1234"/>
      <c r="Z6" s="1234"/>
      <c r="AA6" s="1234"/>
      <c r="AB6" s="1234"/>
      <c r="AC6" s="1234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SUMIF(A$7:A$66,N7,H$7:H$67)</f>
        <v>0</v>
      </c>
      <c r="S7" s="19">
        <f>SUMIF(A$7:A$67,N7,I$7:I$67)</f>
        <v>0</v>
      </c>
      <c r="T7" s="19">
        <f t="shared" ref="T7:T33" si="0">SUMIF(A$7:A$67,N7,K$7:K$67)</f>
        <v>0</v>
      </c>
      <c r="U7" s="19">
        <f>SUMIF(A$7:A$67,N7,G$7:G$67)</f>
        <v>0</v>
      </c>
      <c r="V7" s="19">
        <f>SUMIF(A$7:A$67,N7,I$7:I$67)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SUMIF(A$7:A$66,N8,H$7:H$67)</f>
        <v>0</v>
      </c>
      <c r="S8" s="19">
        <f>SUMIF(A$7:A$66,N8,I$7:I$66)</f>
        <v>0</v>
      </c>
      <c r="T8" s="19">
        <f t="shared" si="0"/>
        <v>0</v>
      </c>
      <c r="U8" s="19">
        <f>SUMIF(A$7:A$67,N8,G$7:G$67)</f>
        <v>0</v>
      </c>
      <c r="V8" s="19">
        <f>SUMIF(A$7:A$67,N8,I$7:I$67)</f>
        <v>0</v>
      </c>
      <c r="X8" s="121">
        <f>O67+U67</f>
        <v>5275</v>
      </c>
      <c r="Y8" s="121">
        <f t="shared" ref="Y8:Z8" si="1">P67</f>
        <v>4150</v>
      </c>
      <c r="Z8" s="121">
        <f t="shared" si="1"/>
        <v>3000</v>
      </c>
      <c r="AA8" s="121">
        <f>T67</f>
        <v>250</v>
      </c>
      <c r="AB8" s="122">
        <f>R67</f>
        <v>0</v>
      </c>
      <c r="AC8" s="19">
        <f>V67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SUMIF(A$7:A$66,N9,H$7:H$67)</f>
        <v>0</v>
      </c>
      <c r="S9" s="19">
        <f>SUMIF(A$7:A$66,N9,I$7:I$66)</f>
        <v>0</v>
      </c>
      <c r="T9" s="19">
        <f t="shared" si="0"/>
        <v>0</v>
      </c>
      <c r="U9" s="19">
        <f>SUMIF(A$7:A$67,N9,G$7:G$67)</f>
        <v>0</v>
      </c>
      <c r="V9" s="19">
        <f>SUMIF(A$7:A$67,N9,I$7:I$67)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SUMIF(A$7:A$66,N10,H$7:H$67)</f>
        <v>0</v>
      </c>
      <c r="S10" s="19">
        <f>SUMIF(A$7:A$66,N10,I$7:I$66)</f>
        <v>0</v>
      </c>
      <c r="T10" s="19">
        <f t="shared" si="0"/>
        <v>0</v>
      </c>
      <c r="U10" s="19">
        <f>SUMIF(A$7:A$67,N10,G$7:G$67)</f>
        <v>0</v>
      </c>
      <c r="V10" s="19">
        <f>SUMIF(A$7:A$67,N10,I$7:I$67)</f>
        <v>0</v>
      </c>
      <c r="X10" s="1181" t="s">
        <v>333</v>
      </c>
      <c r="Y10" s="1181"/>
      <c r="Z10" s="1181"/>
      <c r="AA10" s="1181"/>
      <c r="AB10" s="1181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SUMIF(A$7:A$66,N11,H$7:H$67)</f>
        <v>0</v>
      </c>
      <c r="S11" s="19">
        <f>SUMIF(A$7:A$66,N11,I$7:I$66)</f>
        <v>0</v>
      </c>
      <c r="T11" s="19">
        <f t="shared" si="0"/>
        <v>25</v>
      </c>
      <c r="U11" s="19">
        <f>SUMIF(A$7:A$67,N11,G$7:G$67)</f>
        <v>0</v>
      </c>
      <c r="V11" s="19">
        <f>SUMIF(A$7:A$67,N11,I$7:I$67)</f>
        <v>0</v>
      </c>
      <c r="X11" s="124">
        <f>X8/'Au Cal Leaching Tank'!$M$61</f>
        <v>1.4615869033186912</v>
      </c>
      <c r="Y11" s="124">
        <f>Y8/'Au Cal Leaching Tank'!$M$61</f>
        <v>1.1498740566393495</v>
      </c>
      <c r="Z11" s="124">
        <f>Z8/'Au Cal Leaching Tank'!$M$61</f>
        <v>0.831234257811578</v>
      </c>
      <c r="AA11" s="124">
        <f>AA8/'Au Cal Leaching Tank'!$M$61</f>
        <v>6.9269521484298172E-2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SUMIF(A$7:A$66,N13,H$7:H$67)</f>
        <v>0</v>
      </c>
      <c r="S13" s="19">
        <f>SUMIF(A$7:A$66,N13,I$7:I$66)</f>
        <v>0</v>
      </c>
      <c r="T13" s="19">
        <f t="shared" si="0"/>
        <v>25</v>
      </c>
      <c r="U13" s="19">
        <f>SUMIF(A$7:A$67,N13,G$7:G$67)</f>
        <v>0</v>
      </c>
      <c r="V13" s="19">
        <f>SUMIF(A$7:A$67,N13,I$7:I$67)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SUMIF(A$7:A$66,N15,H$7:H$67)</f>
        <v>0</v>
      </c>
      <c r="S15" s="19">
        <f>SUMIF(A$7:A$66,N15,I$7:I$66)</f>
        <v>0</v>
      </c>
      <c r="T15" s="19">
        <f t="shared" si="0"/>
        <v>0</v>
      </c>
      <c r="U15" s="19">
        <f>SUMIF(A$7:A$67,N15,G$7:G$67)</f>
        <v>0</v>
      </c>
      <c r="V15" s="19">
        <f>SUMIF(A$7:A$67,N15,I$7:I$67)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SUMIF(A$7:A$66,N16,H$7:H$67)</f>
        <v>0</v>
      </c>
      <c r="S16" s="19">
        <f>SUMIF(A$7:A$66,N16,I$7:I$66)</f>
        <v>0</v>
      </c>
      <c r="T16" s="19">
        <f t="shared" si="0"/>
        <v>25</v>
      </c>
      <c r="U16" s="19">
        <f>SUMIF(A$7:A$67,N16,G$7:G$67)</f>
        <v>0</v>
      </c>
      <c r="V16" s="19">
        <f>SUMIF(A$7:A$67,N16,I$7:I$67)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SUMIF(A$7:A$66,N17,H$7:H$67)</f>
        <v>0</v>
      </c>
      <c r="S17" s="19">
        <f>SUMIF(A$7:A$66,N17,I$7:I$66)</f>
        <v>0</v>
      </c>
      <c r="T17" s="19">
        <f t="shared" si="0"/>
        <v>0</v>
      </c>
      <c r="U17" s="19">
        <f>SUMIF(A$7:A$67,N17,G$7:G$67)</f>
        <v>0</v>
      </c>
      <c r="V17" s="19">
        <f>SUMIF(A$7:A$67,N17,I$7:I$67)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SUMIF(A$7:A$66,N18,H$7:H$67)</f>
        <v>0</v>
      </c>
      <c r="S18" s="19">
        <f>SUMIF(A$7:A$66,N18,I$7:I$66)</f>
        <v>0</v>
      </c>
      <c r="T18" s="19">
        <f t="shared" si="0"/>
        <v>0</v>
      </c>
      <c r="U18" s="19">
        <f>SUMIF(A$7:A$67,N18,G$7:G$67)</f>
        <v>0</v>
      </c>
      <c r="V18" s="19">
        <f>SUMIF(A$7:A$67,N18,I$7:I$67)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SUMIF(A$7:A$67,N19,E$7:E$67)+SUMIF(A$7:A$67,N19,J$7:J$67)</f>
        <v>750</v>
      </c>
      <c r="Q19" s="19">
        <f>SUMIF(A$7:A$52,N19,F$7:F$52)</f>
        <v>0</v>
      </c>
      <c r="R19" s="19">
        <f>SUMIF(A$7:A$66,N19,H$7:H$67)</f>
        <v>0</v>
      </c>
      <c r="S19" s="19">
        <f>SUMIF(A$7:A$66,N19,I$7:I$66)</f>
        <v>0</v>
      </c>
      <c r="T19" s="19">
        <f t="shared" si="0"/>
        <v>0</v>
      </c>
      <c r="U19" s="19">
        <f>SUMIF(A$7:A$67,N19,G$7:G$67)</f>
        <v>0</v>
      </c>
      <c r="V19" s="19">
        <f>SUMIF(A$7:A$67,N19,I$7:I$67)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209" t="s">
        <v>578</v>
      </c>
      <c r="Y20" s="1209"/>
      <c r="Z20" s="1209"/>
      <c r="AA20" s="1209"/>
      <c r="AB20" s="1209"/>
      <c r="AC20" s="1209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SUMIF(A$7:A$66,N21,H$7:H$67)</f>
        <v>0</v>
      </c>
      <c r="S21" s="19">
        <f>SUMIF(A$7:A$66,N21,I$7:I$66)</f>
        <v>0</v>
      </c>
      <c r="T21" s="19">
        <f t="shared" si="0"/>
        <v>0</v>
      </c>
      <c r="U21" s="19">
        <f>SUMIF(A$7:A$67,N21,G$7:G$67)</f>
        <v>0</v>
      </c>
      <c r="V21" s="19">
        <f>SUMIF(A$7:A$67,N21,I$7:I$67)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SUMIF(A$7:A$66,N22,H$7:H$67)</f>
        <v>0</v>
      </c>
      <c r="S22" s="19">
        <f>SUMIF(A$7:A$66,N22,I$7:I$66)</f>
        <v>0</v>
      </c>
      <c r="T22" s="19">
        <f t="shared" si="0"/>
        <v>0</v>
      </c>
      <c r="U22" s="19">
        <f>SUMIF(A$7:A$67,N22,G$7:G$67)</f>
        <v>0</v>
      </c>
      <c r="V22" s="19">
        <f>SUMIF(A$7:A$67,N22,I$7:I$67)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SUMIF(A$7:A$67,N24,D$7:D$67)+SUMIF(A$7:A$52,N24,G$7:G$67)</f>
        <v>300</v>
      </c>
      <c r="P24" s="19">
        <f t="shared" si="2"/>
        <v>0</v>
      </c>
      <c r="Q24" s="19">
        <f>SUMIF(A$7:A$52,N24,F$7:F$52)</f>
        <v>500</v>
      </c>
      <c r="R24" s="19">
        <f>SUMIF(A$7:A$66,N24,H$7:H$67)</f>
        <v>0</v>
      </c>
      <c r="S24" s="19">
        <f>SUMIF(A$7:A$66,N24,I$7:I$66)</f>
        <v>0</v>
      </c>
      <c r="T24" s="19">
        <f t="shared" si="0"/>
        <v>0</v>
      </c>
      <c r="U24" s="19">
        <f>SUMIF(A$7:A$67,N24,G$7:G$67)</f>
        <v>0</v>
      </c>
      <c r="V24" s="19">
        <f>SUMIF(A$7:A$67,N24,I$7:I$67)</f>
        <v>0</v>
      </c>
      <c r="X24" s="1225" t="s">
        <v>577</v>
      </c>
      <c r="Y24" s="1225"/>
      <c r="Z24" s="1225"/>
      <c r="AA24" s="1225"/>
      <c r="AB24" s="1225"/>
      <c r="AC24" s="1225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SUMIF(A$7:A$66,N26,H$7:H$67)</f>
        <v>0</v>
      </c>
      <c r="S26" s="19">
        <f t="shared" ref="S26:S33" si="6">SUMIF(A$7:A$66,N26,I$7:I$66)</f>
        <v>0</v>
      </c>
      <c r="T26" s="19">
        <f t="shared" si="0"/>
        <v>50</v>
      </c>
      <c r="U26" s="19">
        <f t="shared" ref="U26:U33" si="7">SUMIF(A$7:A$67,N26,G$7:G$67)</f>
        <v>0</v>
      </c>
      <c r="V26" s="19">
        <f t="shared" ref="V26:V33" si="8">SUMIF(A$7:A$67,N26,I$7:I$67)</f>
        <v>0</v>
      </c>
      <c r="X26" s="684">
        <f>X22*X8</f>
        <v>358700000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26" t="s">
        <v>577</v>
      </c>
      <c r="Y27" s="1227"/>
      <c r="Z27" s="1228">
        <f>SUM(X26:AC26)</f>
        <v>507745000</v>
      </c>
      <c r="AA27" s="1227"/>
      <c r="AB27" s="1227"/>
      <c r="AC27" s="1229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0.7064569813587529</v>
      </c>
      <c r="Y28" s="686">
        <f t="shared" ref="Y28:AC28" si="10">Y26/$Z$27</f>
        <v>1.8798806487508493E-2</v>
      </c>
      <c r="Z28" s="686">
        <f t="shared" si="10"/>
        <v>0.25997301795192468</v>
      </c>
      <c r="AA28" s="686">
        <f t="shared" si="10"/>
        <v>1.4771194201813902E-2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5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5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5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1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5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5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SUMIF(A$7:A$67,N38,E$7:E$67)+SUMIF(A$7:A$67,N38,J$7:J$67)</f>
        <v>0</v>
      </c>
      <c r="Q38" s="19">
        <f>SUMIF(A$7:A$52,N38,F$7:F$52)</f>
        <v>0</v>
      </c>
      <c r="R38" s="19">
        <f>SUMIF(A$7:A$66,N38,H$7:H$67)</f>
        <v>0</v>
      </c>
      <c r="S38" s="19">
        <f>SUMIF(A$7:A$66,N38,I$7:I$66)</f>
        <v>0</v>
      </c>
      <c r="T38" s="19">
        <f>SUMIF(A$7:A$67,N38,K$7:K$67)</f>
        <v>0</v>
      </c>
      <c r="U38" s="19">
        <f>SUMIF(A$7:A$67,N38,G$7:G$67)</f>
        <v>0</v>
      </c>
      <c r="V38" s="19">
        <f>SUMIF(A$7:A$67,N38,I$7:I$67)</f>
        <v>0</v>
      </c>
    </row>
    <row r="39" spans="1:22" x14ac:dyDescent="0.3">
      <c r="A39" s="20">
        <v>46285</v>
      </c>
      <c r="B39" s="17" t="s">
        <v>12</v>
      </c>
      <c r="C39" s="1081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SUMIF(A$7:A$67,N39,E$7:E$67)+SUMIF(A$7:A$67,N39,J$7:J$67)</f>
        <v>0</v>
      </c>
      <c r="Q39" s="19">
        <f>SUMIF(A$7:A$52,N39,F$7:F$52)</f>
        <v>0</v>
      </c>
      <c r="R39" s="19">
        <f>SUMIF(A$7:A$66,N39,H$7:H$67)</f>
        <v>0</v>
      </c>
      <c r="S39" s="19">
        <f>SUMIF(A$7:A$66,N39,I$7:I$66)</f>
        <v>0</v>
      </c>
      <c r="T39" s="19">
        <f>SUMIF(A$7:A$67,N39,K$7:K$67)</f>
        <v>0</v>
      </c>
      <c r="U39" s="19">
        <f>SUMIF(A$7:A$67,N39,G$7:G$67)</f>
        <v>0</v>
      </c>
      <c r="V39" s="19">
        <f>SUMIF(A$7:A$67,N39,I$7:I$67)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7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SUMIF(A$7:A$67,N41,E$7:E$67)+SUMIF(A$7:A$67,N41,J$7:J$67)</f>
        <v>0</v>
      </c>
      <c r="Q41" s="19">
        <f>SUMIF(A$7:A$52,N41,F$7:F$52)</f>
        <v>0</v>
      </c>
      <c r="R41" s="19">
        <f>SUMIF(A$7:A$66,N41,H$7:H$67)</f>
        <v>0</v>
      </c>
      <c r="S41" s="19">
        <f>SUMIF(A$7:A$66,N41,I$7:I$66)</f>
        <v>0</v>
      </c>
      <c r="T41" s="19">
        <f>SUMIF(A$7:A$67,N41,K$7:K$67)</f>
        <v>0</v>
      </c>
      <c r="U41" s="19">
        <f>SUMIF(A$7:A$67,N41,G$7:G$67)</f>
        <v>0</v>
      </c>
      <c r="V41" s="19">
        <f>SUMIF(A$7:A$67,N41,I$7:I$67)</f>
        <v>0</v>
      </c>
    </row>
    <row r="42" spans="1:22" x14ac:dyDescent="0.3">
      <c r="A42" s="20">
        <v>46286</v>
      </c>
      <c r="B42" s="17" t="s">
        <v>13</v>
      </c>
      <c r="C42" s="1097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7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SUMIF(A$7:A$67,N43,E$7:E$67)+SUMIF(A$7:A$67,N43,J$7:J$67)</f>
        <v>0</v>
      </c>
      <c r="Q43" s="19">
        <f>SUMIF(A$7:A$52,N43,F$7:F$52)</f>
        <v>0</v>
      </c>
      <c r="R43" s="19">
        <f>SUMIF(A$7:A$66,N43,H$7:H$67)</f>
        <v>0</v>
      </c>
      <c r="S43" s="19">
        <f>SUMIF(A$7:A$66,N43,I$7:I$66)</f>
        <v>0</v>
      </c>
      <c r="T43" s="19">
        <f>SUMIF(A$7:A$67,N43,K$7:K$67)</f>
        <v>50</v>
      </c>
      <c r="U43" s="19">
        <f>SUMIF(A$7:A$67,N43,G$7:G$67)</f>
        <v>0</v>
      </c>
      <c r="V43" s="19">
        <f>SUMIF(A$7:A$67,N43,I$7:I$67)</f>
        <v>0</v>
      </c>
    </row>
    <row r="44" spans="1:22" x14ac:dyDescent="0.3">
      <c r="A44" s="20">
        <v>46287</v>
      </c>
      <c r="B44" s="17" t="s">
        <v>13</v>
      </c>
      <c r="C44" s="1097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4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SUMIF(A$7:A$67,N45,E$7:E$67)+SUMIF(A$7:A$67,N45,J$7:J$67)</f>
        <v>0</v>
      </c>
      <c r="Q45" s="19">
        <f>SUMIF(A$7:A$52,N45,F$7:F$52)</f>
        <v>0</v>
      </c>
      <c r="R45" s="19">
        <f>SUMIF(A$7:A$66,N45,H$7:H$67)</f>
        <v>0</v>
      </c>
      <c r="S45" s="19">
        <f>SUMIF(A$7:A$66,N45,I$7:I$66)</f>
        <v>0</v>
      </c>
      <c r="T45" s="19">
        <f>SUMIF(A$7:A$67,N45,K$7:K$67)</f>
        <v>0</v>
      </c>
      <c r="U45" s="19">
        <f>SUMIF(A$7:A$67,N45,G$7:G$67)</f>
        <v>0</v>
      </c>
      <c r="V45" s="19">
        <f>SUMIF(A$7:A$67,N45,I$7:I$67)</f>
        <v>0</v>
      </c>
    </row>
    <row r="46" spans="1:22" x14ac:dyDescent="0.3">
      <c r="A46" s="20">
        <v>46288</v>
      </c>
      <c r="B46" s="17" t="s">
        <v>13</v>
      </c>
      <c r="C46" s="1114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5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SUMIF(A$7:A$67,N47,D$7:D$67)+SUMIF(A$7:A$52,N47,G$7:G$67)</f>
        <v>675</v>
      </c>
      <c r="P47" s="19">
        <f>SUMIF(A$7:A$67,N47,E$7:E$67)+SUMIF(A$7:A$67,N47,J$7:J$67)</f>
        <v>325</v>
      </c>
      <c r="Q47" s="19">
        <f>SUMIF(A$7:A$52,N47,F$7:F$52)</f>
        <v>0</v>
      </c>
      <c r="R47" s="19">
        <f>SUMIF(A$7:A$66,N47,H$7:H$67)</f>
        <v>0</v>
      </c>
      <c r="S47" s="19">
        <f>SUMIF(A$7:A$66,N47,I$7:I$66)</f>
        <v>0</v>
      </c>
      <c r="T47" s="19">
        <f>SUMIF(A$7:A$67,N47,K$7:K$67)</f>
        <v>0</v>
      </c>
      <c r="U47" s="19">
        <f>SUMIF(A$7:A$67,N47,G$7:G$67)</f>
        <v>0</v>
      </c>
      <c r="V47" s="19">
        <f>SUMIF(A$7:A$67,N47,I$7:I$67)</f>
        <v>0</v>
      </c>
    </row>
    <row r="48" spans="1:22" x14ac:dyDescent="0.3">
      <c r="A48" s="20">
        <v>46289</v>
      </c>
      <c r="B48" s="17" t="s">
        <v>13</v>
      </c>
      <c r="C48" s="1115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41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SUMIF(A$7:A$67,N49,D$7:D$67)+SUMIF(A$7:A$52,N49,G$7:G$67)</f>
        <v>175</v>
      </c>
      <c r="P49" s="19">
        <f>SUMIF(A$7:A$67,N49,E$7:E$67)+SUMIF(A$7:A$67,N49,J$7:J$67)</f>
        <v>0</v>
      </c>
      <c r="Q49" s="19">
        <f>SUMIF(A$7:A$52,N49,F$7:F$52)</f>
        <v>0</v>
      </c>
      <c r="R49" s="19">
        <f>SUMIF(A$7:A$66,N49,H$7:H$67)</f>
        <v>0</v>
      </c>
      <c r="S49" s="19">
        <f>SUMIF(A$7:A$66,N49,I$7:I$66)</f>
        <v>0</v>
      </c>
      <c r="T49" s="19">
        <f>SUMIF(A$7:A$67,N49,K$7:K$67)</f>
        <v>0</v>
      </c>
      <c r="U49" s="19">
        <f>SUMIF(A$7:A$67,N49,G$7:G$67)</f>
        <v>0</v>
      </c>
      <c r="V49" s="19">
        <f>SUMIF(A$7:A$67,N49,I$7:I$67)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SUMIF(A$7:A$67,N51,D$7:D$67)+SUMIF(A$7:A$52,N51,G$7:G$67)</f>
        <v>0</v>
      </c>
      <c r="P51" s="19">
        <f>SUMIF(A$7:A$67,N51,E$7:E$67)+SUMIF(A$7:A$67,N51,J$7:J$67)</f>
        <v>0</v>
      </c>
      <c r="Q51" s="19">
        <f t="shared" ref="Q51:Q66" si="11">SUMIF(A$7:A$52,N51,F$7:F$52)</f>
        <v>0</v>
      </c>
      <c r="R51" s="19">
        <f>SUMIF(A$7:A$66,N51,H$7:H$67)</f>
        <v>0</v>
      </c>
      <c r="S51" s="19">
        <f>SUMIF(A$7:A$66,N51,I$7:I$66)</f>
        <v>0</v>
      </c>
      <c r="T51" s="19">
        <f>SUMIF(A$7:A$67,N51,K$7:K$67)</f>
        <v>0</v>
      </c>
      <c r="U51" s="19">
        <f>SUMIF(A$7:A$67,N51,G$7:G$67)</f>
        <v>0</v>
      </c>
      <c r="V51" s="19">
        <f>SUMIF(A$7:A$67,N51,I$7:I$67)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SUMIF(A$7:A$67,N52,D$7:D$67)+SUMIF(A$7:A$52,N52,G$7:G$67)</f>
        <v>150</v>
      </c>
      <c r="P52" s="19">
        <f>SUMIF(A$7:A$67,N52,E$7:E$67)+SUMIF(A$7:A$67,N52,J$7:J$67)</f>
        <v>0</v>
      </c>
      <c r="Q52" s="19">
        <f t="shared" si="11"/>
        <v>0</v>
      </c>
      <c r="R52" s="19">
        <f>SUMIF(A$7:A$66,N52,H$7:H$67)</f>
        <v>0</v>
      </c>
      <c r="S52" s="19">
        <f>SUMIF(A$7:A$66,N52,I$7:I$66)</f>
        <v>0</v>
      </c>
      <c r="T52" s="19">
        <f>SUMIF(A$7:A$67,N52,K$7:K$67)</f>
        <v>0</v>
      </c>
      <c r="U52" s="19">
        <f>SUMIF(A$7:A$67,N52,G$7:G$67)</f>
        <v>0</v>
      </c>
      <c r="V52" s="19">
        <f>SUMIF(A$7:A$67,N52,I$7:I$67)</f>
        <v>0</v>
      </c>
    </row>
    <row r="53" spans="1:22" x14ac:dyDescent="0.3">
      <c r="A53" s="20">
        <v>46292</v>
      </c>
      <c r="B53" s="17" t="s">
        <v>13</v>
      </c>
      <c r="C53" s="1166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 t="shared" ref="O54:O66" si="12">SUMIF(A$7:A$67,N54,D$7:D$67)+SUMIF(A$7:A$52,N54,G$7:G$67)</f>
        <v>0</v>
      </c>
      <c r="P54" s="19">
        <f t="shared" ref="P54:P66" si="13">SUMIF(A$7:A$67,N54,E$7:E$67)+SUMIF(A$7:A$67,N54,J$7:J$67)</f>
        <v>0</v>
      </c>
      <c r="Q54" s="19">
        <f t="shared" si="11"/>
        <v>0</v>
      </c>
      <c r="R54" s="19">
        <f t="shared" ref="R54:R66" si="14">SUMIF(A$7:A$66,N54,H$7:H$67)</f>
        <v>0</v>
      </c>
      <c r="S54" s="19">
        <f t="shared" ref="S54:S66" si="15">SUMIF(A$7:A$66,N54,I$7:I$66)</f>
        <v>0</v>
      </c>
      <c r="T54" s="19">
        <f t="shared" ref="T54:T66" si="16">SUMIF(A$7:A$67,N54,K$7:K$67)</f>
        <v>0</v>
      </c>
      <c r="U54" s="19">
        <f t="shared" ref="U54:U66" si="17">SUMIF(A$7:A$67,N54,G$7:G$67)</f>
        <v>0</v>
      </c>
      <c r="V54" s="19">
        <f t="shared" ref="V54:V66" si="18">SUMIF(A$7:A$67,N54,I$7:I$67)</f>
        <v>0</v>
      </c>
    </row>
    <row r="55" spans="1:22" x14ac:dyDescent="0.3">
      <c r="A55" s="20">
        <v>46294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46294</v>
      </c>
      <c r="O55" s="19">
        <f t="shared" si="12"/>
        <v>0</v>
      </c>
      <c r="P55" s="19">
        <f t="shared" si="13"/>
        <v>0</v>
      </c>
      <c r="Q55" s="19">
        <f t="shared" si="11"/>
        <v>0</v>
      </c>
      <c r="R55" s="19">
        <f t="shared" si="14"/>
        <v>0</v>
      </c>
      <c r="S55" s="19">
        <f t="shared" si="15"/>
        <v>0</v>
      </c>
      <c r="T55" s="19">
        <f t="shared" si="16"/>
        <v>0</v>
      </c>
      <c r="U55" s="19">
        <f t="shared" si="17"/>
        <v>0</v>
      </c>
      <c r="V55" s="19">
        <f t="shared" si="18"/>
        <v>0</v>
      </c>
    </row>
    <row r="56" spans="1:22" x14ac:dyDescent="0.3">
      <c r="A56" s="20">
        <v>46295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46295</v>
      </c>
      <c r="O56" s="19">
        <f t="shared" si="12"/>
        <v>0</v>
      </c>
      <c r="P56" s="19">
        <f t="shared" si="13"/>
        <v>0</v>
      </c>
      <c r="Q56" s="19">
        <f t="shared" si="11"/>
        <v>0</v>
      </c>
      <c r="R56" s="19">
        <f t="shared" si="14"/>
        <v>0</v>
      </c>
      <c r="S56" s="19">
        <f t="shared" si="15"/>
        <v>0</v>
      </c>
      <c r="T56" s="19">
        <f t="shared" si="16"/>
        <v>0</v>
      </c>
      <c r="U56" s="19">
        <f t="shared" si="17"/>
        <v>0</v>
      </c>
      <c r="V56" s="19">
        <f t="shared" si="18"/>
        <v>0</v>
      </c>
    </row>
    <row r="57" spans="1:22" x14ac:dyDescent="0.3">
      <c r="A57" s="20">
        <v>46296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46296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46297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46297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46298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46298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46299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46299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46300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46300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46301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46301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46302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46302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46303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46303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46304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46304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46305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46305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/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21" t="s">
        <v>17</v>
      </c>
      <c r="O67" s="22">
        <f>SUM(O7:O66)</f>
        <v>5275</v>
      </c>
      <c r="P67" s="22">
        <f t="shared" ref="P67:V67" si="19">SUM(P7:P66)</f>
        <v>4150</v>
      </c>
      <c r="Q67" s="22">
        <f t="shared" si="19"/>
        <v>3000</v>
      </c>
      <c r="R67" s="22">
        <f t="shared" si="19"/>
        <v>0</v>
      </c>
      <c r="S67" s="22">
        <f t="shared" si="19"/>
        <v>0</v>
      </c>
      <c r="T67" s="22">
        <f t="shared" si="19"/>
        <v>250</v>
      </c>
      <c r="U67" s="22">
        <f t="shared" si="19"/>
        <v>0</v>
      </c>
      <c r="V67" s="22">
        <f t="shared" si="19"/>
        <v>0</v>
      </c>
    </row>
    <row r="69" spans="1:22" x14ac:dyDescent="0.3">
      <c r="T69">
        <f>Z22*T67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7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37" t="s">
        <v>122</v>
      </c>
      <c r="C1" s="1237"/>
      <c r="D1" s="1237"/>
      <c r="E1" s="1237"/>
      <c r="F1" s="1237"/>
      <c r="G1" s="1237"/>
      <c r="H1" s="1237"/>
      <c r="I1" s="1237"/>
      <c r="J1" s="1237"/>
      <c r="K1" s="1237"/>
      <c r="L1" s="1237"/>
    </row>
    <row r="2" spans="1:27" ht="18" x14ac:dyDescent="0.35">
      <c r="F2" s="1245" t="s">
        <v>418</v>
      </c>
      <c r="G2" s="1245"/>
      <c r="H2" s="1245"/>
      <c r="I2" s="1245"/>
      <c r="J2" s="1245"/>
    </row>
    <row r="3" spans="1:27" ht="15" thickBot="1" x14ac:dyDescent="0.35">
      <c r="A3" s="1240" t="s">
        <v>198</v>
      </c>
      <c r="B3" s="1241"/>
      <c r="C3" s="1241"/>
      <c r="D3" s="1241"/>
      <c r="E3" s="1241"/>
      <c r="F3" s="1241"/>
      <c r="G3" s="1242"/>
    </row>
    <row r="4" spans="1:27" ht="15" thickBot="1" x14ac:dyDescent="0.35">
      <c r="A4" s="1243" t="s">
        <v>0</v>
      </c>
      <c r="B4" s="1244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38">
        <v>46252</v>
      </c>
      <c r="B6" s="1239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38">
        <v>46253</v>
      </c>
      <c r="B7" s="1239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38">
        <v>46254</v>
      </c>
      <c r="B8" s="1239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35" t="s">
        <v>209</v>
      </c>
      <c r="AA8" s="1236"/>
    </row>
    <row r="9" spans="1:27" x14ac:dyDescent="0.3">
      <c r="A9" s="1238">
        <v>46255</v>
      </c>
      <c r="B9" s="1239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38">
        <v>46256</v>
      </c>
      <c r="B10" s="1239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38">
        <v>46257</v>
      </c>
      <c r="B11" s="1239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38">
        <v>46258</v>
      </c>
      <c r="B12" s="1239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38">
        <v>46259</v>
      </c>
      <c r="B13" s="1239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38">
        <v>46260</v>
      </c>
      <c r="B14" s="1239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38">
        <v>46261</v>
      </c>
      <c r="B15" s="1239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38">
        <v>46262</v>
      </c>
      <c r="B16" s="1239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38">
        <v>46263</v>
      </c>
      <c r="B17" s="1239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38">
        <v>46264</v>
      </c>
      <c r="B18" s="1239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38">
        <v>46265</v>
      </c>
      <c r="B19" s="1239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38">
        <v>46266</v>
      </c>
      <c r="B20" s="1239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38">
        <v>46267</v>
      </c>
      <c r="B21" s="1239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38">
        <v>46268</v>
      </c>
      <c r="B22" s="1239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38">
        <v>46269</v>
      </c>
      <c r="B23" s="1239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38">
        <v>46270</v>
      </c>
      <c r="B24" s="1239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38">
        <v>46271</v>
      </c>
      <c r="B25" s="1239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38">
        <v>46272</v>
      </c>
      <c r="B26" s="1239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38">
        <v>46273</v>
      </c>
      <c r="B27" s="1239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38">
        <v>46274</v>
      </c>
      <c r="B28" s="1239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38">
        <v>46275</v>
      </c>
      <c r="B29" s="1239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38">
        <v>46276</v>
      </c>
      <c r="B30" s="1239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38">
        <v>46277</v>
      </c>
      <c r="B31" s="1239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38">
        <v>46278</v>
      </c>
      <c r="B32" s="1239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38">
        <v>46279</v>
      </c>
      <c r="B33" s="1239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38">
        <v>46280</v>
      </c>
      <c r="B34" s="1239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38">
        <v>46281</v>
      </c>
      <c r="B35" s="1239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38">
        <v>46282</v>
      </c>
      <c r="B36" s="1239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38">
        <v>46283</v>
      </c>
      <c r="B37" s="1239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38">
        <v>46284</v>
      </c>
      <c r="B38" s="1239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38">
        <v>46285</v>
      </c>
      <c r="B39" s="1239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38">
        <v>46286</v>
      </c>
      <c r="B40" s="1239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38">
        <v>46287</v>
      </c>
      <c r="B41" s="1239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38">
        <v>46288</v>
      </c>
      <c r="B42" s="1239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3" zoomScaleNormal="44" zoomScaleSheetLayoutView="74" workbookViewId="0">
      <pane ySplit="5" topLeftCell="A86" activePane="bottomLeft" state="frozen"/>
      <selection pane="bottomLeft" activeCell="B106" sqref="B10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69" t="s">
        <v>665</v>
      </c>
      <c r="C4" s="1270"/>
      <c r="D4" s="1270"/>
      <c r="E4" s="1270"/>
      <c r="F4" s="1270"/>
      <c r="G4" s="1270"/>
      <c r="H4" s="1270"/>
      <c r="I4" s="1270"/>
      <c r="J4" s="1270"/>
      <c r="K4" s="1270"/>
      <c r="L4" s="1270"/>
      <c r="M4" s="1270"/>
      <c r="N4" s="1270"/>
      <c r="O4" s="1271"/>
    </row>
    <row r="5" spans="2:27" ht="57.6" customHeight="1" thickBot="1" x14ac:dyDescent="0.35">
      <c r="B5" s="1267" t="s">
        <v>0</v>
      </c>
      <c r="C5" s="1268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31" t="s">
        <v>11</v>
      </c>
      <c r="T5" s="1232"/>
      <c r="W5" s="1209" t="s">
        <v>18</v>
      </c>
      <c r="X5" s="1209"/>
      <c r="Y5" s="1209"/>
      <c r="Z5" s="1209"/>
      <c r="AA5" s="1209"/>
    </row>
    <row r="6" spans="2:27" ht="13.95" customHeight="1" thickBot="1" x14ac:dyDescent="0.4">
      <c r="B6" s="1249">
        <v>46174</v>
      </c>
      <c r="C6" s="1250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53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51"/>
      <c r="C7" s="1252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54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61">
        <v>46175</v>
      </c>
      <c r="C8" s="1262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65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63"/>
      <c r="C9" s="1264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66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49">
        <v>46176</v>
      </c>
      <c r="C10" s="1250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55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51"/>
      <c r="C11" s="1252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56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61">
        <v>46177</v>
      </c>
      <c r="C12" s="1262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65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63"/>
      <c r="C13" s="1264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66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49">
        <v>46252</v>
      </c>
      <c r="C14" s="1250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55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51"/>
      <c r="C15" s="1252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56"/>
      <c r="O15" s="285"/>
    </row>
    <row r="16" spans="2:27" ht="18.600000000000001" thickBot="1" x14ac:dyDescent="0.4">
      <c r="B16" s="1261">
        <v>46253</v>
      </c>
      <c r="C16" s="1262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65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63"/>
      <c r="C17" s="1264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66"/>
      <c r="O17" s="348" t="s">
        <v>386</v>
      </c>
    </row>
    <row r="18" spans="2:23" ht="18.600000000000001" thickBot="1" x14ac:dyDescent="0.4">
      <c r="B18" s="1249">
        <v>46254</v>
      </c>
      <c r="C18" s="1250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55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51"/>
      <c r="C19" s="1252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72"/>
      <c r="O19" s="285" t="s">
        <v>408</v>
      </c>
      <c r="T19" s="110"/>
    </row>
    <row r="20" spans="2:23" ht="18.600000000000001" thickBot="1" x14ac:dyDescent="0.4">
      <c r="B20" s="1249">
        <v>46255</v>
      </c>
      <c r="C20" s="1250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55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51"/>
      <c r="C21" s="1252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72"/>
      <c r="O21" s="285"/>
      <c r="S21" s="2"/>
      <c r="T21" s="111"/>
    </row>
    <row r="22" spans="2:23" ht="18.600000000000001" thickBot="1" x14ac:dyDescent="0.4">
      <c r="B22" s="1249">
        <v>46256</v>
      </c>
      <c r="C22" s="1250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55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51"/>
      <c r="C23" s="1252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56"/>
      <c r="O23" s="285"/>
      <c r="P23" s="9"/>
      <c r="T23" s="110"/>
    </row>
    <row r="24" spans="2:23" ht="18.600000000000001" thickBot="1" x14ac:dyDescent="0.4">
      <c r="B24" s="1249">
        <v>46257</v>
      </c>
      <c r="C24" s="1250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55">
        <f>SUM(L24:L25)</f>
        <v>0</v>
      </c>
      <c r="O24" s="285"/>
    </row>
    <row r="25" spans="2:23" ht="18.600000000000001" thickBot="1" x14ac:dyDescent="0.4">
      <c r="B25" s="1251"/>
      <c r="C25" s="1252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56"/>
      <c r="O25" s="285"/>
      <c r="T25" s="3"/>
    </row>
    <row r="26" spans="2:23" ht="18.600000000000001" thickBot="1" x14ac:dyDescent="0.4">
      <c r="B26" s="1249">
        <v>46258</v>
      </c>
      <c r="C26" s="1250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55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51"/>
      <c r="C27" s="1252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56"/>
      <c r="O27" s="285"/>
    </row>
    <row r="28" spans="2:23" ht="18.600000000000001" thickBot="1" x14ac:dyDescent="0.4">
      <c r="B28" s="1249">
        <v>46259</v>
      </c>
      <c r="C28" s="1250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55">
        <f>SUM(L28:L29)</f>
        <v>0</v>
      </c>
      <c r="O28" s="285"/>
    </row>
    <row r="29" spans="2:23" ht="18.600000000000001" thickBot="1" x14ac:dyDescent="0.4">
      <c r="B29" s="1251"/>
      <c r="C29" s="1252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56"/>
      <c r="O29" s="285"/>
      <c r="P29" s="9"/>
    </row>
    <row r="30" spans="2:23" ht="18.600000000000001" thickBot="1" x14ac:dyDescent="0.4">
      <c r="B30" s="1249">
        <v>46260</v>
      </c>
      <c r="C30" s="1250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55">
        <f t="shared" ref="N30" si="13">SUM(L30:L31)</f>
        <v>0</v>
      </c>
      <c r="O30" s="285"/>
    </row>
    <row r="31" spans="2:23" ht="18.600000000000001" thickBot="1" x14ac:dyDescent="0.4">
      <c r="B31" s="1251"/>
      <c r="C31" s="1252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56"/>
      <c r="O31" s="285"/>
    </row>
    <row r="32" spans="2:23" ht="54.6" thickBot="1" x14ac:dyDescent="0.4">
      <c r="B32" s="1249">
        <v>46261</v>
      </c>
      <c r="C32" s="1250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53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51"/>
      <c r="C33" s="1252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54"/>
      <c r="O33" s="285"/>
    </row>
    <row r="34" spans="2:24" ht="18.600000000000001" thickBot="1" x14ac:dyDescent="0.4">
      <c r="B34" s="1249">
        <v>46262</v>
      </c>
      <c r="C34" s="1250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53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51"/>
      <c r="C35" s="1252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54"/>
      <c r="O35" s="285"/>
    </row>
    <row r="36" spans="2:24" ht="18.600000000000001" thickBot="1" x14ac:dyDescent="0.35">
      <c r="B36" s="1249">
        <v>46263</v>
      </c>
      <c r="C36" s="1250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53">
        <f>SUM(L36:L37)</f>
        <v>240.43500000000003</v>
      </c>
      <c r="O36" s="1277" t="str">
        <f>'Crushing Down Time Hours'!G17</f>
        <v>istirahat jam 12-13, 14:00-15:00 ada loading material dari mining</v>
      </c>
    </row>
    <row r="37" spans="2:24" ht="18.600000000000001" thickBot="1" x14ac:dyDescent="0.35">
      <c r="B37" s="1251"/>
      <c r="C37" s="1252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54"/>
      <c r="O37" s="1278"/>
    </row>
    <row r="38" spans="2:24" ht="18.600000000000001" thickBot="1" x14ac:dyDescent="0.4">
      <c r="B38" s="1249">
        <v>46264</v>
      </c>
      <c r="C38" s="1250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53">
        <f t="shared" ref="N38" si="15">SUM(L38:L39)</f>
        <v>53.820000000000007</v>
      </c>
      <c r="O38" s="285"/>
      <c r="Q38" s="4"/>
    </row>
    <row r="39" spans="2:24" ht="18.600000000000001" thickBot="1" x14ac:dyDescent="0.4">
      <c r="B39" s="1251"/>
      <c r="C39" s="1252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54"/>
      <c r="O39" s="285"/>
    </row>
    <row r="40" spans="2:24" ht="18.600000000000001" thickBot="1" x14ac:dyDescent="0.4">
      <c r="B40" s="1249">
        <v>46265</v>
      </c>
      <c r="C40" s="1250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55">
        <f>SUM(L40:L41)</f>
        <v>0</v>
      </c>
      <c r="O40" s="285"/>
    </row>
    <row r="41" spans="2:24" ht="18.600000000000001" thickBot="1" x14ac:dyDescent="0.4">
      <c r="B41" s="1251"/>
      <c r="C41" s="1252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56"/>
      <c r="O41" s="285"/>
    </row>
    <row r="42" spans="2:24" ht="18.600000000000001" thickBot="1" x14ac:dyDescent="0.4">
      <c r="B42" s="1249">
        <v>46266</v>
      </c>
      <c r="C42" s="1250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55">
        <f t="shared" ref="N42" si="16">SUM(L42:L43)</f>
        <v>0</v>
      </c>
      <c r="O42" s="285"/>
    </row>
    <row r="43" spans="2:24" ht="18.600000000000001" thickBot="1" x14ac:dyDescent="0.4">
      <c r="B43" s="1251"/>
      <c r="C43" s="1252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56"/>
      <c r="O43" s="285"/>
    </row>
    <row r="44" spans="2:24" ht="18.600000000000001" thickBot="1" x14ac:dyDescent="0.4">
      <c r="B44" s="1249">
        <v>46267</v>
      </c>
      <c r="C44" s="1250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55">
        <f t="shared" ref="N44" si="17">SUM(L44:L45)</f>
        <v>0</v>
      </c>
      <c r="O44" s="285"/>
    </row>
    <row r="45" spans="2:24" ht="18.600000000000001" thickBot="1" x14ac:dyDescent="0.4">
      <c r="B45" s="1251"/>
      <c r="C45" s="1252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56"/>
      <c r="O45" s="285"/>
    </row>
    <row r="46" spans="2:24" ht="18.600000000000001" thickBot="1" x14ac:dyDescent="0.4">
      <c r="B46" s="1249">
        <v>46268</v>
      </c>
      <c r="C46" s="1250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55">
        <f t="shared" ref="N46:N58" si="18">SUM(L46:L47)</f>
        <v>0</v>
      </c>
      <c r="O46" s="285"/>
    </row>
    <row r="47" spans="2:24" ht="18.600000000000001" thickBot="1" x14ac:dyDescent="0.4">
      <c r="B47" s="1251"/>
      <c r="C47" s="1252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56"/>
      <c r="O47" s="285"/>
    </row>
    <row r="48" spans="2:24" ht="18.600000000000001" thickBot="1" x14ac:dyDescent="0.4">
      <c r="B48" s="1249">
        <v>46269</v>
      </c>
      <c r="C48" s="1250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55">
        <f t="shared" si="18"/>
        <v>0</v>
      </c>
      <c r="O48" s="285"/>
    </row>
    <row r="49" spans="2:22" ht="18.600000000000001" thickBot="1" x14ac:dyDescent="0.4">
      <c r="B49" s="1251"/>
      <c r="C49" s="1252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56"/>
      <c r="O49" s="285"/>
    </row>
    <row r="50" spans="2:22" ht="18.600000000000001" thickBot="1" x14ac:dyDescent="0.4">
      <c r="B50" s="1249">
        <v>46270</v>
      </c>
      <c r="C50" s="1250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55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51"/>
      <c r="C51" s="1252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56"/>
      <c r="O51" s="285"/>
      <c r="P51" s="4"/>
    </row>
    <row r="52" spans="2:22" ht="18.600000000000001" thickBot="1" x14ac:dyDescent="0.4">
      <c r="B52" s="1249">
        <v>46271</v>
      </c>
      <c r="C52" s="1250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55">
        <f t="shared" si="18"/>
        <v>0</v>
      </c>
      <c r="O52" s="285"/>
    </row>
    <row r="53" spans="2:22" ht="18.600000000000001" thickBot="1" x14ac:dyDescent="0.4">
      <c r="B53" s="1251"/>
      <c r="C53" s="1252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56"/>
      <c r="O53" s="285"/>
      <c r="R53" s="1">
        <f>R50*4</f>
        <v>60</v>
      </c>
    </row>
    <row r="54" spans="2:22" ht="18.600000000000001" thickBot="1" x14ac:dyDescent="0.4">
      <c r="B54" s="1249">
        <v>46272</v>
      </c>
      <c r="C54" s="1250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55">
        <f t="shared" si="18"/>
        <v>0</v>
      </c>
      <c r="O54" s="285"/>
    </row>
    <row r="55" spans="2:22" ht="18.600000000000001" thickBot="1" x14ac:dyDescent="0.4">
      <c r="B55" s="1251"/>
      <c r="C55" s="1252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56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49">
        <v>46273</v>
      </c>
      <c r="C56" s="1250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55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51"/>
      <c r="C57" s="1252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56"/>
      <c r="O57" s="285"/>
      <c r="Q57" s="4"/>
      <c r="R57" s="4"/>
      <c r="S57" s="1">
        <v>1190</v>
      </c>
    </row>
    <row r="58" spans="2:22" ht="18.600000000000001" thickBot="1" x14ac:dyDescent="0.4">
      <c r="B58" s="1249">
        <v>46274</v>
      </c>
      <c r="C58" s="1250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55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51"/>
      <c r="C59" s="1252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56"/>
      <c r="O59" s="285"/>
      <c r="P59" s="4"/>
      <c r="S59" s="2">
        <f>(S55-S58)/S55</f>
        <v>0.10083594566353186</v>
      </c>
    </row>
    <row r="60" spans="2:22" ht="18.600000000000001" thickBot="1" x14ac:dyDescent="0.4">
      <c r="B60" s="1249">
        <v>46275</v>
      </c>
      <c r="C60" s="1250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59">
        <f>SUM(L60:L61)</f>
        <v>72.657000000000011</v>
      </c>
      <c r="O60" s="285"/>
      <c r="P60" s="9"/>
    </row>
    <row r="61" spans="2:22" ht="18.600000000000001" thickBot="1" x14ac:dyDescent="0.4">
      <c r="B61" s="1251"/>
      <c r="C61" s="1252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60"/>
      <c r="O61" s="285"/>
      <c r="P61" s="9"/>
    </row>
    <row r="62" spans="2:22" ht="18.600000000000001" thickBot="1" x14ac:dyDescent="0.4">
      <c r="B62" s="1249">
        <v>46276</v>
      </c>
      <c r="C62" s="1250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59">
        <f>SUM(L62:L63)</f>
        <v>0</v>
      </c>
      <c r="O62" s="285"/>
      <c r="P62" s="9"/>
    </row>
    <row r="63" spans="2:22" ht="18.600000000000001" thickBot="1" x14ac:dyDescent="0.4">
      <c r="B63" s="1251"/>
      <c r="C63" s="1252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60"/>
      <c r="O63" s="285"/>
      <c r="P63" s="9"/>
    </row>
    <row r="64" spans="2:22" ht="18.600000000000001" thickBot="1" x14ac:dyDescent="0.4">
      <c r="B64" s="1249">
        <v>46277</v>
      </c>
      <c r="C64" s="1250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59">
        <f>SUM(L64:L65)</f>
        <v>328.77</v>
      </c>
      <c r="O64" s="285"/>
      <c r="P64" s="9"/>
    </row>
    <row r="65" spans="2:16" ht="18.600000000000001" thickBot="1" x14ac:dyDescent="0.4">
      <c r="B65" s="1251"/>
      <c r="C65" s="1252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60"/>
      <c r="O65" s="285"/>
      <c r="P65" s="9"/>
    </row>
    <row r="66" spans="2:16" ht="18.600000000000001" thickBot="1" x14ac:dyDescent="0.4">
      <c r="B66" s="1249">
        <v>46278</v>
      </c>
      <c r="C66" s="1250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59">
        <f>SUM(L66:L67)</f>
        <v>262.66500000000002</v>
      </c>
      <c r="O66" s="285"/>
      <c r="P66" s="9"/>
    </row>
    <row r="67" spans="2:16" ht="18.600000000000001" thickBot="1" x14ac:dyDescent="0.4">
      <c r="B67" s="1251"/>
      <c r="C67" s="1252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60"/>
      <c r="O67" s="285"/>
      <c r="P67" s="9"/>
    </row>
    <row r="68" spans="2:16" ht="18.600000000000001" thickBot="1" x14ac:dyDescent="0.4">
      <c r="B68" s="1249">
        <v>46279</v>
      </c>
      <c r="C68" s="1250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46">
        <f t="shared" ref="N68" si="31">SUM(L68:L69)</f>
        <v>0</v>
      </c>
      <c r="O68" s="285"/>
      <c r="P68" s="9"/>
    </row>
    <row r="69" spans="2:16" ht="18.600000000000001" thickBot="1" x14ac:dyDescent="0.4">
      <c r="B69" s="1251"/>
      <c r="C69" s="1252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47"/>
      <c r="O69" s="285"/>
      <c r="P69" s="9"/>
    </row>
    <row r="70" spans="2:16" ht="18.600000000000001" thickBot="1" x14ac:dyDescent="0.4">
      <c r="B70" s="1249">
        <v>46280</v>
      </c>
      <c r="C70" s="1250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46">
        <f t="shared" ref="N70" si="32">SUM(L70:L71)</f>
        <v>0</v>
      </c>
      <c r="O70" s="285"/>
      <c r="P70" s="9"/>
    </row>
    <row r="71" spans="2:16" ht="18.600000000000001" thickBot="1" x14ac:dyDescent="0.4">
      <c r="B71" s="1251"/>
      <c r="C71" s="1252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47"/>
      <c r="O71" s="285"/>
      <c r="P71" s="9"/>
    </row>
    <row r="72" spans="2:16" ht="18.600000000000001" thickBot="1" x14ac:dyDescent="0.4">
      <c r="B72" s="1249">
        <v>46281</v>
      </c>
      <c r="C72" s="1250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46">
        <f t="shared" ref="N72" si="33">SUM(L72:L73)</f>
        <v>0</v>
      </c>
      <c r="O72" s="285"/>
      <c r="P72" s="9"/>
    </row>
    <row r="73" spans="2:16" ht="18.600000000000001" thickBot="1" x14ac:dyDescent="0.4">
      <c r="B73" s="1251"/>
      <c r="C73" s="1252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47"/>
      <c r="O73" s="285"/>
      <c r="P73" s="9"/>
    </row>
    <row r="74" spans="2:16" ht="18.600000000000001" thickBot="1" x14ac:dyDescent="0.4">
      <c r="B74" s="1249">
        <v>46282</v>
      </c>
      <c r="C74" s="1250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46">
        <f t="shared" ref="N74" si="34">SUM(L74:L75)</f>
        <v>0</v>
      </c>
      <c r="O74" s="285"/>
      <c r="P74" s="9"/>
    </row>
    <row r="75" spans="2:16" ht="18.600000000000001" thickBot="1" x14ac:dyDescent="0.4">
      <c r="B75" s="1251"/>
      <c r="C75" s="1252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47"/>
      <c r="O75" s="285"/>
      <c r="P75" s="9"/>
    </row>
    <row r="76" spans="2:16" ht="18.600000000000001" thickBot="1" x14ac:dyDescent="0.4">
      <c r="B76" s="1249">
        <v>46283</v>
      </c>
      <c r="C76" s="1250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46">
        <f>SUM(L76:L77)</f>
        <v>201.24</v>
      </c>
      <c r="O76" s="285" t="s">
        <v>639</v>
      </c>
      <c r="P76" s="9"/>
    </row>
    <row r="77" spans="2:16" ht="18.600000000000001" thickBot="1" x14ac:dyDescent="0.4">
      <c r="B77" s="1251"/>
      <c r="C77" s="1252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8">
        <f t="shared" si="29"/>
        <v>201.24</v>
      </c>
      <c r="M77" s="1009">
        <f t="shared" ref="M77:M80" si="36">IFERROR((K77/12),"")</f>
        <v>19.5</v>
      </c>
      <c r="N77" s="1247"/>
      <c r="O77" s="285" t="s">
        <v>640</v>
      </c>
      <c r="P77" s="9"/>
    </row>
    <row r="78" spans="2:16" ht="18" x14ac:dyDescent="0.35">
      <c r="B78" s="1249">
        <v>46284</v>
      </c>
      <c r="C78" s="1250"/>
      <c r="D78" s="988" t="s">
        <v>12</v>
      </c>
      <c r="E78" s="1010" t="s">
        <v>169</v>
      </c>
      <c r="F78" s="1011">
        <v>178</v>
      </c>
      <c r="G78" s="1012" t="s">
        <v>14</v>
      </c>
      <c r="H78" s="1013">
        <v>0.13</v>
      </c>
      <c r="I78" s="1014">
        <f t="shared" si="4"/>
        <v>0.7</v>
      </c>
      <c r="J78" s="1015">
        <v>1.3</v>
      </c>
      <c r="K78" s="1016">
        <f t="shared" si="35"/>
        <v>161.97999999999999</v>
      </c>
      <c r="L78" s="1017">
        <f t="shared" ref="L78:L80" si="37">IFERROR(((F78*I78)*J78)*(1-H78),"")</f>
        <v>140.92259999999999</v>
      </c>
      <c r="M78" s="1018">
        <f t="shared" si="36"/>
        <v>13.498333333333333</v>
      </c>
      <c r="N78" s="1259">
        <f>SUM(L78:L80)</f>
        <v>321.84879999999998</v>
      </c>
      <c r="O78" s="285" t="s">
        <v>639</v>
      </c>
      <c r="P78" s="9"/>
    </row>
    <row r="79" spans="2:16" ht="18" x14ac:dyDescent="0.35">
      <c r="B79" s="1257"/>
      <c r="C79" s="1258"/>
      <c r="D79" s="1021" t="s">
        <v>12</v>
      </c>
      <c r="E79" s="1022" t="s">
        <v>169</v>
      </c>
      <c r="F79" s="1023">
        <v>10</v>
      </c>
      <c r="G79" s="1024" t="s">
        <v>15</v>
      </c>
      <c r="H79" s="1025">
        <v>9.1999999999999998E-2</v>
      </c>
      <c r="I79" s="1026">
        <f t="shared" ref="I79" si="38">IFERROR((VLOOKUP(G79,S$6:T$8,2,FALSE)),"")</f>
        <v>2.8</v>
      </c>
      <c r="J79" s="1027">
        <v>1.3</v>
      </c>
      <c r="K79" s="1028">
        <f t="shared" ref="K79" si="39">IFERROR((F79*I79*J79),"")</f>
        <v>36.4</v>
      </c>
      <c r="L79" s="1028">
        <f t="shared" ref="L79" si="40">IFERROR(((F79*I79)*J79)*(1-H79),"")</f>
        <v>33.051200000000001</v>
      </c>
      <c r="M79" s="1028">
        <f t="shared" ref="M79" si="41">IFERROR((K79/12),"")</f>
        <v>3.0333333333333332</v>
      </c>
      <c r="N79" s="1259"/>
      <c r="O79" s="285"/>
      <c r="P79" s="9"/>
    </row>
    <row r="80" spans="2:16" ht="18.600000000000001" thickBot="1" x14ac:dyDescent="0.4">
      <c r="B80" s="1251"/>
      <c r="C80" s="1252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0">
        <v>1.3</v>
      </c>
      <c r="K80" s="306">
        <f t="shared" si="35"/>
        <v>162.5</v>
      </c>
      <c r="L80" s="1071">
        <f t="shared" si="37"/>
        <v>147.875</v>
      </c>
      <c r="M80" s="1072">
        <f t="shared" si="36"/>
        <v>13.541666666666666</v>
      </c>
      <c r="N80" s="1260"/>
      <c r="O80" s="285"/>
      <c r="P80" s="9"/>
    </row>
    <row r="81" spans="2:16" ht="18.600000000000001" thickBot="1" x14ac:dyDescent="0.4">
      <c r="B81" s="1249">
        <v>46285</v>
      </c>
      <c r="C81" s="1250"/>
      <c r="D81" s="1021" t="s">
        <v>12</v>
      </c>
      <c r="E81" s="312" t="s">
        <v>169</v>
      </c>
      <c r="F81" s="313">
        <v>50</v>
      </c>
      <c r="G81" s="1024" t="s">
        <v>14</v>
      </c>
      <c r="H81" s="1025">
        <v>0.1</v>
      </c>
      <c r="I81" s="1026">
        <f t="shared" si="4"/>
        <v>0.7</v>
      </c>
      <c r="J81" s="1027">
        <v>1.3</v>
      </c>
      <c r="K81" s="1028">
        <f t="shared" ref="K81:K85" si="42">IFERROR((F81*I81*J81),"")</f>
        <v>45.5</v>
      </c>
      <c r="L81" s="1076">
        <f t="shared" ref="L81:L85" si="43">IFERROR(((F81*I81)*J81)*(1-H81),"")</f>
        <v>40.950000000000003</v>
      </c>
      <c r="M81" s="1076">
        <f t="shared" ref="M81:M85" si="44">IFERROR((K81/12),"")</f>
        <v>3.7916666666666665</v>
      </c>
      <c r="N81" s="1259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57"/>
      <c r="C82" s="1258"/>
      <c r="D82" s="1021" t="s">
        <v>12</v>
      </c>
      <c r="E82" s="287" t="s">
        <v>169</v>
      </c>
      <c r="F82" s="288">
        <v>20</v>
      </c>
      <c r="G82" s="1024" t="s">
        <v>428</v>
      </c>
      <c r="H82" s="1025">
        <v>0.1</v>
      </c>
      <c r="I82" s="1026">
        <f t="shared" si="4"/>
        <v>0.5</v>
      </c>
      <c r="J82" s="1027">
        <v>1.3</v>
      </c>
      <c r="K82" s="1028">
        <f t="shared" si="42"/>
        <v>13</v>
      </c>
      <c r="L82" s="1076">
        <f t="shared" si="43"/>
        <v>11.700000000000001</v>
      </c>
      <c r="M82" s="1076">
        <f t="shared" si="44"/>
        <v>1.0833333333333333</v>
      </c>
      <c r="N82" s="1259"/>
      <c r="O82" s="285"/>
      <c r="P82" s="9"/>
    </row>
    <row r="83" spans="2:16" ht="18.600000000000001" thickBot="1" x14ac:dyDescent="0.4">
      <c r="B83" s="1251"/>
      <c r="C83" s="1252"/>
      <c r="D83" s="1021" t="s">
        <v>13</v>
      </c>
      <c r="E83" s="298" t="s">
        <v>553</v>
      </c>
      <c r="F83" s="291">
        <v>190</v>
      </c>
      <c r="G83" s="1024" t="s">
        <v>14</v>
      </c>
      <c r="H83" s="1025">
        <v>0.09</v>
      </c>
      <c r="I83" s="1026">
        <f t="shared" si="4"/>
        <v>0.7</v>
      </c>
      <c r="J83" s="1027">
        <v>1.3</v>
      </c>
      <c r="K83" s="1028">
        <f t="shared" si="42"/>
        <v>172.9</v>
      </c>
      <c r="L83" s="1076">
        <f t="shared" si="43"/>
        <v>157.339</v>
      </c>
      <c r="M83" s="1076">
        <f t="shared" si="44"/>
        <v>14.408333333333333</v>
      </c>
      <c r="N83" s="1260"/>
      <c r="O83" s="285"/>
      <c r="P83" s="9"/>
    </row>
    <row r="84" spans="2:16" ht="18.600000000000001" thickBot="1" x14ac:dyDescent="0.4">
      <c r="B84" s="1249">
        <v>46286</v>
      </c>
      <c r="C84" s="1250"/>
      <c r="D84" s="1077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9">
        <f t="shared" si="4"/>
        <v>0.7</v>
      </c>
      <c r="J84" s="1020">
        <v>1.3</v>
      </c>
      <c r="K84" s="1073">
        <f t="shared" si="42"/>
        <v>273</v>
      </c>
      <c r="L84" s="1074">
        <f t="shared" si="43"/>
        <v>248.43</v>
      </c>
      <c r="M84" s="1075">
        <f t="shared" si="44"/>
        <v>22.75</v>
      </c>
      <c r="N84" s="1246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51"/>
      <c r="C85" s="1252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47"/>
      <c r="O85" s="285"/>
      <c r="P85" s="9"/>
    </row>
    <row r="86" spans="2:16" ht="18.600000000000001" thickBot="1" x14ac:dyDescent="0.4">
      <c r="B86" s="1249">
        <v>46287</v>
      </c>
      <c r="C86" s="1250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46">
        <f t="shared" ref="N86" si="50">SUM(L86:L87)</f>
        <v>124.488</v>
      </c>
      <c r="O86" s="285"/>
      <c r="P86" s="9"/>
    </row>
    <row r="87" spans="2:16" ht="18.600000000000001" thickBot="1" x14ac:dyDescent="0.4">
      <c r="B87" s="1251"/>
      <c r="C87" s="1252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47"/>
      <c r="O87" s="285"/>
      <c r="P87" s="9"/>
    </row>
    <row r="88" spans="2:16" ht="18.600000000000001" thickBot="1" x14ac:dyDescent="0.4">
      <c r="B88" s="1249">
        <v>46288</v>
      </c>
      <c r="C88" s="1250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46">
        <f>SUM(L88:L89)</f>
        <v>375.79359999999997</v>
      </c>
      <c r="O88" s="285"/>
      <c r="P88" s="9"/>
    </row>
    <row r="89" spans="2:16" ht="18.600000000000001" thickBot="1" x14ac:dyDescent="0.4">
      <c r="B89" s="1251"/>
      <c r="C89" s="1252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47"/>
      <c r="O89" s="285"/>
      <c r="P89" s="9"/>
    </row>
    <row r="90" spans="2:16" ht="18.600000000000001" thickBot="1" x14ac:dyDescent="0.4">
      <c r="B90" s="1249">
        <v>46289</v>
      </c>
      <c r="C90" s="1250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46">
        <f t="shared" ref="N90" si="59">SUM(L90:L91)</f>
        <v>205.25959999999998</v>
      </c>
      <c r="O90" s="285"/>
      <c r="P90" s="9"/>
    </row>
    <row r="91" spans="2:16" ht="18.600000000000001" thickBot="1" x14ac:dyDescent="0.4">
      <c r="B91" s="1251"/>
      <c r="C91" s="1252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47"/>
      <c r="O91" s="285"/>
      <c r="P91" s="9"/>
    </row>
    <row r="92" spans="2:16" ht="18.600000000000001" thickBot="1" x14ac:dyDescent="0.4">
      <c r="B92" s="1249">
        <v>46290</v>
      </c>
      <c r="C92" s="1250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46">
        <f t="shared" ref="N92" si="64">SUM(L92:L93)</f>
        <v>203.11199999999997</v>
      </c>
      <c r="O92" s="285"/>
      <c r="P92" s="9"/>
    </row>
    <row r="93" spans="2:16" ht="18.600000000000001" thickBot="1" x14ac:dyDescent="0.4">
      <c r="B93" s="1251"/>
      <c r="C93" s="1252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47"/>
      <c r="O93" s="285"/>
      <c r="P93" s="9"/>
    </row>
    <row r="94" spans="2:16" ht="18.600000000000001" thickBot="1" x14ac:dyDescent="0.4">
      <c r="B94" s="1249">
        <v>46291</v>
      </c>
      <c r="C94" s="1250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0.11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80.989999999999995</v>
      </c>
      <c r="M94" s="309">
        <f t="shared" ref="M94:M97" si="68">IFERROR((K94/12),"")</f>
        <v>7.583333333333333</v>
      </c>
      <c r="N94" s="1246">
        <f t="shared" ref="N94" si="69">SUM(L94:L95)</f>
        <v>231.68599999999998</v>
      </c>
      <c r="O94" s="285"/>
      <c r="P94" s="9"/>
    </row>
    <row r="95" spans="2:16" ht="18.600000000000001" thickBot="1" x14ac:dyDescent="0.4">
      <c r="B95" s="1251"/>
      <c r="C95" s="1252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0.1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150.696</v>
      </c>
      <c r="M95" s="310">
        <f t="shared" si="68"/>
        <v>13.953333333333333</v>
      </c>
      <c r="N95" s="1247"/>
      <c r="O95" s="285"/>
      <c r="P95" s="9"/>
    </row>
    <row r="96" spans="2:16" ht="18.600000000000001" thickBot="1" x14ac:dyDescent="0.4">
      <c r="B96" s="1249">
        <v>46292</v>
      </c>
      <c r="C96" s="1250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46">
        <f t="shared" ref="N96" si="70">SUM(L96:L97)</f>
        <v>0</v>
      </c>
      <c r="O96" s="285"/>
      <c r="P96" s="9"/>
    </row>
    <row r="97" spans="2:19" ht="18.600000000000001" thickBot="1" x14ac:dyDescent="0.4">
      <c r="B97" s="1251"/>
      <c r="C97" s="1252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47"/>
      <c r="O97" s="285"/>
      <c r="P97" s="9"/>
    </row>
    <row r="98" spans="2:19" ht="18.600000000000001" thickBot="1" x14ac:dyDescent="0.4">
      <c r="B98" s="1249">
        <v>46293</v>
      </c>
      <c r="C98" s="1250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46">
        <f t="shared" ref="N98" si="75">SUM(L98:L99)</f>
        <v>0</v>
      </c>
      <c r="O98" s="285"/>
      <c r="P98" s="9"/>
    </row>
    <row r="99" spans="2:19" ht="18.600000000000001" thickBot="1" x14ac:dyDescent="0.4">
      <c r="B99" s="1251"/>
      <c r="C99" s="1252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247"/>
      <c r="O99" s="285"/>
      <c r="P99" s="9"/>
    </row>
    <row r="100" spans="2:19" ht="18.600000000000001" thickBot="1" x14ac:dyDescent="0.4">
      <c r="B100" s="1249">
        <v>46294</v>
      </c>
      <c r="C100" s="1250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46">
        <f t="shared" ref="N100" si="76">SUM(L100:L101)</f>
        <v>0</v>
      </c>
      <c r="O100" s="285"/>
      <c r="P100" s="9"/>
    </row>
    <row r="101" spans="2:19" ht="18.600000000000001" thickBot="1" x14ac:dyDescent="0.4">
      <c r="B101" s="1251"/>
      <c r="C101" s="1252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47"/>
      <c r="O101" s="285"/>
      <c r="P101" s="9"/>
    </row>
    <row r="102" spans="2:19" ht="18.600000000000001" thickBot="1" x14ac:dyDescent="0.4">
      <c r="B102" s="1249">
        <v>46295</v>
      </c>
      <c r="C102" s="1250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46">
        <f>SUM(L102:L103)</f>
        <v>0</v>
      </c>
      <c r="O102" s="285"/>
      <c r="P102" s="9"/>
    </row>
    <row r="103" spans="2:19" ht="18.600000000000001" thickBot="1" x14ac:dyDescent="0.4">
      <c r="B103" s="1251"/>
      <c r="C103" s="1252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48"/>
      <c r="O103" s="285"/>
      <c r="P103" s="9"/>
    </row>
    <row r="104" spans="2:19" ht="18" x14ac:dyDescent="0.35">
      <c r="B104" s="1273" t="s">
        <v>16</v>
      </c>
      <c r="C104" s="1274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9">
        <f>AVERAGE(M6:M103)</f>
        <v>12.686869369369367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75" t="s">
        <v>17</v>
      </c>
      <c r="C105" s="1276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4936.6576000000005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1"/>
    </row>
    <row r="108" spans="2:19" x14ac:dyDescent="0.3">
      <c r="F108" s="266"/>
      <c r="I108" s="266"/>
      <c r="N108" s="951"/>
    </row>
    <row r="112" spans="2:19" x14ac:dyDescent="0.3">
      <c r="O112" s="4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6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7"/>
    <col min="2" max="2" width="29.88671875" style="847" bestFit="1" customWidth="1"/>
    <col min="3" max="3" width="96.6640625" style="847" bestFit="1" customWidth="1"/>
    <col min="4" max="4" width="110.44140625" style="847" customWidth="1"/>
    <col min="5" max="5" width="171.33203125" style="847" customWidth="1"/>
    <col min="6" max="7" width="151" style="847" customWidth="1"/>
    <col min="8" max="8" width="35.88671875" style="847" bestFit="1" customWidth="1"/>
    <col min="9" max="9" width="133.88671875" style="847" customWidth="1"/>
    <col min="10" max="10" width="112.109375" style="847" customWidth="1"/>
    <col min="11" max="11" width="72.6640625" style="847" customWidth="1"/>
    <col min="12" max="12" width="82.109375" style="847" bestFit="1" customWidth="1"/>
    <col min="13" max="13" width="42.33203125" style="847" customWidth="1"/>
    <col min="14" max="19" width="9.109375" style="847"/>
    <col min="20" max="20" width="33.5546875" style="847" customWidth="1"/>
    <col min="21" max="21" width="17.44140625" style="847" customWidth="1"/>
    <col min="22" max="25" width="9.109375" style="847"/>
    <col min="26" max="26" width="23" style="847" customWidth="1"/>
    <col min="27" max="27" width="24.44140625" style="847" customWidth="1"/>
    <col min="28" max="28" width="39" style="847" customWidth="1"/>
    <col min="29" max="16384" width="9.109375" style="847"/>
  </cols>
  <sheetData>
    <row r="1" spans="2:28" x14ac:dyDescent="1.65">
      <c r="B1" s="844"/>
      <c r="C1" s="845"/>
      <c r="D1" s="845"/>
      <c r="E1" s="845"/>
      <c r="F1" s="845"/>
      <c r="G1" s="845"/>
      <c r="H1" s="845"/>
      <c r="I1" s="845"/>
      <c r="J1" s="845"/>
      <c r="K1" s="845"/>
      <c r="L1" s="845"/>
      <c r="M1" s="845"/>
      <c r="N1" s="845"/>
      <c r="O1" s="845"/>
      <c r="P1" s="845"/>
      <c r="Q1" s="845"/>
      <c r="R1" s="845"/>
      <c r="S1" s="845"/>
      <c r="T1" s="846"/>
    </row>
    <row r="2" spans="2:28" x14ac:dyDescent="1.65">
      <c r="B2" s="1279" t="s">
        <v>601</v>
      </c>
      <c r="C2" s="1280"/>
      <c r="D2" s="1280"/>
      <c r="E2" s="1280"/>
      <c r="F2" s="1280"/>
      <c r="G2" s="1280"/>
      <c r="H2" s="1280"/>
      <c r="I2" s="1280"/>
      <c r="J2" s="1280"/>
      <c r="K2" s="1280"/>
      <c r="L2" s="1280"/>
      <c r="M2" s="1280"/>
      <c r="N2" s="1280"/>
      <c r="O2" s="1280"/>
      <c r="P2" s="1280"/>
      <c r="Q2" s="1280"/>
      <c r="R2" s="1280"/>
      <c r="S2" s="1280"/>
      <c r="T2" s="1281"/>
    </row>
    <row r="3" spans="2:28" x14ac:dyDescent="1.65">
      <c r="B3" s="849"/>
      <c r="C3" s="1280" t="s">
        <v>602</v>
      </c>
      <c r="D3" s="1280"/>
      <c r="E3" s="1280"/>
      <c r="F3" s="1280"/>
      <c r="G3" s="1280"/>
      <c r="H3" s="1280"/>
      <c r="I3" s="1280"/>
      <c r="J3" s="1280"/>
      <c r="K3" s="1280"/>
      <c r="L3" s="1280"/>
      <c r="M3" s="1280"/>
      <c r="N3" s="1280"/>
      <c r="O3" s="1280"/>
      <c r="P3" s="1280"/>
      <c r="Q3" s="1280"/>
      <c r="R3" s="1280"/>
      <c r="S3" s="1280"/>
      <c r="T3" s="1281"/>
    </row>
    <row r="4" spans="2:28" ht="92.4" thickBot="1" x14ac:dyDescent="1.7">
      <c r="B4" s="1282" t="s">
        <v>603</v>
      </c>
      <c r="C4" s="1283"/>
      <c r="D4" s="1283"/>
      <c r="E4" s="1283"/>
      <c r="F4" s="1283"/>
      <c r="G4" s="1283"/>
      <c r="H4" s="1283"/>
      <c r="I4" s="1283"/>
      <c r="J4" s="1283"/>
      <c r="K4" s="1283"/>
      <c r="L4" s="1283"/>
      <c r="M4" s="1283"/>
      <c r="N4" s="1283"/>
      <c r="O4" s="1283"/>
      <c r="P4" s="1283"/>
      <c r="Q4" s="1283"/>
      <c r="R4" s="1283"/>
      <c r="S4" s="1283"/>
      <c r="T4" s="1284"/>
    </row>
    <row r="5" spans="2:28" x14ac:dyDescent="1.65">
      <c r="B5" s="850"/>
      <c r="C5" s="851"/>
      <c r="D5" s="851"/>
      <c r="E5" s="851"/>
      <c r="F5" s="851"/>
      <c r="G5" s="851"/>
      <c r="H5" s="845"/>
      <c r="I5" s="851"/>
      <c r="J5" s="851"/>
      <c r="K5" s="851"/>
      <c r="L5" s="851"/>
      <c r="M5" s="851"/>
      <c r="N5" s="851"/>
      <c r="O5" s="851"/>
      <c r="P5" s="851"/>
      <c r="Q5" s="851"/>
      <c r="R5" s="851"/>
      <c r="S5" s="851"/>
      <c r="T5" s="852"/>
      <c r="U5" s="853"/>
    </row>
    <row r="6" spans="2:28" x14ac:dyDescent="1.65">
      <c r="B6" s="1285" t="s">
        <v>622</v>
      </c>
      <c r="C6" s="1286"/>
      <c r="D6" s="1286"/>
      <c r="E6" s="1286"/>
      <c r="F6" s="1286"/>
      <c r="G6" s="1286"/>
      <c r="H6" s="1286"/>
      <c r="I6" s="1286"/>
      <c r="J6" s="1286"/>
      <c r="K6" s="1286"/>
      <c r="L6" s="1286"/>
      <c r="M6" s="1286"/>
      <c r="N6" s="1286"/>
      <c r="O6" s="1286"/>
      <c r="P6" s="1286"/>
      <c r="Q6" s="1286"/>
      <c r="R6" s="1286"/>
      <c r="S6" s="1286"/>
      <c r="T6" s="1287"/>
    </row>
    <row r="7" spans="2:28" ht="92.4" thickBot="1" x14ac:dyDescent="1.7">
      <c r="B7" s="1288"/>
      <c r="C7" s="1289"/>
      <c r="D7" s="1289"/>
      <c r="E7" s="1289"/>
      <c r="F7" s="1289"/>
      <c r="G7" s="1289"/>
      <c r="H7" s="1289"/>
      <c r="I7" s="1289"/>
      <c r="J7" s="1289"/>
      <c r="K7" s="1289"/>
      <c r="L7" s="1289"/>
      <c r="M7" s="1289"/>
      <c r="N7" s="1289"/>
      <c r="O7" s="1289"/>
      <c r="P7" s="1289"/>
      <c r="Q7" s="1289"/>
      <c r="R7" s="1289"/>
      <c r="S7" s="1289"/>
      <c r="T7" s="1290"/>
    </row>
    <row r="8" spans="2:28" x14ac:dyDescent="1.65">
      <c r="B8" s="854"/>
      <c r="T8" s="855"/>
    </row>
    <row r="9" spans="2:28" x14ac:dyDescent="1.65">
      <c r="B9" s="854"/>
      <c r="T9" s="855"/>
    </row>
    <row r="10" spans="2:28" x14ac:dyDescent="1.65">
      <c r="B10" s="854"/>
      <c r="T10" s="855"/>
    </row>
    <row r="11" spans="2:28" x14ac:dyDescent="1.65">
      <c r="B11" s="854"/>
      <c r="T11" s="855"/>
    </row>
    <row r="12" spans="2:28" x14ac:dyDescent="1.65">
      <c r="B12" s="854"/>
      <c r="T12" s="855"/>
    </row>
    <row r="13" spans="2:28" x14ac:dyDescent="1.65">
      <c r="B13" s="848"/>
      <c r="C13" s="856" t="s">
        <v>70</v>
      </c>
      <c r="D13" s="856" t="s">
        <v>0</v>
      </c>
      <c r="E13" s="856" t="s">
        <v>604</v>
      </c>
      <c r="F13" s="856" t="s">
        <v>667</v>
      </c>
      <c r="G13" s="856" t="s">
        <v>611</v>
      </c>
      <c r="H13" s="856" t="s">
        <v>605</v>
      </c>
      <c r="I13" s="856" t="s">
        <v>606</v>
      </c>
      <c r="J13" s="856" t="s">
        <v>607</v>
      </c>
      <c r="K13" s="856" t="s">
        <v>608</v>
      </c>
      <c r="L13" s="856" t="s">
        <v>225</v>
      </c>
      <c r="M13" s="856" t="s">
        <v>609</v>
      </c>
      <c r="T13" s="855"/>
      <c r="Z13" s="1291" t="s">
        <v>620</v>
      </c>
      <c r="AA13" s="1291"/>
      <c r="AB13" s="1291"/>
    </row>
    <row r="14" spans="2:28" x14ac:dyDescent="1.65">
      <c r="B14" s="857"/>
      <c r="C14" s="858">
        <v>1</v>
      </c>
      <c r="D14" s="864">
        <v>46268</v>
      </c>
      <c r="E14" s="858" t="s">
        <v>612</v>
      </c>
      <c r="F14" s="858" t="s">
        <v>613</v>
      </c>
      <c r="G14" s="858">
        <v>1000</v>
      </c>
      <c r="H14" s="858">
        <v>1</v>
      </c>
      <c r="I14" s="858">
        <v>10</v>
      </c>
      <c r="J14" s="858">
        <v>0</v>
      </c>
      <c r="K14" s="858">
        <v>0.01</v>
      </c>
      <c r="L14" s="858" t="s">
        <v>619</v>
      </c>
      <c r="M14" s="1096">
        <v>7</v>
      </c>
      <c r="T14" s="855"/>
      <c r="Z14" s="847">
        <v>1</v>
      </c>
      <c r="AA14" s="847" t="s">
        <v>621</v>
      </c>
    </row>
    <row r="15" spans="2:28" x14ac:dyDescent="1.65">
      <c r="B15" s="857"/>
      <c r="C15" s="858">
        <v>2</v>
      </c>
      <c r="D15" s="864">
        <v>46269</v>
      </c>
      <c r="E15" s="858" t="s">
        <v>612</v>
      </c>
      <c r="F15" s="858" t="s">
        <v>613</v>
      </c>
      <c r="G15" s="858">
        <v>1000</v>
      </c>
      <c r="H15" s="858">
        <v>1</v>
      </c>
      <c r="I15" s="858">
        <v>10</v>
      </c>
      <c r="J15" s="858">
        <v>0</v>
      </c>
      <c r="K15" s="858">
        <v>0.01</v>
      </c>
      <c r="L15" s="858" t="s">
        <v>619</v>
      </c>
      <c r="M15" s="1096">
        <v>7</v>
      </c>
      <c r="T15" s="855"/>
      <c r="Z15" s="847">
        <v>2</v>
      </c>
      <c r="AA15" s="847" t="s">
        <v>618</v>
      </c>
    </row>
    <row r="16" spans="2:28" x14ac:dyDescent="1.65">
      <c r="B16" s="857"/>
      <c r="C16" s="858">
        <v>3</v>
      </c>
      <c r="D16" s="864">
        <v>46269</v>
      </c>
      <c r="E16" s="858" t="s">
        <v>615</v>
      </c>
      <c r="F16" s="858" t="s">
        <v>613</v>
      </c>
      <c r="G16" s="858">
        <v>1000</v>
      </c>
      <c r="H16" s="858">
        <v>1</v>
      </c>
      <c r="I16" s="858">
        <v>10</v>
      </c>
      <c r="J16" s="858">
        <v>0</v>
      </c>
      <c r="K16" s="858">
        <v>0.01</v>
      </c>
      <c r="L16" s="858" t="s">
        <v>619</v>
      </c>
      <c r="M16" s="1096">
        <v>7</v>
      </c>
      <c r="T16" s="855"/>
      <c r="Z16" s="847">
        <v>3</v>
      </c>
      <c r="AA16" s="847" t="s">
        <v>610</v>
      </c>
    </row>
    <row r="17" spans="2:20" x14ac:dyDescent="1.65">
      <c r="B17" s="854"/>
      <c r="C17" s="858">
        <v>4</v>
      </c>
      <c r="D17" s="865">
        <v>46270</v>
      </c>
      <c r="E17" s="859" t="s">
        <v>616</v>
      </c>
      <c r="F17" s="858" t="s">
        <v>613</v>
      </c>
      <c r="G17" s="858">
        <v>1000</v>
      </c>
      <c r="H17" s="858">
        <v>1</v>
      </c>
      <c r="I17" s="858">
        <v>10</v>
      </c>
      <c r="J17" s="858">
        <v>0</v>
      </c>
      <c r="K17" s="858">
        <v>0.01</v>
      </c>
      <c r="L17" s="858" t="s">
        <v>619</v>
      </c>
      <c r="M17" s="1096">
        <v>7</v>
      </c>
      <c r="T17" s="855"/>
    </row>
    <row r="18" spans="2:20" x14ac:dyDescent="1.65">
      <c r="B18" s="854"/>
      <c r="C18" s="858">
        <v>5</v>
      </c>
      <c r="D18" s="865">
        <v>46274</v>
      </c>
      <c r="E18" s="859" t="s">
        <v>617</v>
      </c>
      <c r="F18" s="858" t="s">
        <v>618</v>
      </c>
      <c r="G18" s="858">
        <v>1000</v>
      </c>
      <c r="H18" s="858">
        <v>1</v>
      </c>
      <c r="I18" s="858">
        <v>10</v>
      </c>
      <c r="J18" s="858">
        <v>0</v>
      </c>
      <c r="K18" s="858">
        <v>0.01</v>
      </c>
      <c r="L18" s="858" t="s">
        <v>619</v>
      </c>
      <c r="M18" s="1096">
        <v>7</v>
      </c>
      <c r="T18" s="855"/>
    </row>
    <row r="19" spans="2:20" x14ac:dyDescent="1.65">
      <c r="B19" s="854"/>
      <c r="C19" s="858">
        <v>6</v>
      </c>
      <c r="D19" s="865">
        <v>46274</v>
      </c>
      <c r="E19" s="859" t="s">
        <v>614</v>
      </c>
      <c r="F19" s="858" t="s">
        <v>613</v>
      </c>
      <c r="G19" s="858">
        <v>1000</v>
      </c>
      <c r="H19" s="858">
        <v>1</v>
      </c>
      <c r="I19" s="858">
        <v>10</v>
      </c>
      <c r="J19" s="858">
        <v>0</v>
      </c>
      <c r="K19" s="858">
        <v>0.01</v>
      </c>
      <c r="L19" s="858" t="s">
        <v>619</v>
      </c>
      <c r="M19" s="1096">
        <v>7</v>
      </c>
      <c r="T19" s="855"/>
    </row>
    <row r="20" spans="2:20" x14ac:dyDescent="1.65">
      <c r="B20" s="854"/>
      <c r="C20" s="858">
        <v>7</v>
      </c>
      <c r="D20" s="865">
        <v>46275</v>
      </c>
      <c r="E20" s="859" t="s">
        <v>616</v>
      </c>
      <c r="F20" s="858" t="s">
        <v>613</v>
      </c>
      <c r="G20" s="858">
        <v>1000</v>
      </c>
      <c r="H20" s="858">
        <v>1</v>
      </c>
      <c r="I20" s="858">
        <v>10</v>
      </c>
      <c r="J20" s="858">
        <v>0</v>
      </c>
      <c r="K20" s="858">
        <v>0.01</v>
      </c>
      <c r="L20" s="858" t="s">
        <v>619</v>
      </c>
      <c r="M20" s="1096">
        <v>7</v>
      </c>
      <c r="T20" s="855"/>
    </row>
    <row r="21" spans="2:20" x14ac:dyDescent="1.65">
      <c r="B21" s="854"/>
      <c r="C21" s="858">
        <v>8</v>
      </c>
      <c r="D21" s="865">
        <v>46275</v>
      </c>
      <c r="E21" s="859" t="s">
        <v>614</v>
      </c>
      <c r="F21" s="858" t="s">
        <v>613</v>
      </c>
      <c r="G21" s="858">
        <v>1000</v>
      </c>
      <c r="H21" s="858">
        <v>1</v>
      </c>
      <c r="I21" s="858">
        <v>10</v>
      </c>
      <c r="J21" s="858">
        <v>0</v>
      </c>
      <c r="K21" s="858">
        <v>0.01</v>
      </c>
      <c r="L21" s="858" t="s">
        <v>619</v>
      </c>
      <c r="M21" s="1096">
        <v>7</v>
      </c>
      <c r="T21" s="855"/>
    </row>
    <row r="22" spans="2:20" x14ac:dyDescent="1.65">
      <c r="B22" s="854"/>
      <c r="C22" s="858">
        <v>9</v>
      </c>
      <c r="D22" s="865">
        <v>46276</v>
      </c>
      <c r="E22" s="859" t="s">
        <v>616</v>
      </c>
      <c r="F22" s="858" t="s">
        <v>613</v>
      </c>
      <c r="G22" s="858">
        <v>1000</v>
      </c>
      <c r="H22" s="858">
        <v>1</v>
      </c>
      <c r="I22" s="858">
        <v>10</v>
      </c>
      <c r="J22" s="858">
        <v>0</v>
      </c>
      <c r="K22" s="858">
        <v>0.01</v>
      </c>
      <c r="L22" s="858" t="s">
        <v>619</v>
      </c>
      <c r="M22" s="1096">
        <v>7</v>
      </c>
      <c r="T22" s="855"/>
    </row>
    <row r="23" spans="2:20" x14ac:dyDescent="1.65">
      <c r="B23" s="854"/>
      <c r="C23" s="858">
        <v>10</v>
      </c>
      <c r="D23" s="865">
        <v>46276</v>
      </c>
      <c r="E23" s="859" t="s">
        <v>614</v>
      </c>
      <c r="F23" s="858" t="s">
        <v>613</v>
      </c>
      <c r="G23" s="858">
        <v>1000</v>
      </c>
      <c r="H23" s="858">
        <v>1</v>
      </c>
      <c r="I23" s="858">
        <v>10</v>
      </c>
      <c r="J23" s="858">
        <v>0</v>
      </c>
      <c r="K23" s="858">
        <v>0.01</v>
      </c>
      <c r="L23" s="858" t="s">
        <v>619</v>
      </c>
      <c r="M23" s="1096">
        <v>7</v>
      </c>
      <c r="T23" s="855"/>
    </row>
    <row r="24" spans="2:20" x14ac:dyDescent="1.65">
      <c r="B24" s="854"/>
      <c r="C24" s="858">
        <v>11</v>
      </c>
      <c r="D24" s="865">
        <v>46277</v>
      </c>
      <c r="E24" s="859" t="s">
        <v>616</v>
      </c>
      <c r="F24" s="858" t="s">
        <v>610</v>
      </c>
      <c r="G24" s="858">
        <v>1000</v>
      </c>
      <c r="H24" s="858">
        <v>1</v>
      </c>
      <c r="I24" s="858">
        <v>10</v>
      </c>
      <c r="J24" s="858">
        <v>0</v>
      </c>
      <c r="K24" s="858">
        <v>0.01</v>
      </c>
      <c r="L24" s="858" t="s">
        <v>619</v>
      </c>
      <c r="M24" s="1096">
        <v>7</v>
      </c>
      <c r="T24" s="855"/>
    </row>
    <row r="25" spans="2:20" x14ac:dyDescent="1.65">
      <c r="B25" s="854"/>
      <c r="C25" s="858">
        <v>12</v>
      </c>
      <c r="D25" s="865">
        <v>46277</v>
      </c>
      <c r="E25" s="859" t="s">
        <v>614</v>
      </c>
      <c r="F25" s="858" t="s">
        <v>610</v>
      </c>
      <c r="G25" s="858">
        <v>1000</v>
      </c>
      <c r="H25" s="858">
        <v>1</v>
      </c>
      <c r="I25" s="858">
        <v>10</v>
      </c>
      <c r="J25" s="858">
        <v>0</v>
      </c>
      <c r="K25" s="858">
        <v>0.01</v>
      </c>
      <c r="L25" s="858" t="s">
        <v>619</v>
      </c>
      <c r="M25" s="1096">
        <v>7</v>
      </c>
      <c r="T25" s="855"/>
    </row>
    <row r="26" spans="2:20" x14ac:dyDescent="1.65">
      <c r="B26" s="854"/>
      <c r="C26" s="858">
        <v>13</v>
      </c>
      <c r="D26" s="865">
        <v>46278</v>
      </c>
      <c r="E26" s="859" t="s">
        <v>614</v>
      </c>
      <c r="F26" s="858" t="s">
        <v>610</v>
      </c>
      <c r="G26" s="858">
        <v>1000</v>
      </c>
      <c r="H26" s="858">
        <v>1</v>
      </c>
      <c r="I26" s="858">
        <v>10</v>
      </c>
      <c r="J26" s="858">
        <v>0</v>
      </c>
      <c r="K26" s="858">
        <v>0.01</v>
      </c>
      <c r="L26" s="858" t="s">
        <v>619</v>
      </c>
      <c r="M26" s="859">
        <v>7.1</v>
      </c>
      <c r="T26" s="855"/>
    </row>
    <row r="27" spans="2:20" x14ac:dyDescent="1.65">
      <c r="B27" s="854"/>
      <c r="C27" s="858">
        <v>14</v>
      </c>
      <c r="D27" s="865">
        <v>46279</v>
      </c>
      <c r="E27" s="859" t="s">
        <v>616</v>
      </c>
      <c r="F27" s="858" t="s">
        <v>610</v>
      </c>
      <c r="G27" s="858">
        <v>1000</v>
      </c>
      <c r="H27" s="858">
        <v>1</v>
      </c>
      <c r="I27" s="858">
        <v>10</v>
      </c>
      <c r="J27" s="858">
        <v>0</v>
      </c>
      <c r="K27" s="858">
        <v>0.01</v>
      </c>
      <c r="L27" s="858" t="s">
        <v>619</v>
      </c>
      <c r="M27" s="859">
        <v>6.6</v>
      </c>
      <c r="T27" s="855"/>
    </row>
    <row r="28" spans="2:20" x14ac:dyDescent="1.65">
      <c r="B28" s="854"/>
      <c r="C28" s="858">
        <v>15</v>
      </c>
      <c r="D28" s="865">
        <v>46280</v>
      </c>
      <c r="E28" s="859" t="s">
        <v>616</v>
      </c>
      <c r="F28" s="858" t="s">
        <v>610</v>
      </c>
      <c r="G28" s="858">
        <v>1000</v>
      </c>
      <c r="H28" s="858">
        <v>1</v>
      </c>
      <c r="I28" s="858">
        <v>10</v>
      </c>
      <c r="J28" s="858">
        <v>0</v>
      </c>
      <c r="K28" s="858">
        <v>0.01</v>
      </c>
      <c r="L28" s="858" t="s">
        <v>619</v>
      </c>
      <c r="M28" s="859">
        <v>6.8</v>
      </c>
      <c r="T28" s="855"/>
    </row>
    <row r="29" spans="2:20" x14ac:dyDescent="1.65">
      <c r="B29" s="854"/>
      <c r="C29" s="858">
        <v>16</v>
      </c>
      <c r="D29" s="864">
        <v>46282</v>
      </c>
      <c r="E29" s="859" t="s">
        <v>614</v>
      </c>
      <c r="F29" s="858" t="s">
        <v>610</v>
      </c>
      <c r="G29" s="858">
        <v>1000</v>
      </c>
      <c r="H29" s="858">
        <v>1</v>
      </c>
      <c r="I29" s="858">
        <v>10</v>
      </c>
      <c r="J29" s="858">
        <v>0</v>
      </c>
      <c r="K29" s="858">
        <v>0.01</v>
      </c>
      <c r="L29" s="858" t="s">
        <v>619</v>
      </c>
      <c r="M29" s="859">
        <v>7.3</v>
      </c>
      <c r="T29" s="855"/>
    </row>
    <row r="30" spans="2:20" x14ac:dyDescent="1.65">
      <c r="B30" s="854"/>
      <c r="C30" s="858">
        <v>17</v>
      </c>
      <c r="D30" s="864">
        <v>46283</v>
      </c>
      <c r="E30" s="859" t="s">
        <v>616</v>
      </c>
      <c r="F30" s="858" t="s">
        <v>610</v>
      </c>
      <c r="G30" s="858">
        <v>1000</v>
      </c>
      <c r="H30" s="858">
        <v>1</v>
      </c>
      <c r="I30" s="858">
        <v>10</v>
      </c>
      <c r="J30" s="858">
        <v>0</v>
      </c>
      <c r="K30" s="858">
        <v>0.01</v>
      </c>
      <c r="L30" s="858" t="s">
        <v>619</v>
      </c>
      <c r="M30" s="859">
        <v>6.8</v>
      </c>
      <c r="T30" s="855"/>
    </row>
    <row r="31" spans="2:20" x14ac:dyDescent="1.65">
      <c r="B31" s="854"/>
      <c r="C31" s="858">
        <v>18</v>
      </c>
      <c r="D31" s="864">
        <v>46283</v>
      </c>
      <c r="E31" s="859" t="s">
        <v>614</v>
      </c>
      <c r="F31" s="858" t="s">
        <v>610</v>
      </c>
      <c r="G31" s="858">
        <v>1000</v>
      </c>
      <c r="H31" s="858">
        <v>1</v>
      </c>
      <c r="I31" s="858">
        <v>10</v>
      </c>
      <c r="J31" s="858">
        <v>0</v>
      </c>
      <c r="K31" s="858">
        <v>0.01</v>
      </c>
      <c r="L31" s="858" t="s">
        <v>619</v>
      </c>
      <c r="M31" s="859">
        <v>6.7</v>
      </c>
      <c r="T31" s="855"/>
    </row>
    <row r="32" spans="2:20" x14ac:dyDescent="1.65">
      <c r="B32" s="854"/>
      <c r="C32" s="858">
        <v>19</v>
      </c>
      <c r="D32" s="864">
        <v>46285</v>
      </c>
      <c r="E32" s="859" t="s">
        <v>614</v>
      </c>
      <c r="F32" s="858" t="s">
        <v>618</v>
      </c>
      <c r="G32" s="858">
        <v>1000</v>
      </c>
      <c r="H32" s="858">
        <v>1</v>
      </c>
      <c r="I32" s="858">
        <v>10</v>
      </c>
      <c r="J32" s="858">
        <v>0</v>
      </c>
      <c r="K32" s="858">
        <v>0.01</v>
      </c>
      <c r="L32" s="858" t="s">
        <v>619</v>
      </c>
      <c r="M32" s="859">
        <v>7.8</v>
      </c>
      <c r="T32" s="855"/>
    </row>
    <row r="33" spans="2:20" x14ac:dyDescent="1.65">
      <c r="B33" s="854"/>
      <c r="C33" s="858">
        <v>20</v>
      </c>
      <c r="D33" s="864">
        <v>46286</v>
      </c>
      <c r="E33" s="859" t="s">
        <v>616</v>
      </c>
      <c r="F33" s="858" t="s">
        <v>618</v>
      </c>
      <c r="G33" s="858">
        <v>1000</v>
      </c>
      <c r="H33" s="858">
        <v>1</v>
      </c>
      <c r="I33" s="858">
        <v>10</v>
      </c>
      <c r="J33" s="858">
        <v>0</v>
      </c>
      <c r="K33" s="858">
        <v>0.01</v>
      </c>
      <c r="L33" s="858" t="s">
        <v>619</v>
      </c>
      <c r="M33" s="1096">
        <v>8</v>
      </c>
      <c r="T33" s="855"/>
    </row>
    <row r="34" spans="2:20" x14ac:dyDescent="1.65">
      <c r="B34" s="854"/>
      <c r="C34" s="858">
        <v>21</v>
      </c>
      <c r="D34" s="864">
        <v>46286</v>
      </c>
      <c r="E34" s="859" t="s">
        <v>614</v>
      </c>
      <c r="F34" s="858" t="s">
        <v>618</v>
      </c>
      <c r="G34" s="858">
        <v>1000</v>
      </c>
      <c r="H34" s="858">
        <v>1</v>
      </c>
      <c r="I34" s="858">
        <v>10</v>
      </c>
      <c r="J34" s="858">
        <v>0</v>
      </c>
      <c r="K34" s="858">
        <v>0.01</v>
      </c>
      <c r="L34" s="858" t="s">
        <v>619</v>
      </c>
      <c r="M34" s="859">
        <v>7.9</v>
      </c>
      <c r="T34" s="855"/>
    </row>
    <row r="35" spans="2:20" x14ac:dyDescent="1.65">
      <c r="B35" s="854"/>
      <c r="C35" s="858">
        <v>22</v>
      </c>
      <c r="D35" s="858"/>
      <c r="E35" s="858"/>
      <c r="F35" s="858"/>
      <c r="G35" s="858">
        <v>1000</v>
      </c>
      <c r="H35" s="858">
        <v>1</v>
      </c>
      <c r="I35" s="858">
        <v>10</v>
      </c>
      <c r="J35" s="858">
        <v>0</v>
      </c>
      <c r="K35" s="858">
        <v>0.01</v>
      </c>
      <c r="L35" s="858">
        <f t="shared" ref="L35:L49" si="0">J35*100</f>
        <v>0</v>
      </c>
      <c r="M35" s="860"/>
      <c r="T35" s="855"/>
    </row>
    <row r="36" spans="2:20" x14ac:dyDescent="1.65">
      <c r="B36" s="854"/>
      <c r="C36" s="858">
        <v>23</v>
      </c>
      <c r="D36" s="858"/>
      <c r="E36" s="858"/>
      <c r="F36" s="858"/>
      <c r="G36" s="858">
        <v>1000</v>
      </c>
      <c r="H36" s="858">
        <v>1</v>
      </c>
      <c r="I36" s="858">
        <v>10</v>
      </c>
      <c r="J36" s="858">
        <v>0</v>
      </c>
      <c r="K36" s="858">
        <v>0.01</v>
      </c>
      <c r="L36" s="858">
        <f t="shared" si="0"/>
        <v>0</v>
      </c>
      <c r="M36" s="860"/>
      <c r="T36" s="855"/>
    </row>
    <row r="37" spans="2:20" x14ac:dyDescent="1.65">
      <c r="B37" s="854"/>
      <c r="C37" s="858">
        <v>24</v>
      </c>
      <c r="D37" s="858"/>
      <c r="E37" s="858"/>
      <c r="F37" s="858"/>
      <c r="G37" s="858">
        <v>1000</v>
      </c>
      <c r="H37" s="858">
        <v>1</v>
      </c>
      <c r="I37" s="858">
        <v>10</v>
      </c>
      <c r="J37" s="858">
        <v>0</v>
      </c>
      <c r="K37" s="858">
        <v>0.01</v>
      </c>
      <c r="L37" s="858">
        <f t="shared" si="0"/>
        <v>0</v>
      </c>
      <c r="M37" s="860"/>
      <c r="T37" s="855"/>
    </row>
    <row r="38" spans="2:20" x14ac:dyDescent="1.65">
      <c r="B38" s="854"/>
      <c r="C38" s="858">
        <v>25</v>
      </c>
      <c r="D38" s="858"/>
      <c r="E38" s="858"/>
      <c r="F38" s="858"/>
      <c r="G38" s="858">
        <v>1000</v>
      </c>
      <c r="H38" s="858">
        <v>1</v>
      </c>
      <c r="I38" s="858">
        <v>10</v>
      </c>
      <c r="J38" s="858">
        <v>0</v>
      </c>
      <c r="K38" s="858">
        <v>0.01</v>
      </c>
      <c r="L38" s="858">
        <f t="shared" si="0"/>
        <v>0</v>
      </c>
      <c r="M38" s="860"/>
      <c r="T38" s="855"/>
    </row>
    <row r="39" spans="2:20" x14ac:dyDescent="1.65">
      <c r="B39" s="854"/>
      <c r="C39" s="858">
        <v>26</v>
      </c>
      <c r="D39" s="858"/>
      <c r="E39" s="858"/>
      <c r="F39" s="858"/>
      <c r="G39" s="858">
        <v>1000</v>
      </c>
      <c r="H39" s="858">
        <v>1</v>
      </c>
      <c r="I39" s="858">
        <v>10</v>
      </c>
      <c r="J39" s="858">
        <v>0</v>
      </c>
      <c r="K39" s="858">
        <v>0.01</v>
      </c>
      <c r="L39" s="858">
        <f t="shared" si="0"/>
        <v>0</v>
      </c>
      <c r="M39" s="860"/>
      <c r="T39" s="855"/>
    </row>
    <row r="40" spans="2:20" x14ac:dyDescent="1.65">
      <c r="B40" s="854"/>
      <c r="C40" s="858">
        <v>27</v>
      </c>
      <c r="D40" s="858"/>
      <c r="E40" s="858"/>
      <c r="F40" s="858"/>
      <c r="G40" s="858">
        <v>1000</v>
      </c>
      <c r="H40" s="858">
        <v>1</v>
      </c>
      <c r="I40" s="858">
        <v>10</v>
      </c>
      <c r="J40" s="858">
        <v>0</v>
      </c>
      <c r="K40" s="858">
        <v>0.01</v>
      </c>
      <c r="L40" s="858">
        <f t="shared" si="0"/>
        <v>0</v>
      </c>
      <c r="M40" s="860"/>
      <c r="T40" s="855"/>
    </row>
    <row r="41" spans="2:20" x14ac:dyDescent="1.65">
      <c r="B41" s="854"/>
      <c r="C41" s="858">
        <v>28</v>
      </c>
      <c r="D41" s="858"/>
      <c r="E41" s="858"/>
      <c r="F41" s="858"/>
      <c r="G41" s="858">
        <v>1000</v>
      </c>
      <c r="H41" s="858">
        <v>1</v>
      </c>
      <c r="I41" s="858">
        <v>10</v>
      </c>
      <c r="J41" s="858">
        <v>0</v>
      </c>
      <c r="K41" s="858">
        <v>0.01</v>
      </c>
      <c r="L41" s="858">
        <f t="shared" si="0"/>
        <v>0</v>
      </c>
      <c r="M41" s="860"/>
      <c r="T41" s="855"/>
    </row>
    <row r="42" spans="2:20" x14ac:dyDescent="1.65">
      <c r="B42" s="854"/>
      <c r="C42" s="858">
        <v>29</v>
      </c>
      <c r="D42" s="858"/>
      <c r="E42" s="858"/>
      <c r="F42" s="858"/>
      <c r="G42" s="858">
        <v>1000</v>
      </c>
      <c r="H42" s="858">
        <v>1</v>
      </c>
      <c r="I42" s="858">
        <v>10</v>
      </c>
      <c r="J42" s="858">
        <v>0</v>
      </c>
      <c r="K42" s="858">
        <v>0.01</v>
      </c>
      <c r="L42" s="858">
        <f t="shared" si="0"/>
        <v>0</v>
      </c>
      <c r="M42" s="860"/>
      <c r="T42" s="855"/>
    </row>
    <row r="43" spans="2:20" x14ac:dyDescent="1.65">
      <c r="B43" s="854"/>
      <c r="C43" s="858">
        <v>30</v>
      </c>
      <c r="D43" s="858"/>
      <c r="E43" s="858"/>
      <c r="F43" s="858"/>
      <c r="G43" s="858">
        <v>1000</v>
      </c>
      <c r="H43" s="858">
        <v>1</v>
      </c>
      <c r="I43" s="858">
        <v>10</v>
      </c>
      <c r="J43" s="858">
        <v>0</v>
      </c>
      <c r="K43" s="858">
        <v>0.01</v>
      </c>
      <c r="L43" s="858">
        <f t="shared" si="0"/>
        <v>0</v>
      </c>
      <c r="M43" s="860"/>
      <c r="T43" s="855"/>
    </row>
    <row r="44" spans="2:20" x14ac:dyDescent="1.65">
      <c r="B44" s="854"/>
      <c r="C44" s="858">
        <v>31</v>
      </c>
      <c r="D44" s="858"/>
      <c r="E44" s="858"/>
      <c r="F44" s="858"/>
      <c r="G44" s="858">
        <v>1000</v>
      </c>
      <c r="H44" s="858">
        <v>1</v>
      </c>
      <c r="I44" s="858">
        <v>10</v>
      </c>
      <c r="J44" s="858">
        <v>0</v>
      </c>
      <c r="K44" s="858">
        <v>0.01</v>
      </c>
      <c r="L44" s="858">
        <f t="shared" si="0"/>
        <v>0</v>
      </c>
      <c r="M44" s="860"/>
      <c r="T44" s="855"/>
    </row>
    <row r="45" spans="2:20" x14ac:dyDescent="1.65">
      <c r="B45" s="854"/>
      <c r="C45" s="858">
        <v>32</v>
      </c>
      <c r="D45" s="858"/>
      <c r="E45" s="858"/>
      <c r="F45" s="858"/>
      <c r="G45" s="858">
        <v>1000</v>
      </c>
      <c r="H45" s="858">
        <v>1</v>
      </c>
      <c r="I45" s="858">
        <v>10</v>
      </c>
      <c r="J45" s="858">
        <v>0</v>
      </c>
      <c r="K45" s="858">
        <v>0.01</v>
      </c>
      <c r="L45" s="858">
        <f t="shared" si="0"/>
        <v>0</v>
      </c>
      <c r="M45" s="860"/>
      <c r="T45" s="855"/>
    </row>
    <row r="46" spans="2:20" x14ac:dyDescent="1.65">
      <c r="B46" s="854"/>
      <c r="C46" s="858">
        <v>33</v>
      </c>
      <c r="D46" s="858"/>
      <c r="E46" s="858"/>
      <c r="F46" s="858"/>
      <c r="G46" s="858">
        <v>1000</v>
      </c>
      <c r="H46" s="858">
        <v>1</v>
      </c>
      <c r="I46" s="858">
        <v>10</v>
      </c>
      <c r="J46" s="858">
        <v>0</v>
      </c>
      <c r="K46" s="858">
        <v>0.01</v>
      </c>
      <c r="L46" s="858">
        <f t="shared" si="0"/>
        <v>0</v>
      </c>
      <c r="M46" s="860"/>
      <c r="T46" s="855"/>
    </row>
    <row r="47" spans="2:20" x14ac:dyDescent="1.65">
      <c r="B47" s="854"/>
      <c r="C47" s="858">
        <v>34</v>
      </c>
      <c r="D47" s="858"/>
      <c r="E47" s="858"/>
      <c r="F47" s="858"/>
      <c r="G47" s="858">
        <v>1000</v>
      </c>
      <c r="H47" s="858">
        <v>1</v>
      </c>
      <c r="I47" s="858">
        <v>10</v>
      </c>
      <c r="J47" s="858">
        <v>0</v>
      </c>
      <c r="K47" s="858">
        <v>0.01</v>
      </c>
      <c r="L47" s="858">
        <f t="shared" si="0"/>
        <v>0</v>
      </c>
      <c r="M47" s="860"/>
      <c r="T47" s="855"/>
    </row>
    <row r="48" spans="2:20" x14ac:dyDescent="1.65">
      <c r="B48" s="854"/>
      <c r="C48" s="858">
        <v>35</v>
      </c>
      <c r="D48" s="858"/>
      <c r="E48" s="858"/>
      <c r="F48" s="858"/>
      <c r="G48" s="858">
        <v>1000</v>
      </c>
      <c r="H48" s="858">
        <v>1</v>
      </c>
      <c r="I48" s="858">
        <v>10</v>
      </c>
      <c r="J48" s="858">
        <v>0</v>
      </c>
      <c r="K48" s="858">
        <v>0.01</v>
      </c>
      <c r="L48" s="858">
        <f t="shared" si="0"/>
        <v>0</v>
      </c>
      <c r="M48" s="860"/>
      <c r="T48" s="855"/>
    </row>
    <row r="49" spans="2:20" x14ac:dyDescent="1.65">
      <c r="B49" s="854"/>
      <c r="C49" s="858">
        <v>36</v>
      </c>
      <c r="D49" s="858"/>
      <c r="E49" s="858"/>
      <c r="F49" s="858"/>
      <c r="G49" s="858">
        <v>1000</v>
      </c>
      <c r="H49" s="858">
        <v>1</v>
      </c>
      <c r="I49" s="858">
        <v>10</v>
      </c>
      <c r="J49" s="858">
        <v>0</v>
      </c>
      <c r="K49" s="858">
        <v>0.01</v>
      </c>
      <c r="L49" s="858">
        <f t="shared" si="0"/>
        <v>0</v>
      </c>
      <c r="M49" s="860"/>
      <c r="T49" s="855"/>
    </row>
    <row r="50" spans="2:20" x14ac:dyDescent="1.65">
      <c r="B50" s="854"/>
      <c r="T50" s="855"/>
    </row>
    <row r="51" spans="2:20" x14ac:dyDescent="1.65">
      <c r="B51" s="854"/>
      <c r="T51" s="855"/>
    </row>
    <row r="52" spans="2:20" x14ac:dyDescent="1.65">
      <c r="B52" s="854"/>
      <c r="T52" s="855"/>
    </row>
    <row r="53" spans="2:20" x14ac:dyDescent="1.65">
      <c r="B53" s="854"/>
      <c r="T53" s="855"/>
    </row>
    <row r="54" spans="2:20" ht="92.4" thickBot="1" x14ac:dyDescent="1.7">
      <c r="B54" s="861"/>
      <c r="C54" s="862"/>
      <c r="D54" s="862"/>
      <c r="E54" s="862"/>
      <c r="F54" s="862"/>
      <c r="G54" s="862"/>
      <c r="H54" s="862"/>
      <c r="I54" s="862"/>
      <c r="J54" s="862"/>
      <c r="K54" s="862"/>
      <c r="L54" s="862"/>
      <c r="M54" s="862"/>
      <c r="N54" s="862"/>
      <c r="O54" s="862"/>
      <c r="P54" s="862"/>
      <c r="Q54" s="862"/>
      <c r="R54" s="862"/>
      <c r="S54" s="862"/>
      <c r="T54" s="86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9"/>
  <sheetViews>
    <sheetView topLeftCell="A114" zoomScaleNormal="100" workbookViewId="0">
      <selection activeCell="H127" sqref="H12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09" t="s">
        <v>458</v>
      </c>
      <c r="C2" s="1209"/>
      <c r="D2" s="1209"/>
      <c r="E2" s="1209"/>
      <c r="F2" s="1209"/>
      <c r="G2" s="1209"/>
      <c r="H2" s="1209"/>
      <c r="T2" s="1292" t="s">
        <v>499</v>
      </c>
      <c r="U2" s="1292"/>
      <c r="V2" s="1292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296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297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297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297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297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297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297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297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297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297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297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298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293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294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294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294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294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294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294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294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295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296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297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297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297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297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297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297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297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297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297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297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298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293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294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294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294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294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294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294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294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294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294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294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295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293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294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294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294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294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294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294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294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295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296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297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297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297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297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298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293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294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294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294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294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294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294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294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295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296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297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297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297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297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297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297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297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297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297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297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298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302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303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303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303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303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303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303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303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303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303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303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304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305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306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306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306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306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306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306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306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306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306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306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306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306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306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306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306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306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306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306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306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307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299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300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300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300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300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300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300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300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301"/>
      <c r="D129" s="454" t="s">
        <v>465</v>
      </c>
      <c r="E129" s="455">
        <v>46290</v>
      </c>
      <c r="F129" s="454"/>
      <c r="G129" s="454"/>
      <c r="H129" s="454"/>
    </row>
  </sheetData>
  <mergeCells count="13">
    <mergeCell ref="C121:C129"/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45" activePane="bottomLeft" state="frozen"/>
      <selection pane="bottomLeft" activeCell="AH6" sqref="AH6:AJ7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39" t="s">
        <v>63</v>
      </c>
      <c r="B3" s="1234"/>
      <c r="C3" s="1234"/>
      <c r="D3" s="1234"/>
      <c r="E3" s="1234"/>
      <c r="F3" s="1234"/>
      <c r="G3" s="1234"/>
      <c r="H3" s="1234"/>
      <c r="I3" s="1234"/>
      <c r="J3" s="1234"/>
      <c r="K3" s="1234"/>
      <c r="L3" s="1234"/>
    </row>
    <row r="4" spans="1:36" ht="28.8" x14ac:dyDescent="0.3">
      <c r="A4" s="1340" t="s">
        <v>0</v>
      </c>
      <c r="B4" s="1340"/>
      <c r="C4" s="902" t="s">
        <v>26</v>
      </c>
      <c r="D4" s="902" t="s">
        <v>1</v>
      </c>
      <c r="E4" s="902" t="s">
        <v>60</v>
      </c>
      <c r="F4" s="902" t="s">
        <v>61</v>
      </c>
      <c r="G4" s="902" t="s">
        <v>62</v>
      </c>
      <c r="H4" s="902" t="s">
        <v>64</v>
      </c>
      <c r="I4" s="902" t="s">
        <v>544</v>
      </c>
      <c r="J4" s="908" t="s">
        <v>596</v>
      </c>
      <c r="K4" s="902" t="s">
        <v>597</v>
      </c>
      <c r="L4" s="902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21">
        <v>46265</v>
      </c>
      <c r="B5" s="1322"/>
      <c r="C5" s="909" t="s">
        <v>12</v>
      </c>
      <c r="D5" s="903" t="s">
        <v>169</v>
      </c>
      <c r="E5" s="904">
        <v>6.9444444444444447E-4</v>
      </c>
      <c r="F5" s="740">
        <v>6.5972222222222224E-2</v>
      </c>
      <c r="G5" s="741">
        <f>(F5-E5)*1440</f>
        <v>94</v>
      </c>
      <c r="H5" s="905" t="s">
        <v>446</v>
      </c>
      <c r="I5" s="1297">
        <v>1</v>
      </c>
      <c r="J5" s="906">
        <f>(720-G5)/60</f>
        <v>10.433333333333334</v>
      </c>
      <c r="K5" s="907">
        <f>J5/12</f>
        <v>0.86944444444444446</v>
      </c>
      <c r="L5" s="1319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16">
        <v>46265</v>
      </c>
      <c r="B6" s="1317"/>
      <c r="C6" s="771" t="s">
        <v>13</v>
      </c>
      <c r="D6" s="594"/>
      <c r="E6" s="588"/>
      <c r="F6" s="503"/>
      <c r="G6" s="504">
        <f>(F6-E6)*1440</f>
        <v>0</v>
      </c>
      <c r="H6" s="589"/>
      <c r="I6" s="1297"/>
      <c r="J6" s="811">
        <f>(720-G6)/60</f>
        <v>12</v>
      </c>
      <c r="K6" s="814">
        <f t="shared" ref="K6:K8" si="1">J6/12</f>
        <v>1</v>
      </c>
      <c r="L6" s="1319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4">
        <f>Q59</f>
        <v>438.86666666666662</v>
      </c>
      <c r="AI6" s="955">
        <f>S59</f>
        <v>233.13333333333333</v>
      </c>
      <c r="AJ6" s="956">
        <f>R59</f>
        <v>0.65307539682539673</v>
      </c>
    </row>
    <row r="7" spans="1:36" ht="44.4" customHeight="1" thickBot="1" x14ac:dyDescent="0.45">
      <c r="A7" s="1316">
        <v>46266</v>
      </c>
      <c r="B7" s="1317"/>
      <c r="C7" s="771" t="s">
        <v>12</v>
      </c>
      <c r="D7" s="594"/>
      <c r="E7" s="588"/>
      <c r="F7" s="503"/>
      <c r="G7" s="504">
        <f>(F7-E7)*1440</f>
        <v>0</v>
      </c>
      <c r="H7" s="589"/>
      <c r="I7" s="1297"/>
      <c r="J7" s="811">
        <f>(720-G7)/60</f>
        <v>12</v>
      </c>
      <c r="K7" s="814">
        <f t="shared" si="1"/>
        <v>1</v>
      </c>
      <c r="L7" s="1319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3" t="s">
        <v>636</v>
      </c>
      <c r="AI7" s="953" t="s">
        <v>637</v>
      </c>
      <c r="AJ7" s="953" t="s">
        <v>638</v>
      </c>
    </row>
    <row r="8" spans="1:36" ht="54" customHeight="1" x14ac:dyDescent="0.3">
      <c r="A8" s="1316">
        <v>46266</v>
      </c>
      <c r="B8" s="1317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298"/>
      <c r="J8" s="811">
        <f t="shared" ref="J8:J14" si="5">(720-G8)/60</f>
        <v>10.9</v>
      </c>
      <c r="K8" s="814">
        <f t="shared" si="1"/>
        <v>0.90833333333333333</v>
      </c>
      <c r="L8" s="1319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312">
        <v>46267</v>
      </c>
      <c r="B9" s="1313"/>
      <c r="C9" s="829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2" t="s">
        <v>478</v>
      </c>
      <c r="I9" s="1293">
        <v>2</v>
      </c>
      <c r="J9" s="812">
        <f t="shared" si="5"/>
        <v>10</v>
      </c>
      <c r="K9" s="815">
        <f>J9/12</f>
        <v>0.83333333333333337</v>
      </c>
      <c r="L9" s="1318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12">
        <v>46267</v>
      </c>
      <c r="B10" s="1313"/>
      <c r="C10" s="829" t="s">
        <v>13</v>
      </c>
      <c r="D10" s="596"/>
      <c r="E10" s="500"/>
      <c r="F10" s="500"/>
      <c r="G10" s="501">
        <f t="shared" si="4"/>
        <v>0</v>
      </c>
      <c r="H10" s="591"/>
      <c r="I10" s="1294"/>
      <c r="J10" s="812">
        <f t="shared" si="5"/>
        <v>12</v>
      </c>
      <c r="K10" s="815">
        <f t="shared" ref="K10:K14" si="6">J10/12</f>
        <v>1</v>
      </c>
      <c r="L10" s="1318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12">
        <v>46268</v>
      </c>
      <c r="B11" s="1313"/>
      <c r="C11" s="829" t="s">
        <v>12</v>
      </c>
      <c r="D11" s="596"/>
      <c r="E11" s="500"/>
      <c r="F11" s="500"/>
      <c r="G11" s="501">
        <f t="shared" si="4"/>
        <v>0</v>
      </c>
      <c r="H11" s="591"/>
      <c r="I11" s="1294"/>
      <c r="J11" s="812">
        <f t="shared" si="5"/>
        <v>12</v>
      </c>
      <c r="K11" s="815">
        <f t="shared" si="6"/>
        <v>1</v>
      </c>
      <c r="L11" s="1318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312">
        <v>46268</v>
      </c>
      <c r="B12" s="1313"/>
      <c r="C12" s="829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294"/>
      <c r="J12" s="812">
        <f t="shared" si="5"/>
        <v>11</v>
      </c>
      <c r="K12" s="815">
        <f t="shared" si="6"/>
        <v>0.91666666666666663</v>
      </c>
      <c r="L12" s="1318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312">
        <v>46269</v>
      </c>
      <c r="B13" s="1313"/>
      <c r="C13" s="829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294"/>
      <c r="J13" s="812">
        <f t="shared" si="5"/>
        <v>0</v>
      </c>
      <c r="K13" s="815">
        <f t="shared" si="6"/>
        <v>0</v>
      </c>
      <c r="L13" s="1318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12">
        <v>46269</v>
      </c>
      <c r="B14" s="1313"/>
      <c r="C14" s="829" t="s">
        <v>13</v>
      </c>
      <c r="D14" s="837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8" t="s">
        <v>476</v>
      </c>
      <c r="I14" s="1295"/>
      <c r="J14" s="812">
        <f t="shared" si="5"/>
        <v>0</v>
      </c>
      <c r="K14" s="815">
        <f t="shared" si="6"/>
        <v>0</v>
      </c>
      <c r="L14" s="1318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316">
        <v>46270</v>
      </c>
      <c r="B15" s="1317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296">
        <v>3</v>
      </c>
      <c r="J15" s="811">
        <f>(720-G15)/60</f>
        <v>0</v>
      </c>
      <c r="K15" s="814">
        <f>J15/12</f>
        <v>0</v>
      </c>
      <c r="L15" s="1319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316">
        <v>46270</v>
      </c>
      <c r="B16" s="1317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297"/>
      <c r="J16" s="811">
        <f t="shared" ref="J16:J19" si="8">(720-G16)/60</f>
        <v>11</v>
      </c>
      <c r="K16" s="814">
        <f t="shared" ref="K16:K19" si="9">J16/12</f>
        <v>0.91666666666666663</v>
      </c>
      <c r="L16" s="1319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316">
        <v>46271</v>
      </c>
      <c r="B17" s="1317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297"/>
      <c r="J17" s="811">
        <f t="shared" si="8"/>
        <v>9.8333333333333339</v>
      </c>
      <c r="K17" s="814">
        <f t="shared" si="9"/>
        <v>0.81944444444444453</v>
      </c>
      <c r="L17" s="1319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316">
        <v>46271</v>
      </c>
      <c r="B18" s="1317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297"/>
      <c r="J18" s="811">
        <f t="shared" si="8"/>
        <v>12</v>
      </c>
      <c r="K18" s="814">
        <f t="shared" si="9"/>
        <v>1</v>
      </c>
      <c r="L18" s="1319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316">
        <v>46272</v>
      </c>
      <c r="B19" s="1317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298"/>
      <c r="J19" s="811">
        <f t="shared" si="8"/>
        <v>11.683333333333334</v>
      </c>
      <c r="K19" s="814">
        <f t="shared" si="9"/>
        <v>0.97361111111111109</v>
      </c>
      <c r="L19" s="1320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312">
        <v>46272</v>
      </c>
      <c r="B20" s="1313"/>
      <c r="C20" s="829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326">
        <v>4</v>
      </c>
      <c r="J20" s="812">
        <f>(720-G20)/60</f>
        <v>10.766666666666667</v>
      </c>
      <c r="K20" s="815">
        <f>J20/12</f>
        <v>0.89722222222222225</v>
      </c>
      <c r="L20" s="1320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312">
        <v>46273</v>
      </c>
      <c r="B21" s="1313"/>
      <c r="C21" s="829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327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18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312">
        <v>46273</v>
      </c>
      <c r="B22" s="1313"/>
      <c r="C22" s="829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327"/>
      <c r="J22" s="812">
        <f t="shared" si="10"/>
        <v>9.4499999999999993</v>
      </c>
      <c r="K22" s="815">
        <f t="shared" si="11"/>
        <v>0.78749999999999998</v>
      </c>
      <c r="L22" s="1318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312">
        <v>46274</v>
      </c>
      <c r="B23" s="1313"/>
      <c r="C23" s="829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328"/>
      <c r="J23" s="812">
        <f t="shared" si="10"/>
        <v>3</v>
      </c>
      <c r="K23" s="815">
        <f t="shared" si="11"/>
        <v>0.25</v>
      </c>
      <c r="L23" s="1318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29">
        <v>46274</v>
      </c>
      <c r="B24" s="1330"/>
      <c r="C24" s="910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18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316">
        <v>46275</v>
      </c>
      <c r="B25" s="1317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49">
        <v>5</v>
      </c>
      <c r="J25" s="811">
        <f>(720-G25)/60</f>
        <v>10.566666666666666</v>
      </c>
      <c r="K25" s="814">
        <f>J25/12</f>
        <v>0.88055555555555554</v>
      </c>
      <c r="L25" s="1319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316">
        <v>46275</v>
      </c>
      <c r="B26" s="1317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50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19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316">
        <v>46276</v>
      </c>
      <c r="B27" s="1317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51"/>
      <c r="J27" s="811">
        <f t="shared" si="13"/>
        <v>10.983333333333333</v>
      </c>
      <c r="K27" s="814">
        <f t="shared" si="14"/>
        <v>0.91527777777777775</v>
      </c>
      <c r="L27" s="1320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35">
        <v>46276</v>
      </c>
      <c r="B28" s="1336"/>
      <c r="C28" s="829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323">
        <v>6</v>
      </c>
      <c r="J28" s="812">
        <f>(720-G28)/60</f>
        <v>2</v>
      </c>
      <c r="K28" s="815">
        <f>J28/12</f>
        <v>0.16666666666666666</v>
      </c>
      <c r="L28" s="1320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31">
        <v>46277</v>
      </c>
      <c r="B29" s="1332"/>
      <c r="C29" s="829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324"/>
      <c r="J29" s="812">
        <f t="shared" ref="J29:J33" si="15">(720-G29)/60</f>
        <v>0</v>
      </c>
      <c r="K29" s="815">
        <f t="shared" ref="K29:K33" si="16">J29/12</f>
        <v>0</v>
      </c>
      <c r="L29" s="1318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33">
        <v>46277</v>
      </c>
      <c r="B30" s="1334"/>
      <c r="C30" s="829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324"/>
      <c r="J30" s="812">
        <f t="shared" si="15"/>
        <v>0</v>
      </c>
      <c r="K30" s="815">
        <f t="shared" si="16"/>
        <v>0</v>
      </c>
      <c r="L30" s="1318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35">
        <v>46278</v>
      </c>
      <c r="B31" s="1336"/>
      <c r="C31" s="829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324"/>
      <c r="J31" s="812">
        <f t="shared" si="15"/>
        <v>0</v>
      </c>
      <c r="K31" s="815">
        <f t="shared" si="16"/>
        <v>0</v>
      </c>
      <c r="L31" s="1318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314">
        <v>46278</v>
      </c>
      <c r="B32" s="1315"/>
      <c r="C32" s="829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324"/>
      <c r="J32" s="812">
        <f t="shared" si="15"/>
        <v>0</v>
      </c>
      <c r="K32" s="815">
        <f t="shared" si="16"/>
        <v>0</v>
      </c>
      <c r="L32" s="1318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37">
        <v>46279</v>
      </c>
      <c r="B33" s="1338"/>
      <c r="C33" s="829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325"/>
      <c r="J33" s="812">
        <f t="shared" si="15"/>
        <v>0</v>
      </c>
      <c r="K33" s="815">
        <f t="shared" si="16"/>
        <v>0</v>
      </c>
      <c r="L33" s="1320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21">
        <v>46279</v>
      </c>
      <c r="B34" s="1322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48">
        <v>7</v>
      </c>
      <c r="J34" s="811">
        <f>(720-G34)/60</f>
        <v>10</v>
      </c>
      <c r="K34" s="814">
        <f>J34/12</f>
        <v>0.83333333333333337</v>
      </c>
      <c r="L34" s="1320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316">
        <v>46280</v>
      </c>
      <c r="B35" s="1317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297"/>
      <c r="J35" s="811">
        <f t="shared" ref="J35:J36" si="20">(720-G35)/60</f>
        <v>12</v>
      </c>
      <c r="K35" s="814">
        <f t="shared" ref="K35:K36" si="21">J35/12</f>
        <v>1</v>
      </c>
      <c r="L35" s="1319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316">
        <v>46280</v>
      </c>
      <c r="B36" s="1317"/>
      <c r="C36" s="771" t="s">
        <v>13</v>
      </c>
      <c r="D36" s="831" t="s">
        <v>584</v>
      </c>
      <c r="E36" s="503"/>
      <c r="F36" s="503"/>
      <c r="G36" s="504">
        <f t="shared" si="4"/>
        <v>0</v>
      </c>
      <c r="H36" s="836" t="s">
        <v>595</v>
      </c>
      <c r="I36" s="1298"/>
      <c r="J36" s="811">
        <f t="shared" si="20"/>
        <v>12</v>
      </c>
      <c r="K36" s="814">
        <f t="shared" si="21"/>
        <v>1</v>
      </c>
      <c r="L36" s="1319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312">
        <v>46281</v>
      </c>
      <c r="B37" s="1313"/>
      <c r="C37" s="829" t="s">
        <v>12</v>
      </c>
      <c r="D37" s="833" t="s">
        <v>524</v>
      </c>
      <c r="E37" s="832"/>
      <c r="F37" s="832"/>
      <c r="G37" s="501">
        <f t="shared" si="4"/>
        <v>0</v>
      </c>
      <c r="H37" s="834" t="s">
        <v>593</v>
      </c>
      <c r="I37" s="1358">
        <v>8</v>
      </c>
      <c r="J37" s="812">
        <f>(720-G37)/60</f>
        <v>12</v>
      </c>
      <c r="K37" s="815">
        <f>J37/12</f>
        <v>1</v>
      </c>
      <c r="L37" s="1318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312">
        <v>46281</v>
      </c>
      <c r="B38" s="1313"/>
      <c r="C38" s="829" t="s">
        <v>13</v>
      </c>
      <c r="D38" s="842" t="s">
        <v>598</v>
      </c>
      <c r="E38" s="832">
        <v>6.9444444444444447E-4</v>
      </c>
      <c r="F38" s="832">
        <v>4.5138888888888888E-2</v>
      </c>
      <c r="G38" s="501">
        <f t="shared" si="4"/>
        <v>64</v>
      </c>
      <c r="H38" s="843" t="s">
        <v>600</v>
      </c>
      <c r="I38" s="1359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18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312">
        <v>46282</v>
      </c>
      <c r="B39" s="1313"/>
      <c r="C39" s="499" t="s">
        <v>12</v>
      </c>
      <c r="D39" s="925" t="s">
        <v>628</v>
      </c>
      <c r="E39" s="832"/>
      <c r="F39" s="832"/>
      <c r="G39" s="501">
        <f t="shared" si="4"/>
        <v>0</v>
      </c>
      <c r="H39" s="926" t="s">
        <v>629</v>
      </c>
      <c r="I39" s="1359"/>
      <c r="J39" s="812">
        <f t="shared" si="22"/>
        <v>12</v>
      </c>
      <c r="K39" s="815">
        <f t="shared" si="23"/>
        <v>1</v>
      </c>
      <c r="L39" s="1318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310">
        <v>46282</v>
      </c>
      <c r="B40" s="1311"/>
      <c r="C40" s="913" t="s">
        <v>13</v>
      </c>
      <c r="D40" s="947" t="s">
        <v>598</v>
      </c>
      <c r="E40" s="943"/>
      <c r="F40" s="943"/>
      <c r="G40" s="944">
        <f t="shared" si="4"/>
        <v>0</v>
      </c>
      <c r="H40" s="948" t="s">
        <v>635</v>
      </c>
      <c r="I40" s="1360"/>
      <c r="J40" s="945">
        <f t="shared" si="22"/>
        <v>12</v>
      </c>
      <c r="K40" s="946">
        <f t="shared" si="23"/>
        <v>1</v>
      </c>
      <c r="L40" s="1318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08">
        <v>46283</v>
      </c>
      <c r="B41" s="1309"/>
      <c r="C41" s="972" t="s">
        <v>12</v>
      </c>
      <c r="D41" s="998" t="s">
        <v>542</v>
      </c>
      <c r="E41" s="999">
        <v>6.9444444444444447E-4</v>
      </c>
      <c r="F41" s="999">
        <v>0.12222222222222222</v>
      </c>
      <c r="G41" s="1000">
        <f t="shared" si="4"/>
        <v>175</v>
      </c>
      <c r="H41" s="1001" t="s">
        <v>648</v>
      </c>
      <c r="I41" s="1355">
        <v>9</v>
      </c>
      <c r="J41" s="1002">
        <f t="shared" si="22"/>
        <v>9.0833333333333339</v>
      </c>
      <c r="K41" s="1003">
        <f t="shared" si="23"/>
        <v>0.75694444444444453</v>
      </c>
      <c r="L41" s="1347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08">
        <v>46283</v>
      </c>
      <c r="B42" s="1309"/>
      <c r="C42" s="972" t="s">
        <v>13</v>
      </c>
      <c r="D42" s="1004" t="s">
        <v>649</v>
      </c>
      <c r="E42" s="999">
        <v>6.9444444444444447E-4</v>
      </c>
      <c r="F42" s="999">
        <v>6.9444444444444447E-4</v>
      </c>
      <c r="G42" s="1000">
        <f t="shared" si="4"/>
        <v>0</v>
      </c>
      <c r="H42" s="1029" t="s">
        <v>650</v>
      </c>
      <c r="I42" s="1356"/>
      <c r="J42" s="1002">
        <f t="shared" si="22"/>
        <v>12</v>
      </c>
      <c r="K42" s="1003">
        <f t="shared" si="23"/>
        <v>1</v>
      </c>
      <c r="L42" s="1347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08">
        <v>46284</v>
      </c>
      <c r="B43" s="1309"/>
      <c r="C43" s="972" t="s">
        <v>12</v>
      </c>
      <c r="D43" s="1030" t="s">
        <v>509</v>
      </c>
      <c r="E43" s="999">
        <v>6.9444444444444447E-4</v>
      </c>
      <c r="F43" s="999">
        <v>6.9444444444444447E-4</v>
      </c>
      <c r="G43" s="1000">
        <f t="shared" si="4"/>
        <v>0</v>
      </c>
      <c r="H43" s="1005" t="s">
        <v>650</v>
      </c>
      <c r="I43" s="1356"/>
      <c r="J43" s="1002">
        <f t="shared" si="22"/>
        <v>12</v>
      </c>
      <c r="K43" s="1003">
        <f t="shared" si="23"/>
        <v>1</v>
      </c>
      <c r="L43" s="1347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308">
        <v>46284</v>
      </c>
      <c r="B44" s="1309"/>
      <c r="C44" s="972" t="s">
        <v>13</v>
      </c>
      <c r="D44" s="1030" t="s">
        <v>652</v>
      </c>
      <c r="E44" s="999">
        <v>6.9444444444444447E-4</v>
      </c>
      <c r="F44" s="999">
        <v>0.25069444444444444</v>
      </c>
      <c r="G44" s="1000">
        <f t="shared" si="4"/>
        <v>360</v>
      </c>
      <c r="H44" s="1029" t="s">
        <v>651</v>
      </c>
      <c r="I44" s="1357"/>
      <c r="J44" s="1002">
        <f t="shared" si="22"/>
        <v>6</v>
      </c>
      <c r="K44" s="1003">
        <f t="shared" si="23"/>
        <v>0.5</v>
      </c>
      <c r="L44" s="1347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310">
        <v>46285</v>
      </c>
      <c r="B45" s="1311"/>
      <c r="C45" s="913" t="s">
        <v>12</v>
      </c>
      <c r="D45" s="1038" t="s">
        <v>169</v>
      </c>
      <c r="E45" s="943">
        <v>6.9444444444444447E-4</v>
      </c>
      <c r="F45" s="943">
        <v>0.50069444444444444</v>
      </c>
      <c r="G45" s="944">
        <f t="shared" si="4"/>
        <v>720</v>
      </c>
      <c r="H45" s="1039" t="s">
        <v>654</v>
      </c>
      <c r="I45" s="1344">
        <v>10</v>
      </c>
      <c r="J45" s="945">
        <f t="shared" si="22"/>
        <v>0</v>
      </c>
      <c r="K45" s="946">
        <f t="shared" si="23"/>
        <v>0</v>
      </c>
      <c r="L45" s="1343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310">
        <v>46285</v>
      </c>
      <c r="B46" s="1311"/>
      <c r="C46" s="913" t="s">
        <v>13</v>
      </c>
      <c r="D46" s="1065" t="s">
        <v>509</v>
      </c>
      <c r="E46" s="943">
        <v>6.9444444444444447E-4</v>
      </c>
      <c r="F46" s="943">
        <v>0.50069444444444444</v>
      </c>
      <c r="G46" s="944">
        <f t="shared" ref="G46:G47" si="25">(F46-E46)*1440</f>
        <v>720</v>
      </c>
      <c r="H46" s="1066" t="s">
        <v>657</v>
      </c>
      <c r="I46" s="1345"/>
      <c r="J46" s="945">
        <f t="shared" si="22"/>
        <v>0</v>
      </c>
      <c r="K46" s="946">
        <f t="shared" si="23"/>
        <v>0</v>
      </c>
      <c r="L46" s="1343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310">
        <v>46286</v>
      </c>
      <c r="B47" s="1311"/>
      <c r="C47" s="913" t="s">
        <v>12</v>
      </c>
      <c r="D47" s="1078" t="s">
        <v>508</v>
      </c>
      <c r="E47" s="943">
        <v>6.9444444444444447E-4</v>
      </c>
      <c r="F47" s="943">
        <v>0.4</v>
      </c>
      <c r="G47" s="944">
        <f t="shared" si="25"/>
        <v>575</v>
      </c>
      <c r="H47" s="1080" t="s">
        <v>666</v>
      </c>
      <c r="I47" s="1345"/>
      <c r="J47" s="945">
        <f>(720-G47)/60</f>
        <v>2.4166666666666665</v>
      </c>
      <c r="K47" s="946">
        <f t="shared" si="23"/>
        <v>0.20138888888888887</v>
      </c>
      <c r="L47" s="1343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310">
        <v>46286</v>
      </c>
      <c r="B48" s="1311"/>
      <c r="C48" s="913" t="s">
        <v>13</v>
      </c>
      <c r="D48" s="1084" t="s">
        <v>542</v>
      </c>
      <c r="E48" s="943">
        <v>6.9444444444444447E-4</v>
      </c>
      <c r="F48" s="1085">
        <v>2.1527777777777778E-2</v>
      </c>
      <c r="G48" s="944">
        <f t="shared" ref="G48" si="27">(F48-E48)*1440</f>
        <v>30</v>
      </c>
      <c r="H48" s="1086" t="s">
        <v>668</v>
      </c>
      <c r="I48" s="1345"/>
      <c r="J48" s="945">
        <f t="shared" si="22"/>
        <v>11.5</v>
      </c>
      <c r="K48" s="946">
        <f t="shared" si="23"/>
        <v>0.95833333333333337</v>
      </c>
      <c r="L48" s="1343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310">
        <v>46287</v>
      </c>
      <c r="B49" s="1311"/>
      <c r="C49" s="913" t="s">
        <v>12</v>
      </c>
      <c r="D49" s="1090" t="s">
        <v>508</v>
      </c>
      <c r="E49" s="943">
        <v>6.9444444444444447E-4</v>
      </c>
      <c r="F49" s="943">
        <v>6.9444444444444447E-4</v>
      </c>
      <c r="G49" s="944">
        <f t="shared" ref="G49:G51" si="28">(F49-E49)*1440</f>
        <v>0</v>
      </c>
      <c r="H49" s="1091" t="s">
        <v>691</v>
      </c>
      <c r="I49" s="1345"/>
      <c r="J49" s="945">
        <f t="shared" si="22"/>
        <v>12</v>
      </c>
      <c r="K49" s="946">
        <f t="shared" si="23"/>
        <v>1</v>
      </c>
      <c r="L49" s="1343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310">
        <v>46287</v>
      </c>
      <c r="B50" s="1311"/>
      <c r="C50" s="913" t="s">
        <v>13</v>
      </c>
      <c r="D50" s="1093" t="s">
        <v>694</v>
      </c>
      <c r="E50" s="943">
        <v>6.9444444444444447E-4</v>
      </c>
      <c r="F50" s="943">
        <v>0.11527777777777778</v>
      </c>
      <c r="G50" s="944">
        <f t="shared" si="28"/>
        <v>165</v>
      </c>
      <c r="H50" s="1094" t="s">
        <v>695</v>
      </c>
      <c r="I50" s="1345"/>
      <c r="J50" s="945">
        <f t="shared" si="22"/>
        <v>9.25</v>
      </c>
      <c r="K50" s="946">
        <f t="shared" si="23"/>
        <v>0.77083333333333337</v>
      </c>
      <c r="L50" s="1343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310">
        <v>46288</v>
      </c>
      <c r="B51" s="1311"/>
      <c r="C51" s="913" t="s">
        <v>12</v>
      </c>
      <c r="D51" s="1108" t="s">
        <v>508</v>
      </c>
      <c r="E51" s="1109">
        <v>6.9444444444444447E-4</v>
      </c>
      <c r="F51" s="943">
        <v>0.18819444444444444</v>
      </c>
      <c r="G51" s="944">
        <f t="shared" si="28"/>
        <v>270</v>
      </c>
      <c r="H51" s="1110" t="s">
        <v>700</v>
      </c>
      <c r="I51" s="1345"/>
      <c r="J51" s="945">
        <f t="shared" si="22"/>
        <v>7.5</v>
      </c>
      <c r="K51" s="946">
        <f t="shared" si="23"/>
        <v>0.625</v>
      </c>
      <c r="L51" s="1343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310">
        <v>46288</v>
      </c>
      <c r="B52" s="1311"/>
      <c r="C52" s="913" t="s">
        <v>13</v>
      </c>
      <c r="D52" s="1108" t="s">
        <v>542</v>
      </c>
      <c r="E52" s="943">
        <v>6.9444444444444447E-4</v>
      </c>
      <c r="F52" s="943">
        <v>6.9444444444444447E-4</v>
      </c>
      <c r="G52" s="944">
        <f>(F52-E52)*1440</f>
        <v>0</v>
      </c>
      <c r="H52" s="1110" t="s">
        <v>701</v>
      </c>
      <c r="I52" s="1345"/>
      <c r="J52" s="945">
        <f t="shared" si="22"/>
        <v>12</v>
      </c>
      <c r="K52" s="946">
        <f t="shared" si="23"/>
        <v>1</v>
      </c>
      <c r="L52" s="1343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310">
        <v>46289</v>
      </c>
      <c r="B53" s="1311"/>
      <c r="C53" s="913" t="s">
        <v>12</v>
      </c>
      <c r="D53" s="1108" t="s">
        <v>508</v>
      </c>
      <c r="E53" s="943">
        <v>6.9444444444444447E-4</v>
      </c>
      <c r="F53" s="943">
        <v>6.9444444444444447E-4</v>
      </c>
      <c r="G53" s="944">
        <f t="shared" ref="G53:G57" si="29">(F53-E53)*1440</f>
        <v>0</v>
      </c>
      <c r="H53" s="1110" t="s">
        <v>704</v>
      </c>
      <c r="I53" s="1346"/>
      <c r="J53" s="945">
        <f t="shared" si="22"/>
        <v>12</v>
      </c>
      <c r="K53" s="946">
        <f t="shared" si="23"/>
        <v>1</v>
      </c>
      <c r="L53" s="1343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308">
        <v>46289</v>
      </c>
      <c r="B54" s="1309"/>
      <c r="C54" s="972" t="s">
        <v>13</v>
      </c>
      <c r="D54" s="1119" t="s">
        <v>169</v>
      </c>
      <c r="E54" s="999">
        <v>6.9444444444444447E-4</v>
      </c>
      <c r="F54" s="1120">
        <v>6.9444444444444447E-4</v>
      </c>
      <c r="G54" s="1000">
        <f t="shared" si="29"/>
        <v>0</v>
      </c>
      <c r="H54" s="1121" t="s">
        <v>705</v>
      </c>
      <c r="I54" s="1352">
        <v>11</v>
      </c>
      <c r="J54" s="1002">
        <f t="shared" si="22"/>
        <v>12</v>
      </c>
      <c r="K54" s="1003">
        <f t="shared" si="23"/>
        <v>1</v>
      </c>
      <c r="L54" s="1343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308">
        <v>46290</v>
      </c>
      <c r="B55" s="1309"/>
      <c r="C55" s="972" t="s">
        <v>12</v>
      </c>
      <c r="D55" s="1131" t="s">
        <v>508</v>
      </c>
      <c r="E55" s="999">
        <v>6.9444444444444447E-4</v>
      </c>
      <c r="F55" s="999">
        <v>0.1125</v>
      </c>
      <c r="G55" s="1000">
        <f t="shared" si="29"/>
        <v>161</v>
      </c>
      <c r="H55" s="1132" t="s">
        <v>709</v>
      </c>
      <c r="I55" s="1353"/>
      <c r="J55" s="1002">
        <f t="shared" si="22"/>
        <v>9.3166666666666664</v>
      </c>
      <c r="K55" s="1003">
        <f t="shared" si="23"/>
        <v>0.77638888888888891</v>
      </c>
      <c r="L55" s="1341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308">
        <v>46290</v>
      </c>
      <c r="B56" s="1309"/>
      <c r="C56" s="972" t="s">
        <v>13</v>
      </c>
      <c r="D56" s="1139" t="s">
        <v>741</v>
      </c>
      <c r="E56" s="999">
        <v>6.9444444444444447E-4</v>
      </c>
      <c r="F56" s="999">
        <v>0.50069444444444444</v>
      </c>
      <c r="G56" s="1000">
        <f t="shared" si="29"/>
        <v>720</v>
      </c>
      <c r="H56" s="1140" t="s">
        <v>742</v>
      </c>
      <c r="I56" s="1354"/>
      <c r="J56" s="1002">
        <f t="shared" si="22"/>
        <v>0</v>
      </c>
      <c r="K56" s="1003">
        <f t="shared" si="23"/>
        <v>0</v>
      </c>
      <c r="L56" s="1341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308">
        <v>46291</v>
      </c>
      <c r="B57" s="1309"/>
      <c r="C57" s="972" t="s">
        <v>12</v>
      </c>
      <c r="D57" s="1167" t="s">
        <v>542</v>
      </c>
      <c r="E57" s="999">
        <v>6.9444444444444447E-4</v>
      </c>
      <c r="F57" s="999">
        <v>0.50069444444444444</v>
      </c>
      <c r="G57" s="1000">
        <f t="shared" si="29"/>
        <v>720</v>
      </c>
      <c r="H57" s="1169" t="s">
        <v>750</v>
      </c>
      <c r="I57" s="123"/>
      <c r="J57" s="1002">
        <f t="shared" si="22"/>
        <v>0</v>
      </c>
      <c r="K57" s="1003">
        <f t="shared" si="23"/>
        <v>0</v>
      </c>
      <c r="L57" s="1341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308">
        <v>46291</v>
      </c>
      <c r="B58" s="1309"/>
      <c r="C58" s="972" t="s">
        <v>13</v>
      </c>
      <c r="D58" s="1167" t="s">
        <v>508</v>
      </c>
      <c r="E58" s="999">
        <v>6.9444444444444447E-4</v>
      </c>
      <c r="F58" s="999">
        <v>0.50069444444444444</v>
      </c>
      <c r="G58" s="1000">
        <f t="shared" ref="G58:G69" si="30">(F58-E58)*1440</f>
        <v>720</v>
      </c>
      <c r="H58" s="1168" t="s">
        <v>751</v>
      </c>
      <c r="I58" s="123"/>
      <c r="J58" s="1002">
        <f t="shared" si="22"/>
        <v>0</v>
      </c>
      <c r="K58" s="1003">
        <f t="shared" si="23"/>
        <v>0</v>
      </c>
      <c r="L58" s="1341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310">
        <v>46292</v>
      </c>
      <c r="B59" s="1311"/>
      <c r="C59" s="913" t="s">
        <v>12</v>
      </c>
      <c r="D59" s="1170" t="s">
        <v>542</v>
      </c>
      <c r="E59" s="943">
        <v>6.9444444444444447E-4</v>
      </c>
      <c r="F59" s="943">
        <v>0.1673611111111111</v>
      </c>
      <c r="G59" s="944">
        <f t="shared" si="30"/>
        <v>240</v>
      </c>
      <c r="H59" s="1171" t="s">
        <v>750</v>
      </c>
      <c r="I59" s="107">
        <v>12</v>
      </c>
      <c r="J59" s="945">
        <f t="shared" si="22"/>
        <v>8</v>
      </c>
      <c r="K59" s="946">
        <f t="shared" si="23"/>
        <v>0.66666666666666663</v>
      </c>
      <c r="L59" s="1342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310">
        <v>46292</v>
      </c>
      <c r="B60" s="1311"/>
      <c r="C60" s="913" t="s">
        <v>13</v>
      </c>
      <c r="D60" s="1170" t="s">
        <v>508</v>
      </c>
      <c r="E60" s="943">
        <v>6.9444444444444447E-4</v>
      </c>
      <c r="F60" s="943">
        <v>4.2361111111111113E-2</v>
      </c>
      <c r="G60" s="944">
        <f t="shared" ref="G60" si="31">(F60-E60)*1440</f>
        <v>60.000000000000007</v>
      </c>
      <c r="H60" s="1172" t="s">
        <v>752</v>
      </c>
      <c r="I60" s="107">
        <v>12</v>
      </c>
      <c r="J60" s="945">
        <f t="shared" si="22"/>
        <v>11</v>
      </c>
      <c r="K60" s="946">
        <f t="shared" si="23"/>
        <v>0.91666666666666663</v>
      </c>
      <c r="L60" s="1342"/>
      <c r="O60" s="63"/>
      <c r="P60" s="72">
        <f>P59/60</f>
        <v>233.13333333333333</v>
      </c>
      <c r="Q60" s="44">
        <f>Q59/24</f>
        <v>18.286111111111108</v>
      </c>
      <c r="R60" s="952">
        <f>Q60+S60</f>
        <v>27.999999999999996</v>
      </c>
      <c r="S60" s="44">
        <f>S59/24</f>
        <v>9.7138888888888886</v>
      </c>
    </row>
    <row r="61" spans="1:20" x14ac:dyDescent="0.3">
      <c r="A61" s="1329">
        <v>46293</v>
      </c>
      <c r="B61" s="1330"/>
      <c r="C61" s="37" t="s">
        <v>12</v>
      </c>
      <c r="D61" s="66"/>
      <c r="E61" s="68"/>
      <c r="F61" s="68"/>
      <c r="G61" s="498">
        <f t="shared" si="30"/>
        <v>0</v>
      </c>
      <c r="H61" s="438"/>
      <c r="I61" s="419"/>
      <c r="J61" s="420">
        <f t="shared" si="22"/>
        <v>12</v>
      </c>
      <c r="K61" s="813">
        <f t="shared" si="23"/>
        <v>1</v>
      </c>
      <c r="L61" s="6"/>
      <c r="M61" s="44"/>
      <c r="Q61" s="11"/>
    </row>
    <row r="62" spans="1:20" x14ac:dyDescent="0.3">
      <c r="A62" s="1329">
        <v>46293</v>
      </c>
      <c r="B62" s="1330"/>
      <c r="C62" s="37" t="s">
        <v>13</v>
      </c>
      <c r="D62" s="66"/>
      <c r="E62" s="68"/>
      <c r="F62" s="68"/>
      <c r="G62" s="498">
        <f t="shared" si="30"/>
        <v>0</v>
      </c>
      <c r="H62" s="438"/>
      <c r="I62" s="419"/>
      <c r="J62" s="420">
        <f t="shared" si="22"/>
        <v>12</v>
      </c>
      <c r="K62" s="813">
        <f t="shared" si="23"/>
        <v>1</v>
      </c>
      <c r="L62" s="6"/>
      <c r="N62" s="11"/>
      <c r="P62" s="11"/>
    </row>
    <row r="63" spans="1:20" x14ac:dyDescent="0.3">
      <c r="A63" s="1329">
        <v>46294</v>
      </c>
      <c r="B63" s="1330"/>
      <c r="C63" s="37" t="s">
        <v>12</v>
      </c>
      <c r="D63" s="66"/>
      <c r="E63" s="68"/>
      <c r="F63" s="68"/>
      <c r="G63" s="498">
        <f t="shared" si="30"/>
        <v>0</v>
      </c>
      <c r="H63" s="438"/>
      <c r="I63" s="419"/>
      <c r="J63" s="420">
        <f t="shared" si="22"/>
        <v>12</v>
      </c>
      <c r="K63" s="813">
        <f t="shared" si="23"/>
        <v>1</v>
      </c>
      <c r="L63" s="6"/>
    </row>
    <row r="64" spans="1:20" x14ac:dyDescent="0.3">
      <c r="A64" s="1329">
        <v>46294</v>
      </c>
      <c r="B64" s="1330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29">
        <v>46295</v>
      </c>
      <c r="B65" s="1330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29">
        <v>46295</v>
      </c>
      <c r="B66" s="1330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5"/>
      <c r="S66" s="137"/>
    </row>
    <row r="67" spans="1:19" x14ac:dyDescent="0.3">
      <c r="A67" s="1329">
        <v>46296</v>
      </c>
      <c r="B67" s="1330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29">
        <v>46296</v>
      </c>
      <c r="B68" s="1330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7" t="s">
        <v>659</v>
      </c>
    </row>
    <row r="69" spans="1:19" x14ac:dyDescent="0.3">
      <c r="A69" s="1329">
        <v>46297</v>
      </c>
      <c r="B69" s="1330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6">
    <mergeCell ref="L57:L58"/>
    <mergeCell ref="L59:L60"/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25:I27"/>
    <mergeCell ref="L41:L42"/>
    <mergeCell ref="I54:I56"/>
    <mergeCell ref="I41:I44"/>
    <mergeCell ref="I37:I40"/>
    <mergeCell ref="L37:L38"/>
    <mergeCell ref="L55:L5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</mergeCells>
  <phoneticPr fontId="86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A11" zoomScale="115" zoomScaleNormal="115" workbookViewId="0">
      <selection activeCell="H18" sqref="H18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187" t="s">
        <v>70</v>
      </c>
      <c r="C3" s="1187" t="s">
        <v>288</v>
      </c>
      <c r="D3" s="1187" t="s">
        <v>289</v>
      </c>
      <c r="E3" s="221" t="s">
        <v>292</v>
      </c>
      <c r="F3" s="221" t="s">
        <v>293</v>
      </c>
      <c r="G3" s="1178" t="s">
        <v>252</v>
      </c>
      <c r="H3" s="1179"/>
      <c r="I3" s="1179"/>
      <c r="J3" s="1180"/>
      <c r="K3" s="1182" t="s">
        <v>259</v>
      </c>
    </row>
    <row r="4" spans="2:20" x14ac:dyDescent="0.3">
      <c r="B4" s="1188"/>
      <c r="C4" s="1188"/>
      <c r="D4" s="1188"/>
      <c r="E4" s="222" t="s">
        <v>54</v>
      </c>
      <c r="F4" s="222" t="s">
        <v>294</v>
      </c>
      <c r="G4" s="1178" t="s">
        <v>265</v>
      </c>
      <c r="H4" s="1179"/>
      <c r="I4" s="1180"/>
      <c r="J4" s="132" t="s">
        <v>258</v>
      </c>
      <c r="K4" s="1182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189"/>
      <c r="C5" s="1189"/>
      <c r="D5" s="1189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182"/>
      <c r="O5" s="484" t="s">
        <v>480</v>
      </c>
      <c r="P5" s="1370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371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371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372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367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368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368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369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305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306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5.8000000000000003E-2</v>
      </c>
      <c r="K15" s="14">
        <v>10</v>
      </c>
      <c r="O15" s="484" t="s">
        <v>535</v>
      </c>
      <c r="P15" s="1306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/>
      <c r="F16" s="14">
        <v>11</v>
      </c>
      <c r="G16" s="134" t="str">
        <f>IFERROR(AVERAGE(R80:R88),"")</f>
        <v/>
      </c>
      <c r="H16" s="134" t="str">
        <f t="shared" ref="H16:I16" si="10">IFERROR(AVERAGE(S80:S88),"")</f>
        <v/>
      </c>
      <c r="I16" s="134" t="str">
        <f t="shared" si="10"/>
        <v/>
      </c>
      <c r="J16" s="14">
        <v>3.6999999999999998E-2</v>
      </c>
      <c r="K16" s="14">
        <v>11</v>
      </c>
      <c r="O16" s="484" t="s">
        <v>480</v>
      </c>
      <c r="P16" s="1306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/>
      <c r="F17" s="14">
        <v>12</v>
      </c>
      <c r="G17" s="14"/>
      <c r="H17" s="14"/>
      <c r="I17" s="134"/>
      <c r="J17" s="14"/>
      <c r="K17" s="14"/>
      <c r="O17" s="484" t="s">
        <v>481</v>
      </c>
      <c r="P17" s="1306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307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367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368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368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368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368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368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368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368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369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364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365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365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365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365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366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367">
        <v>6</v>
      </c>
      <c r="Q34" s="900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368"/>
      <c r="Q35" s="900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368"/>
      <c r="Q36" s="900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368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368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368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368"/>
      <c r="Q40" s="901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368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369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8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8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8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8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8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8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1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1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1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1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1">
        <v>46284</v>
      </c>
      <c r="R53" s="1083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1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1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1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1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299">
        <v>9</v>
      </c>
      <c r="Q58" s="958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300"/>
      <c r="Q59" s="958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300"/>
      <c r="Q60" s="958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300"/>
      <c r="Q61" s="958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300"/>
      <c r="Q62" s="958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300"/>
      <c r="Q63" s="958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300"/>
      <c r="Q64" s="958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300"/>
      <c r="Q65" s="958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300"/>
      <c r="Q66" s="958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301"/>
      <c r="Q67" s="958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364">
        <v>10</v>
      </c>
      <c r="Q68" s="901">
        <v>46290</v>
      </c>
      <c r="R68" s="617"/>
      <c r="S68" s="617"/>
      <c r="T68" s="617"/>
    </row>
    <row r="69" spans="15:20" x14ac:dyDescent="0.3">
      <c r="O69" s="484" t="s">
        <v>534</v>
      </c>
      <c r="P69" s="1365"/>
      <c r="Q69" s="901">
        <v>46290</v>
      </c>
      <c r="R69" s="617"/>
      <c r="S69" s="617"/>
      <c r="T69" s="617"/>
    </row>
    <row r="70" spans="15:20" x14ac:dyDescent="0.3">
      <c r="O70" s="484" t="s">
        <v>535</v>
      </c>
      <c r="P70" s="1365"/>
      <c r="Q70" s="901">
        <v>46290</v>
      </c>
      <c r="R70" s="617"/>
      <c r="S70" s="617"/>
      <c r="T70" s="617"/>
    </row>
    <row r="71" spans="15:20" x14ac:dyDescent="0.3">
      <c r="O71" s="581" t="s">
        <v>480</v>
      </c>
      <c r="P71" s="1365"/>
      <c r="Q71" s="901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365"/>
      <c r="Q72" s="901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365"/>
      <c r="Q73" s="901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365"/>
      <c r="Q74" s="901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365"/>
      <c r="Q75" s="901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365"/>
      <c r="Q76" s="901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365"/>
      <c r="Q77" s="901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365"/>
      <c r="Q78" s="901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366"/>
      <c r="Q79" s="901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361">
        <v>11</v>
      </c>
      <c r="Q80" s="958">
        <v>46292</v>
      </c>
      <c r="R80" s="454"/>
      <c r="S80" s="454"/>
      <c r="T80" s="454"/>
    </row>
    <row r="81" spans="15:20" ht="14.4" customHeight="1" x14ac:dyDescent="0.3">
      <c r="O81" s="453" t="s">
        <v>534</v>
      </c>
      <c r="P81" s="1362"/>
      <c r="Q81" s="958">
        <v>46292</v>
      </c>
      <c r="R81" s="454"/>
      <c r="S81" s="454"/>
      <c r="T81" s="454"/>
    </row>
    <row r="82" spans="15:20" ht="14.4" customHeight="1" x14ac:dyDescent="0.3">
      <c r="O82" s="453" t="s">
        <v>535</v>
      </c>
      <c r="P82" s="1362"/>
      <c r="Q82" s="958">
        <v>46292</v>
      </c>
      <c r="R82" s="454"/>
      <c r="S82" s="454"/>
      <c r="T82" s="454"/>
    </row>
    <row r="83" spans="15:20" ht="14.4" customHeight="1" x14ac:dyDescent="0.3">
      <c r="O83" s="453" t="s">
        <v>480</v>
      </c>
      <c r="P83" s="1362"/>
      <c r="Q83" s="958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362"/>
      <c r="Q84" s="958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362"/>
      <c r="Q85" s="958">
        <v>46292</v>
      </c>
      <c r="R85" s="454"/>
      <c r="S85" s="454"/>
      <c r="T85" s="454"/>
    </row>
    <row r="86" spans="15:20" x14ac:dyDescent="0.3">
      <c r="O86" s="453" t="s">
        <v>533</v>
      </c>
      <c r="P86" s="1362"/>
      <c r="Q86" s="958">
        <v>46293</v>
      </c>
      <c r="R86" s="454"/>
      <c r="S86" s="454"/>
      <c r="T86" s="454"/>
    </row>
    <row r="87" spans="15:20" x14ac:dyDescent="0.3">
      <c r="O87" s="453" t="s">
        <v>534</v>
      </c>
      <c r="P87" s="1362"/>
      <c r="Q87" s="958">
        <v>46293</v>
      </c>
      <c r="R87" s="454"/>
      <c r="S87" s="454"/>
      <c r="T87" s="454"/>
    </row>
    <row r="88" spans="15:20" x14ac:dyDescent="0.3">
      <c r="O88" s="453" t="s">
        <v>535</v>
      </c>
      <c r="P88" s="1363"/>
      <c r="Q88" s="958">
        <v>46293</v>
      </c>
      <c r="R88" s="454"/>
      <c r="S88" s="454"/>
      <c r="T88" s="454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5">
    <mergeCell ref="P80:P88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6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7" zoomScale="89" workbookViewId="0">
      <selection activeCell="H53" sqref="H5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09" t="s">
        <v>562</v>
      </c>
      <c r="C2" s="1209"/>
      <c r="D2" s="1209"/>
      <c r="E2" s="1209"/>
      <c r="F2" s="1209"/>
      <c r="G2" s="1209"/>
      <c r="H2" s="1209"/>
      <c r="J2" s="1209" t="s">
        <v>563</v>
      </c>
      <c r="K2" s="1209"/>
      <c r="L2" s="1209"/>
      <c r="M2" s="1209"/>
      <c r="N2" s="1209"/>
      <c r="O2" s="1209"/>
      <c r="P2" s="1209"/>
      <c r="R2" s="1458" t="s">
        <v>564</v>
      </c>
      <c r="S2" s="1460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9" t="s">
        <v>565</v>
      </c>
      <c r="S3" s="960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1">
        <v>6</v>
      </c>
      <c r="S4" s="1037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458" t="s">
        <v>567</v>
      </c>
      <c r="S10" s="1459"/>
      <c r="T10" s="1460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61">
        <f>SUM(P4:P234,H4:H233)</f>
        <v>3142.86</v>
      </c>
      <c r="S11" s="1462"/>
      <c r="T11" s="1463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465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465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465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465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7" customFormat="1" x14ac:dyDescent="0.3">
      <c r="A21" s="1464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7" customFormat="1" x14ac:dyDescent="0.3">
      <c r="A22" s="1464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7" customFormat="1" x14ac:dyDescent="0.3">
      <c r="A23" s="1464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64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64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64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64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64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64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64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64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14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14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14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14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41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14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14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14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0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0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0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0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0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0">
        <f t="shared" ref="H80:H126" si="10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0">
        <f t="shared" si="10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0">
        <f t="shared" si="10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0">
        <f t="shared" si="10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0">
        <f t="shared" si="10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0">
        <f t="shared" si="10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0">
        <f t="shared" si="10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0">
        <f t="shared" si="10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0">
        <f t="shared" si="10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0">
        <f t="shared" si="10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0">
        <f t="shared" si="10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0">
        <f t="shared" si="10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0">
        <f t="shared" si="10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0">
        <f t="shared" si="10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0">
        <f t="shared" si="10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0">
        <f t="shared" si="10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0">
        <f t="shared" si="10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0">
        <f t="shared" si="10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0">
        <f t="shared" si="10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0">
        <f t="shared" si="10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0">
        <f t="shared" si="10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0">
        <f t="shared" si="10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0">
        <f t="shared" si="10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0">
        <f t="shared" si="10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0">
        <f t="shared" si="10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0">
        <f t="shared" si="10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0">
        <f t="shared" si="10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0">
        <f t="shared" si="10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0">
        <f t="shared" si="10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0">
        <f t="shared" si="10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0">
        <f t="shared" si="10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0">
        <f t="shared" si="10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0">
        <f t="shared" si="10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0">
        <f t="shared" si="10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0">
        <f t="shared" si="10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0">
        <f t="shared" si="10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0">
        <f t="shared" si="10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0">
        <f t="shared" si="10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0">
        <f t="shared" si="10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0">
        <f t="shared" si="10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0">
        <f t="shared" si="10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0">
        <f t="shared" si="10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0">
        <f t="shared" si="10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0">
        <f t="shared" si="10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0">
        <f t="shared" si="10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0">
        <f t="shared" si="10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0">
        <f t="shared" si="10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C22" zoomScale="77" zoomScaleNormal="55" workbookViewId="0">
      <selection activeCell="G27" sqref="G27:M3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66" t="s">
        <v>664</v>
      </c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8"/>
      <c r="AD2" s="14">
        <v>2</v>
      </c>
      <c r="AE2" s="14">
        <v>9.9000000000000005E-2</v>
      </c>
    </row>
    <row r="3" spans="2:31" ht="15" thickBot="1" x14ac:dyDescent="0.35">
      <c r="B3" s="1466" t="s">
        <v>197</v>
      </c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8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6" t="s">
        <v>70</v>
      </c>
      <c r="C7" s="1126" t="s">
        <v>0</v>
      </c>
      <c r="D7" s="1127" t="s">
        <v>178</v>
      </c>
      <c r="E7" s="1127" t="s">
        <v>179</v>
      </c>
      <c r="F7" s="1127" t="s">
        <v>180</v>
      </c>
      <c r="G7" s="1127" t="s">
        <v>181</v>
      </c>
      <c r="H7" s="1127" t="s">
        <v>182</v>
      </c>
      <c r="I7" s="1127" t="s">
        <v>183</v>
      </c>
      <c r="J7" s="1127" t="s">
        <v>662</v>
      </c>
      <c r="K7" s="1127" t="s">
        <v>371</v>
      </c>
      <c r="L7" s="1127" t="s">
        <v>185</v>
      </c>
      <c r="M7" s="1127" t="s">
        <v>195</v>
      </c>
      <c r="Q7" s="1209" t="s">
        <v>337</v>
      </c>
      <c r="R7" s="1209"/>
      <c r="S7" s="1209"/>
      <c r="T7" s="1209"/>
      <c r="U7" s="1209"/>
      <c r="V7" s="1209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9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SUM(M8:M30)</f>
        <v>8322.1650500000014</v>
      </c>
      <c r="N34" s="245"/>
      <c r="O34" s="1122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69"/>
      <c r="AH34" s="1374"/>
      <c r="AI34" s="1374"/>
      <c r="AJ34" s="1374"/>
      <c r="AK34" s="1374"/>
      <c r="AL34" s="1470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SUM(H8:H30)</f>
        <v>4718</v>
      </c>
      <c r="I35" s="363"/>
      <c r="J35" s="369">
        <f>SUM(J8:J30)</f>
        <v>6232.8300000000017</v>
      </c>
      <c r="K35" s="369">
        <f>SUM(K8:K30)</f>
        <v>2581.8000000000002</v>
      </c>
      <c r="L35" s="398">
        <f>MEDIAN(L8:L22)</f>
        <v>1.1100000000000001</v>
      </c>
      <c r="M35" s="369">
        <f>L35*J35</f>
        <v>6918.4413000000022</v>
      </c>
      <c r="N35" s="1117"/>
      <c r="O35" s="1122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8">
        <f>M34/J35</f>
        <v>1.3352145092999488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71" t="s">
        <v>422</v>
      </c>
      <c r="C106" s="1471"/>
      <c r="D106" s="1471"/>
      <c r="E106" s="1471"/>
      <c r="F106" s="1471"/>
      <c r="G106" s="1471"/>
      <c r="H106" s="1471"/>
      <c r="I106" s="1471"/>
      <c r="J106" s="1471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71"/>
      <c r="C107" s="1471"/>
      <c r="D107" s="1471"/>
      <c r="E107" s="1471"/>
      <c r="F107" s="1471"/>
      <c r="G107" s="1471"/>
      <c r="H107" s="1471"/>
      <c r="I107" s="1471"/>
      <c r="J107" s="1471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9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30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9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6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abSelected="1" zoomScale="72" zoomScaleNormal="85" workbookViewId="0">
      <pane ySplit="4" topLeftCell="A45" activePane="bottomLeft" state="frozen"/>
      <selection pane="bottomLeft" activeCell="E63" sqref="E63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374" t="s">
        <v>32</v>
      </c>
      <c r="I2" s="1374"/>
      <c r="J2" s="1374"/>
      <c r="K2" s="1374"/>
    </row>
    <row r="3" spans="1:92" ht="15" thickBot="1" x14ac:dyDescent="0.35"/>
    <row r="4" spans="1:92" ht="29.4" thickBot="1" x14ac:dyDescent="0.35">
      <c r="A4" s="587" t="s">
        <v>544</v>
      </c>
      <c r="B4" s="1375" t="s">
        <v>0</v>
      </c>
      <c r="C4" s="1376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1" t="s">
        <v>583</v>
      </c>
      <c r="AB4" s="928" t="s">
        <v>512</v>
      </c>
      <c r="AC4" s="723" t="s">
        <v>580</v>
      </c>
    </row>
    <row r="5" spans="1:92" ht="30.6" customHeight="1" thickBot="1" x14ac:dyDescent="0.35">
      <c r="A5" s="1377">
        <v>1</v>
      </c>
      <c r="B5" s="1317">
        <v>46265</v>
      </c>
      <c r="C5" s="1317"/>
      <c r="D5" s="743" t="s">
        <v>440</v>
      </c>
      <c r="E5" s="743" t="s">
        <v>439</v>
      </c>
      <c r="F5" s="866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9">
        <v>1.135</v>
      </c>
      <c r="L5" s="880">
        <v>0.68</v>
      </c>
      <c r="M5" s="555">
        <f>H5*K5*G5</f>
        <v>30.116503140000003</v>
      </c>
      <c r="N5" s="1378">
        <f>SUM(M5:M6)</f>
        <v>95.90021999999999</v>
      </c>
      <c r="O5" s="555">
        <f t="shared" ref="O5:O11" si="1">M5/((720-R5)/60)</f>
        <v>2.8865657961661344</v>
      </c>
      <c r="P5" s="1378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388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6"/>
      <c r="AB5" s="929">
        <f t="shared" ref="AB5:AB49" si="5">W5*$AC$5</f>
        <v>72806646.340949997</v>
      </c>
      <c r="AC5" s="724">
        <v>2500000</v>
      </c>
      <c r="AE5" s="721"/>
      <c r="AG5" s="1424" t="s">
        <v>38</v>
      </c>
      <c r="AH5" s="1425"/>
      <c r="AI5" s="1425"/>
      <c r="AJ5" s="1426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377"/>
      <c r="B6" s="1317"/>
      <c r="C6" s="1317"/>
      <c r="D6" s="743" t="s">
        <v>441</v>
      </c>
      <c r="E6" s="743" t="s">
        <v>439</v>
      </c>
      <c r="F6" s="866" t="s">
        <v>13</v>
      </c>
      <c r="G6" s="814">
        <v>0.36</v>
      </c>
      <c r="H6" s="1104">
        <f>J6-H5</f>
        <v>98.859999999999985</v>
      </c>
      <c r="I6" s="555">
        <f t="shared" si="0"/>
        <v>8.2383333333333315</v>
      </c>
      <c r="J6" s="555">
        <v>215.7</v>
      </c>
      <c r="K6" s="879">
        <v>1.2350000000000001</v>
      </c>
      <c r="L6" s="880">
        <v>0.68</v>
      </c>
      <c r="M6" s="555">
        <f>(J6*K6*G6)-SUM(M5)</f>
        <v>65.783716859999984</v>
      </c>
      <c r="N6" s="1378"/>
      <c r="O6" s="555">
        <f t="shared" si="1"/>
        <v>5.4819764049999984</v>
      </c>
      <c r="P6" s="1378"/>
      <c r="Q6" s="555">
        <f t="shared" si="2"/>
        <v>720</v>
      </c>
      <c r="R6" s="555">
        <f>'Milling Down Time Hours'!G6</f>
        <v>0</v>
      </c>
      <c r="S6" s="1388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6"/>
      <c r="AB6" s="930">
        <f t="shared" si="5"/>
        <v>100155708.91934997</v>
      </c>
      <c r="AD6" s="721"/>
      <c r="AE6" s="721"/>
      <c r="AG6" s="701"/>
      <c r="AH6" s="708" t="s">
        <v>39</v>
      </c>
      <c r="AI6" s="722">
        <v>1230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377"/>
      <c r="B7" s="1317">
        <v>46266</v>
      </c>
      <c r="C7" s="1317"/>
      <c r="D7" s="743" t="s">
        <v>440</v>
      </c>
      <c r="E7" s="743" t="s">
        <v>439</v>
      </c>
      <c r="F7" s="866" t="s">
        <v>12</v>
      </c>
      <c r="G7" s="880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9">
        <v>1.2549999999999999</v>
      </c>
      <c r="L7" s="880">
        <v>0.7</v>
      </c>
      <c r="M7" s="555">
        <f>(J7*K7*G7)-SUM(M5:M6)</f>
        <v>78.8661855</v>
      </c>
      <c r="N7" s="1378">
        <f>SUM(M7:M8)</f>
        <v>196.41338000000002</v>
      </c>
      <c r="O7" s="555">
        <f t="shared" si="1"/>
        <v>6.5721821250000003</v>
      </c>
      <c r="P7" s="1378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388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6"/>
      <c r="AA7" s="1"/>
      <c r="AB7" s="930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377"/>
      <c r="B8" s="1317"/>
      <c r="C8" s="1317"/>
      <c r="D8" s="744" t="s">
        <v>441</v>
      </c>
      <c r="E8" s="744" t="s">
        <v>442</v>
      </c>
      <c r="F8" s="866" t="s">
        <v>13</v>
      </c>
      <c r="G8" s="880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9">
        <v>1.28</v>
      </c>
      <c r="L8" s="880">
        <v>0.7</v>
      </c>
      <c r="M8" s="555">
        <f>(K8*J8*G8)-(SUM(M5:M7))</f>
        <v>117.54719450000002</v>
      </c>
      <c r="N8" s="1378"/>
      <c r="O8" s="555">
        <f t="shared" si="1"/>
        <v>10.78414628440367</v>
      </c>
      <c r="P8" s="1378"/>
      <c r="Q8" s="555">
        <f t="shared" si="2"/>
        <v>654</v>
      </c>
      <c r="R8" s="555">
        <f>'Milling Down Time Hours'!G8</f>
        <v>66</v>
      </c>
      <c r="S8" s="1388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6"/>
      <c r="AA8" s="1"/>
      <c r="AB8" s="930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85">
        <v>2</v>
      </c>
      <c r="B9" s="1313">
        <v>46267</v>
      </c>
      <c r="C9" s="1313"/>
      <c r="D9" s="745" t="s">
        <v>440</v>
      </c>
      <c r="E9" s="745" t="s">
        <v>445</v>
      </c>
      <c r="F9" s="783" t="s">
        <v>12</v>
      </c>
      <c r="G9" s="881">
        <v>0.39</v>
      </c>
      <c r="H9" s="619">
        <f>J9</f>
        <v>215</v>
      </c>
      <c r="I9" s="487">
        <f t="shared" si="0"/>
        <v>21.5</v>
      </c>
      <c r="J9" s="619">
        <v>215</v>
      </c>
      <c r="K9" s="1106">
        <v>1.26</v>
      </c>
      <c r="L9" s="881">
        <v>0.72</v>
      </c>
      <c r="M9" s="487">
        <f>J9*K9*G9</f>
        <v>105.651</v>
      </c>
      <c r="N9" s="1387">
        <f>SUM(M9:M10)</f>
        <v>209.804</v>
      </c>
      <c r="O9" s="487">
        <f t="shared" si="1"/>
        <v>10.565099999999999</v>
      </c>
      <c r="P9" s="1387">
        <f>'Milling Down Time Hours'!Q7</f>
        <v>22</v>
      </c>
      <c r="Q9" s="487">
        <f t="shared" si="2"/>
        <v>600</v>
      </c>
      <c r="R9" s="937">
        <f>'Milling Down Time Hours'!G9</f>
        <v>120.00000000000001</v>
      </c>
      <c r="S9" s="1392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1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385"/>
      <c r="B10" s="1313"/>
      <c r="C10" s="1313"/>
      <c r="D10" s="745" t="s">
        <v>444</v>
      </c>
      <c r="E10" s="499"/>
      <c r="F10" s="783" t="s">
        <v>13</v>
      </c>
      <c r="G10" s="881">
        <v>0.4</v>
      </c>
      <c r="H10" s="619">
        <f>J10-H9</f>
        <v>198</v>
      </c>
      <c r="I10" s="487">
        <f t="shared" si="0"/>
        <v>16.5</v>
      </c>
      <c r="J10" s="619">
        <v>413</v>
      </c>
      <c r="K10" s="1106">
        <v>1.27</v>
      </c>
      <c r="L10" s="881">
        <v>0.72</v>
      </c>
      <c r="M10" s="487">
        <f>K10*J10*G10-SUM(M9)</f>
        <v>104.15300000000001</v>
      </c>
      <c r="N10" s="1387"/>
      <c r="O10" s="487">
        <f t="shared" si="1"/>
        <v>8.6794166666666666</v>
      </c>
      <c r="P10" s="1387"/>
      <c r="Q10" s="487">
        <f t="shared" si="2"/>
        <v>720</v>
      </c>
      <c r="R10" s="937">
        <f>'Milling Down Time Hours'!G10</f>
        <v>0</v>
      </c>
      <c r="S10" s="1392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1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385"/>
      <c r="B11" s="1313">
        <v>46268</v>
      </c>
      <c r="C11" s="1313"/>
      <c r="D11" s="745" t="s">
        <v>440</v>
      </c>
      <c r="E11" s="746" t="s">
        <v>471</v>
      </c>
      <c r="F11" s="783" t="s">
        <v>12</v>
      </c>
      <c r="G11" s="881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6">
        <v>1.2949999999999999</v>
      </c>
      <c r="L11" s="881">
        <v>0.71</v>
      </c>
      <c r="M11" s="487">
        <f>J11*K11*G11-SUM(M9:M10)</f>
        <v>90.338150000000013</v>
      </c>
      <c r="N11" s="1387">
        <f>SUM(M11:M12)</f>
        <v>90.338150000000013</v>
      </c>
      <c r="O11" s="487">
        <f t="shared" si="1"/>
        <v>7.5281791666666678</v>
      </c>
      <c r="P11" s="1387">
        <f>'Milling Down Time Hours'!Q8</f>
        <v>23</v>
      </c>
      <c r="Q11" s="487">
        <f t="shared" si="2"/>
        <v>720</v>
      </c>
      <c r="R11" s="937">
        <f>'Milling Down Time Hours'!G11</f>
        <v>0</v>
      </c>
      <c r="S11" s="1392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1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0.3569844789356984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385"/>
      <c r="B12" s="1336"/>
      <c r="C12" s="1336"/>
      <c r="D12" s="789" t="s">
        <v>444</v>
      </c>
      <c r="E12" s="790" t="s">
        <v>467</v>
      </c>
      <c r="F12" s="914" t="s">
        <v>13</v>
      </c>
      <c r="G12" s="895"/>
      <c r="H12" s="872"/>
      <c r="I12" s="556"/>
      <c r="J12" s="872"/>
      <c r="K12" s="872"/>
      <c r="L12" s="882"/>
      <c r="M12" s="556">
        <f t="shared" ref="M12:M76" si="7">H12*K12*G12</f>
        <v>0</v>
      </c>
      <c r="N12" s="1397"/>
      <c r="O12" s="556"/>
      <c r="P12" s="1397"/>
      <c r="Q12" s="556">
        <f t="shared" si="2"/>
        <v>660</v>
      </c>
      <c r="R12" s="963">
        <f>'Milling Down Time Hours'!G12</f>
        <v>60.000000000000007</v>
      </c>
      <c r="S12" s="1394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4"/>
      <c r="AA12" s="1"/>
      <c r="AB12" s="932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439.09090909090901</v>
      </c>
      <c r="AJ12" s="728" t="s">
        <v>40</v>
      </c>
      <c r="AK12" s="8"/>
      <c r="AL12" s="111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86"/>
      <c r="B13" s="1398">
        <v>46269</v>
      </c>
      <c r="C13" s="1315"/>
      <c r="D13" s="1383" t="s">
        <v>484</v>
      </c>
      <c r="E13" s="732"/>
      <c r="F13" s="915" t="s">
        <v>12</v>
      </c>
      <c r="G13" s="896"/>
      <c r="H13" s="873"/>
      <c r="I13" s="797"/>
      <c r="J13" s="873"/>
      <c r="K13" s="873"/>
      <c r="L13" s="873"/>
      <c r="M13" s="797">
        <f t="shared" si="7"/>
        <v>0</v>
      </c>
      <c r="N13" s="797"/>
      <c r="O13" s="873">
        <v>0</v>
      </c>
      <c r="P13" s="797">
        <f>'Milling Down Time Hours'!Q9</f>
        <v>0</v>
      </c>
      <c r="Q13" s="797"/>
      <c r="R13" s="1395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2"/>
      <c r="AB13" s="932">
        <f t="shared" si="5"/>
        <v>0</v>
      </c>
      <c r="AG13" s="725"/>
      <c r="AH13" s="726" t="s">
        <v>49</v>
      </c>
      <c r="AI13" s="729">
        <f>(AI6-AI12)</f>
        <v>790.90909090909099</v>
      </c>
      <c r="AJ13" s="728" t="s">
        <v>40</v>
      </c>
      <c r="AK13" s="8"/>
      <c r="AL13" s="1118"/>
    </row>
    <row r="14" spans="1:92" ht="16.2" thickBot="1" x14ac:dyDescent="0.35">
      <c r="A14" s="1386"/>
      <c r="B14" s="1399"/>
      <c r="C14" s="1338"/>
      <c r="D14" s="1384"/>
      <c r="E14" s="800"/>
      <c r="F14" s="916" t="s">
        <v>13</v>
      </c>
      <c r="G14" s="883"/>
      <c r="H14" s="874"/>
      <c r="I14" s="802"/>
      <c r="J14" s="874"/>
      <c r="K14" s="874"/>
      <c r="L14" s="883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396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3"/>
      <c r="AB14" s="932">
        <f t="shared" si="5"/>
        <v>0</v>
      </c>
      <c r="AG14" s="704"/>
      <c r="AH14" s="705"/>
      <c r="AI14" s="705"/>
      <c r="AJ14" s="706"/>
      <c r="AK14" s="8"/>
      <c r="AL14" s="1118"/>
    </row>
    <row r="15" spans="1:92" x14ac:dyDescent="0.3">
      <c r="A15" s="747"/>
      <c r="B15" s="1389">
        <v>46270</v>
      </c>
      <c r="C15" s="1389"/>
      <c r="D15" s="792"/>
      <c r="E15" s="792" t="s">
        <v>485</v>
      </c>
      <c r="F15" s="912" t="s">
        <v>12</v>
      </c>
      <c r="G15" s="868"/>
      <c r="H15" s="868"/>
      <c r="I15" s="794"/>
      <c r="J15" s="868"/>
      <c r="K15" s="868"/>
      <c r="L15" s="884"/>
      <c r="M15" s="794">
        <f t="shared" si="7"/>
        <v>0</v>
      </c>
      <c r="N15" s="868"/>
      <c r="O15" s="868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2"/>
      <c r="AB15" s="932">
        <f t="shared" si="5"/>
        <v>0</v>
      </c>
      <c r="AL15" s="1118"/>
      <c r="AM15" s="1118"/>
    </row>
    <row r="16" spans="1:92" x14ac:dyDescent="0.3">
      <c r="A16" s="1377">
        <v>3</v>
      </c>
      <c r="B16" s="1317">
        <v>46270</v>
      </c>
      <c r="C16" s="1317"/>
      <c r="D16" s="546" t="s">
        <v>441</v>
      </c>
      <c r="E16" s="572" t="s">
        <v>486</v>
      </c>
      <c r="F16" s="866" t="s">
        <v>13</v>
      </c>
      <c r="G16" s="880">
        <v>0.38</v>
      </c>
      <c r="H16" s="555">
        <f>J16-'Au Cal Leaching Tank'!$S$10</f>
        <v>62.150000000000006</v>
      </c>
      <c r="I16" s="555">
        <v>5.57</v>
      </c>
      <c r="J16" s="581">
        <v>170</v>
      </c>
      <c r="K16" s="581">
        <v>1.25</v>
      </c>
      <c r="L16" s="880">
        <v>0.7</v>
      </c>
      <c r="M16" s="555">
        <f>(J16*K16*G16)-'Au Cal Leaching Tank'!$T$10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388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6"/>
      <c r="AB16" s="930">
        <f t="shared" si="5"/>
        <v>71509192.454375014</v>
      </c>
    </row>
    <row r="17" spans="1:32" x14ac:dyDescent="0.3">
      <c r="A17" s="1377"/>
      <c r="B17" s="1317">
        <v>46271</v>
      </c>
      <c r="C17" s="1317"/>
      <c r="D17" s="601" t="s">
        <v>441</v>
      </c>
      <c r="E17" s="601" t="s">
        <v>506</v>
      </c>
      <c r="F17" s="866" t="s">
        <v>12</v>
      </c>
      <c r="G17" s="880">
        <v>0.47</v>
      </c>
      <c r="H17" s="555">
        <f>J17-SUM(H16)-'Au Cal Leaching Tank'!$S$10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80">
        <v>0.65</v>
      </c>
      <c r="M17" s="555">
        <f>J17*K17*G17-SUM(M16)-'Au Cal Leaching Tank'!$T$10</f>
        <v>53.646499999999968</v>
      </c>
      <c r="N17" s="1378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377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6"/>
      <c r="AB17" s="930">
        <f t="shared" si="5"/>
        <v>121017562.91666658</v>
      </c>
      <c r="AE17" s="44"/>
      <c r="AF17" s="8"/>
    </row>
    <row r="18" spans="1:32" x14ac:dyDescent="0.3">
      <c r="A18" s="1377"/>
      <c r="B18" s="1317"/>
      <c r="C18" s="1317"/>
      <c r="D18" s="601" t="s">
        <v>440</v>
      </c>
      <c r="E18" s="602"/>
      <c r="F18" s="866" t="s">
        <v>13</v>
      </c>
      <c r="G18" s="814">
        <v>0.45</v>
      </c>
      <c r="H18" s="555">
        <f>J18-SUM(H16:H17)-'Au Cal Leaching Tank'!$S$10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80">
        <v>0.65</v>
      </c>
      <c r="M18" s="555">
        <f>J18*K18*G18-SUM(M16:M17)-'Au Cal Leaching Tank'!$T$10</f>
        <v>119.67800000000005</v>
      </c>
      <c r="N18" s="1378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377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6"/>
      <c r="AB18" s="930">
        <f t="shared" si="5"/>
        <v>243644461.66666678</v>
      </c>
      <c r="AC18" s="118"/>
    </row>
    <row r="19" spans="1:32" x14ac:dyDescent="0.3">
      <c r="A19" s="1377"/>
      <c r="B19" s="1317">
        <v>46272</v>
      </c>
      <c r="C19" s="1317"/>
      <c r="D19" s="601" t="s">
        <v>169</v>
      </c>
      <c r="E19" s="748" t="s">
        <v>518</v>
      </c>
      <c r="F19" s="866" t="s">
        <v>12</v>
      </c>
      <c r="G19" s="880">
        <v>0.45</v>
      </c>
      <c r="H19" s="555">
        <f>J19-SUM(H16:H18)-'Au Cal Leaching Tank'!$S$10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80">
        <v>0.73</v>
      </c>
      <c r="M19" s="555">
        <f>J19*K19*G19-SUM(M16:M18)-'Au Cal Leaching Tank'!$T$10</f>
        <v>127.33200000000005</v>
      </c>
      <c r="N19" s="1390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377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6"/>
      <c r="AB19" s="930">
        <f t="shared" si="5"/>
        <v>290316960.00000006</v>
      </c>
    </row>
    <row r="20" spans="1:32" x14ac:dyDescent="0.3">
      <c r="A20" s="1385">
        <v>4</v>
      </c>
      <c r="B20" s="1313">
        <v>46272</v>
      </c>
      <c r="C20" s="1313"/>
      <c r="D20" s="550" t="s">
        <v>509</v>
      </c>
      <c r="E20" s="625" t="s">
        <v>549</v>
      </c>
      <c r="F20" s="783" t="s">
        <v>13</v>
      </c>
      <c r="G20" s="881">
        <v>0.41</v>
      </c>
      <c r="H20" s="487">
        <f>J20-'Au Cal Leaching Tank'!$S$11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1">
        <v>0.73</v>
      </c>
      <c r="M20" s="487">
        <f>J20*K20*G20-'Au Cal Leaching Tank'!$T$11</f>
        <v>58.259900000000002</v>
      </c>
      <c r="N20" s="1391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392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1">
        <f t="shared" si="5"/>
        <v>77242917.416666687</v>
      </c>
    </row>
    <row r="21" spans="1:32" x14ac:dyDescent="0.3">
      <c r="A21" s="1385"/>
      <c r="B21" s="1313">
        <v>46273</v>
      </c>
      <c r="C21" s="1313"/>
      <c r="D21" s="551" t="s">
        <v>169</v>
      </c>
      <c r="E21" s="551" t="s">
        <v>519</v>
      </c>
      <c r="F21" s="783" t="s">
        <v>12</v>
      </c>
      <c r="G21" s="881">
        <v>0.42</v>
      </c>
      <c r="H21" s="487">
        <f>J21-'Au Cal Leaching Tank'!$S$11-SUM(H20)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1">
        <v>0.75</v>
      </c>
      <c r="M21" s="487">
        <f>J21*K21*G21-'Au Cal Leaching Tank'!$T$11-SUM(M20)</f>
        <v>106.05519999999997</v>
      </c>
      <c r="N21" s="1387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392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1">
        <f t="shared" si="5"/>
        <v>171455906.66666663</v>
      </c>
    </row>
    <row r="22" spans="1:32" x14ac:dyDescent="0.3">
      <c r="A22" s="1385"/>
      <c r="B22" s="1313"/>
      <c r="C22" s="1313"/>
      <c r="D22" s="749" t="s">
        <v>523</v>
      </c>
      <c r="E22" s="750" t="s">
        <v>529</v>
      </c>
      <c r="F22" s="783" t="s">
        <v>13</v>
      </c>
      <c r="G22" s="881">
        <v>0.42</v>
      </c>
      <c r="H22" s="487">
        <f>J22-'Au Cal Leaching Tank'!$S$11-SUM(H20:H21)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1">
        <v>0.75</v>
      </c>
      <c r="M22" s="487">
        <f>J22*K22*G22-'Au Cal Leaching Tank'!$T$11-SUM(M20:M21)</f>
        <v>87.771600000000035</v>
      </c>
      <c r="N22" s="1393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392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1">
        <f t="shared" si="5"/>
        <v>139337415.00000003</v>
      </c>
    </row>
    <row r="23" spans="1:32" ht="28.8" x14ac:dyDescent="0.3">
      <c r="A23" s="1385"/>
      <c r="B23" s="1313">
        <v>46274</v>
      </c>
      <c r="C23" s="1313"/>
      <c r="D23" s="750" t="s">
        <v>169</v>
      </c>
      <c r="E23" s="751" t="s">
        <v>521</v>
      </c>
      <c r="F23" s="783" t="s">
        <v>12</v>
      </c>
      <c r="G23" s="881">
        <v>0.44</v>
      </c>
      <c r="H23" s="487">
        <f>J23-'Au Cal Leaching Tank'!$S$11-SUM(H20:H22)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1">
        <v>0.75</v>
      </c>
      <c r="M23" s="487">
        <f>J23*K23*G23-'Au Cal Leaching Tank'!$T$11-SUM(M20:M22)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392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1">
        <f t="shared" si="5"/>
        <v>96029968.499999955</v>
      </c>
    </row>
    <row r="24" spans="1:32" x14ac:dyDescent="0.3">
      <c r="A24" s="747"/>
      <c r="B24" s="1330">
        <v>46274</v>
      </c>
      <c r="C24" s="1330"/>
      <c r="D24" s="752" t="s">
        <v>523</v>
      </c>
      <c r="E24" s="753" t="s">
        <v>548</v>
      </c>
      <c r="F24" s="747" t="s">
        <v>13</v>
      </c>
      <c r="G24" s="885"/>
      <c r="H24" s="234"/>
      <c r="I24" s="155"/>
      <c r="J24" s="234"/>
      <c r="K24" s="234"/>
      <c r="L24" s="88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2">
        <f t="shared" si="5"/>
        <v>0</v>
      </c>
    </row>
    <row r="25" spans="1:32" x14ac:dyDescent="0.3">
      <c r="A25" s="1377">
        <v>5</v>
      </c>
      <c r="B25" s="1317">
        <v>46275</v>
      </c>
      <c r="C25" s="1317"/>
      <c r="D25" s="577" t="s">
        <v>169</v>
      </c>
      <c r="E25" s="578" t="s">
        <v>522</v>
      </c>
      <c r="F25" s="866" t="s">
        <v>12</v>
      </c>
      <c r="G25" s="880">
        <v>0.44</v>
      </c>
      <c r="H25" s="555">
        <f>J25-'Au Cal Leaching Tank'!$S$14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80">
        <v>0.75</v>
      </c>
      <c r="M25" s="555">
        <f>J25*K25*G25-'Au Cal Leaching Tank'!$T$12</f>
        <v>123.06580000000004</v>
      </c>
      <c r="N25" s="1378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388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6"/>
      <c r="AB25" s="930">
        <f t="shared" si="5"/>
        <v>224595085.00000006</v>
      </c>
    </row>
    <row r="26" spans="1:32" x14ac:dyDescent="0.3">
      <c r="A26" s="1377"/>
      <c r="B26" s="1317"/>
      <c r="C26" s="1317"/>
      <c r="D26" s="579" t="s">
        <v>541</v>
      </c>
      <c r="E26" s="580"/>
      <c r="F26" s="866" t="s">
        <v>13</v>
      </c>
      <c r="G26" s="880">
        <v>0.42</v>
      </c>
      <c r="H26" s="555">
        <f>J26-'Au Cal Leaching Tank'!$S$14-SUM(H25)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80">
        <v>0.75</v>
      </c>
      <c r="M26" s="555">
        <f>(J26*K26*G26-'Au Cal Leaching Tank'!$T$12)-M25</f>
        <v>139.02199999999993</v>
      </c>
      <c r="N26" s="1391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388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6"/>
      <c r="AB26" s="930">
        <f t="shared" si="5"/>
        <v>179338379.99999991</v>
      </c>
    </row>
    <row r="27" spans="1:32" ht="28.8" x14ac:dyDescent="0.3">
      <c r="A27" s="1377"/>
      <c r="B27" s="1317">
        <v>46276</v>
      </c>
      <c r="C27" s="1317"/>
      <c r="D27" s="579" t="s">
        <v>540</v>
      </c>
      <c r="E27" s="841" t="s">
        <v>554</v>
      </c>
      <c r="F27" s="866" t="s">
        <v>12</v>
      </c>
      <c r="G27" s="880">
        <v>0.4</v>
      </c>
      <c r="H27" s="555">
        <f>J27-'Au Cal Leaching Tank'!$S$14-SUM(H25:H26)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80">
        <v>0.75</v>
      </c>
      <c r="M27" s="555">
        <f>(J27*K27*G27-'Au Cal Leaching Tank'!$T$12)-SUM(M25:M26)</f>
        <v>4.8980000000000814</v>
      </c>
      <c r="N27" s="1378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388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6"/>
      <c r="AB27" s="930">
        <f t="shared" si="5"/>
        <v>6318420.0000001052</v>
      </c>
      <c r="AD27" s="446"/>
    </row>
    <row r="28" spans="1:32" x14ac:dyDescent="0.3">
      <c r="A28" s="783"/>
      <c r="B28" s="1313">
        <v>46276</v>
      </c>
      <c r="C28" s="1313"/>
      <c r="D28" s="788" t="s">
        <v>540</v>
      </c>
      <c r="E28" s="975" t="s">
        <v>582</v>
      </c>
      <c r="F28" s="783" t="s">
        <v>12</v>
      </c>
      <c r="G28" s="881">
        <v>0.42</v>
      </c>
      <c r="H28" s="487">
        <f>J28-'Au Cal Leaching Tank'!$S$15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1">
        <v>0.75</v>
      </c>
      <c r="M28" s="487">
        <f>(J28*K28*G28)-'Au Cal Leaching Tank'!$T$13</f>
        <v>60.108412500000014</v>
      </c>
      <c r="N28" s="1378"/>
      <c r="O28" s="891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392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1">
        <f t="shared" si="5"/>
        <v>214687213.31250003</v>
      </c>
      <c r="AD28" s="446"/>
    </row>
    <row r="29" spans="1:32" ht="28.8" x14ac:dyDescent="0.3">
      <c r="A29" s="1385">
        <v>6</v>
      </c>
      <c r="B29" s="1313">
        <v>46276</v>
      </c>
      <c r="C29" s="1313"/>
      <c r="D29" s="489" t="s">
        <v>550</v>
      </c>
      <c r="E29" s="840" t="s">
        <v>547</v>
      </c>
      <c r="F29" s="783" t="s">
        <v>13</v>
      </c>
      <c r="G29" s="881">
        <v>0.45</v>
      </c>
      <c r="H29" s="487">
        <f>J29-'Au Cal Leaching Tank'!$S$15-SUM(H28)</f>
        <v>72</v>
      </c>
      <c r="I29" s="487">
        <f t="shared" si="11"/>
        <v>36</v>
      </c>
      <c r="J29" s="619">
        <v>287</v>
      </c>
      <c r="K29" s="619">
        <v>1.29</v>
      </c>
      <c r="L29" s="881">
        <v>0.75</v>
      </c>
      <c r="M29" s="487">
        <f>(J29*K29*G29)-'Au Cal Leaching Tank'!$T$13-SUM(M28)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392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1">
        <f t="shared" si="5"/>
        <v>33202181.250000007</v>
      </c>
    </row>
    <row r="30" spans="1:32" ht="28.8" x14ac:dyDescent="0.3">
      <c r="A30" s="1385"/>
      <c r="B30" s="1313">
        <v>46277</v>
      </c>
      <c r="C30" s="1313"/>
      <c r="D30" s="625" t="s">
        <v>551</v>
      </c>
      <c r="E30" s="754" t="s">
        <v>552</v>
      </c>
      <c r="F30" s="783" t="s">
        <v>12</v>
      </c>
      <c r="G30" s="881">
        <v>0.33</v>
      </c>
      <c r="H30" s="487">
        <f>J30-'Au Cal Leaching Tank'!$S$15-SUM(H28:H29)</f>
        <v>432</v>
      </c>
      <c r="I30" s="487"/>
      <c r="J30" s="619">
        <v>719</v>
      </c>
      <c r="K30" s="619">
        <v>1.21</v>
      </c>
      <c r="L30" s="881">
        <v>0.75</v>
      </c>
      <c r="M30" s="487">
        <f>(J30*K30*G30)-'Au Cal Leaching Tank'!$T$13-SUM(M28:M29)</f>
        <v>120.49319999999999</v>
      </c>
      <c r="N30" s="1387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392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1">
        <f t="shared" si="5"/>
        <v>91976475.999999985</v>
      </c>
    </row>
    <row r="31" spans="1:32" x14ac:dyDescent="0.3">
      <c r="A31" s="1385"/>
      <c r="B31" s="1313"/>
      <c r="C31" s="1313"/>
      <c r="D31" s="755" t="s">
        <v>570</v>
      </c>
      <c r="E31" s="755" t="s">
        <v>571</v>
      </c>
      <c r="F31" s="783" t="s">
        <v>13</v>
      </c>
      <c r="G31" s="881">
        <v>0.33</v>
      </c>
      <c r="H31" s="487">
        <f>J31-'Au Cal Leaching Tank'!$S$15-SUM(H28:H30)</f>
        <v>116</v>
      </c>
      <c r="I31" s="487"/>
      <c r="J31" s="619">
        <v>835</v>
      </c>
      <c r="K31" s="619">
        <v>1.21</v>
      </c>
      <c r="L31" s="881">
        <v>0.75</v>
      </c>
      <c r="M31" s="487">
        <f>(J31*K31*G31)-'Au Cal Leaching Tank'!$T$13-SUM(M28:M30)</f>
        <v>46.31880000000001</v>
      </c>
      <c r="N31" s="1387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392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1">
        <f t="shared" si="5"/>
        <v>35356684.000000007</v>
      </c>
      <c r="AC31" s="137"/>
    </row>
    <row r="32" spans="1:32" x14ac:dyDescent="0.3">
      <c r="A32" s="1441"/>
      <c r="B32" s="1330">
        <v>46278</v>
      </c>
      <c r="C32" s="1330"/>
      <c r="D32" s="756" t="s">
        <v>572</v>
      </c>
      <c r="E32" s="756" t="s">
        <v>571</v>
      </c>
      <c r="F32" s="747" t="s">
        <v>12</v>
      </c>
      <c r="G32" s="897"/>
      <c r="H32" s="234"/>
      <c r="I32" s="155"/>
      <c r="J32" s="234"/>
      <c r="K32" s="234"/>
      <c r="L32" s="88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2">
        <f t="shared" si="5"/>
        <v>0</v>
      </c>
    </row>
    <row r="33" spans="1:33" x14ac:dyDescent="0.3">
      <c r="A33" s="1442"/>
      <c r="B33" s="1330">
        <v>46278</v>
      </c>
      <c r="C33" s="1330"/>
      <c r="D33" s="756" t="s">
        <v>572</v>
      </c>
      <c r="E33" s="756" t="s">
        <v>571</v>
      </c>
      <c r="F33" s="747" t="s">
        <v>13</v>
      </c>
      <c r="G33" s="234"/>
      <c r="H33" s="234"/>
      <c r="I33" s="875"/>
      <c r="J33" s="234"/>
      <c r="K33" s="234"/>
      <c r="L33" s="234"/>
      <c r="M33" s="875"/>
      <c r="N33" s="234"/>
      <c r="O33" s="875"/>
      <c r="P33" s="234"/>
      <c r="Q33" s="875"/>
      <c r="R33" s="234"/>
      <c r="S33" s="14"/>
      <c r="T33" s="6"/>
      <c r="U33" s="6"/>
      <c r="V33" s="6"/>
      <c r="W33" s="6"/>
      <c r="X33" s="14"/>
      <c r="Y33" s="14"/>
      <c r="Z33" s="747"/>
      <c r="AB33" s="932">
        <f t="shared" si="5"/>
        <v>0</v>
      </c>
    </row>
    <row r="34" spans="1:33" x14ac:dyDescent="0.3">
      <c r="B34" s="1408">
        <v>46279</v>
      </c>
      <c r="C34" s="1409"/>
      <c r="D34" s="756" t="s">
        <v>572</v>
      </c>
      <c r="E34" s="756" t="s">
        <v>571</v>
      </c>
      <c r="F34" s="747" t="s">
        <v>12</v>
      </c>
      <c r="G34" s="897"/>
      <c r="H34" s="234"/>
      <c r="I34" s="234"/>
      <c r="J34" s="234"/>
      <c r="K34" s="234"/>
      <c r="L34" s="88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2">
        <f t="shared" si="5"/>
        <v>0</v>
      </c>
    </row>
    <row r="35" spans="1:33" ht="15" thickBot="1" x14ac:dyDescent="0.35">
      <c r="A35" s="1450">
        <v>7</v>
      </c>
      <c r="B35" s="1410">
        <v>46279</v>
      </c>
      <c r="C35" s="1411"/>
      <c r="D35" s="757" t="s">
        <v>169</v>
      </c>
      <c r="E35" s="758" t="s">
        <v>581</v>
      </c>
      <c r="F35" s="866" t="s">
        <v>13</v>
      </c>
      <c r="G35" s="880">
        <v>0.38</v>
      </c>
      <c r="H35" s="555">
        <f>J35-'Au Cal Leaching Tank'!$S$14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80">
        <v>0.75</v>
      </c>
      <c r="M35" s="555">
        <f>(J35*K35*G35)-'Au Cal Leaching Tank'!$T$14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23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6">
        <v>3.2</v>
      </c>
      <c r="AB35" s="931">
        <f t="shared" si="5"/>
        <v>126415465.03999998</v>
      </c>
      <c r="AC35" s="11"/>
    </row>
    <row r="36" spans="1:33" x14ac:dyDescent="0.3">
      <c r="A36" s="1450"/>
      <c r="B36" s="1404">
        <v>46280</v>
      </c>
      <c r="C36" s="1405"/>
      <c r="D36" s="818" t="s">
        <v>523</v>
      </c>
      <c r="E36" s="818" t="s">
        <v>590</v>
      </c>
      <c r="F36" s="917" t="s">
        <v>12</v>
      </c>
      <c r="G36" s="880">
        <v>0.37</v>
      </c>
      <c r="H36" s="555">
        <f>J36-'Au Cal Leaching Tank'!$S$14-H35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80">
        <v>0.75</v>
      </c>
      <c r="M36" s="555">
        <f>(J36*K36*G36)-'Au Cal Leaching Tank'!$T$14-SUM(M35)</f>
        <v>81.933325925999952</v>
      </c>
      <c r="N36" s="1378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371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6">
        <v>5.3</v>
      </c>
      <c r="AB36" s="931">
        <f t="shared" si="5"/>
        <v>74695882.13586995</v>
      </c>
      <c r="AC36" s="11"/>
    </row>
    <row r="37" spans="1:33" ht="42" customHeight="1" thickBot="1" x14ac:dyDescent="0.35">
      <c r="A37" s="1450"/>
      <c r="B37" s="1406"/>
      <c r="C37" s="1407"/>
      <c r="D37" s="771" t="s">
        <v>516</v>
      </c>
      <c r="E37" s="839" t="s">
        <v>630</v>
      </c>
      <c r="F37" s="918" t="s">
        <v>13</v>
      </c>
      <c r="G37" s="898">
        <v>0.33</v>
      </c>
      <c r="H37" s="555">
        <f>J37-'Au Cal Leaching Tank'!$S$14-SUM(H35:H36)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6">
        <v>1.2150000000000001</v>
      </c>
      <c r="L37" s="880">
        <v>0.75</v>
      </c>
      <c r="M37" s="555">
        <f>(J37*K37*G37)-'Au Cal Leaching Tank'!$T$14-SUM(M35:M36)</f>
        <v>84.15322978100005</v>
      </c>
      <c r="N37" s="1378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372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6">
        <v>8.4</v>
      </c>
      <c r="AB37" s="931">
        <f t="shared" si="5"/>
        <v>128333675.41602507</v>
      </c>
    </row>
    <row r="38" spans="1:33" ht="15" thickBot="1" x14ac:dyDescent="0.35">
      <c r="A38" s="1449">
        <v>8</v>
      </c>
      <c r="B38" s="1413">
        <v>46281</v>
      </c>
      <c r="C38" s="1414"/>
      <c r="D38" s="489" t="s">
        <v>626</v>
      </c>
      <c r="E38" s="829" t="s">
        <v>592</v>
      </c>
      <c r="F38" s="919" t="s">
        <v>12</v>
      </c>
      <c r="G38" s="899">
        <v>0.3</v>
      </c>
      <c r="H38" s="487">
        <f>J38-'Au Cal Leaching Tank'!$S$15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1">
        <v>0.75</v>
      </c>
      <c r="M38" s="887">
        <f>(J38*K38*G38)-'Au Cal Leaching Tank'!$T$15</f>
        <v>117.10293023999996</v>
      </c>
      <c r="N38" s="1394">
        <f>SUM(M38:M39)</f>
        <v>171.64785532499997</v>
      </c>
      <c r="O38" s="534">
        <f t="shared" si="15"/>
        <v>9.7585775199999976</v>
      </c>
      <c r="P38" s="937">
        <f t="shared" si="19"/>
        <v>12</v>
      </c>
      <c r="Q38" s="487">
        <f t="shared" si="20"/>
        <v>720</v>
      </c>
      <c r="R38" s="487">
        <f>'Milling Down Time Hours'!G37</f>
        <v>0</v>
      </c>
      <c r="S38" s="1394">
        <f>SUM(M38:M41)</f>
        <v>365.71778205599998</v>
      </c>
      <c r="T38" s="830">
        <f>AVERAGE('LT Ball Mill'!F76:F78)</f>
        <v>0.45166666666666666</v>
      </c>
      <c r="U38" s="830">
        <f>AVERAGE('LT Ball Mill'!G76:G78)</f>
        <v>0.6333333333333333</v>
      </c>
      <c r="V38" s="830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1">
        <f>W38*$AC$5</f>
        <v>132228725.39599995</v>
      </c>
    </row>
    <row r="39" spans="1:33" ht="15" thickBot="1" x14ac:dyDescent="0.35">
      <c r="A39" s="1449"/>
      <c r="B39" s="1415"/>
      <c r="C39" s="1416"/>
      <c r="D39" s="829" t="s">
        <v>598</v>
      </c>
      <c r="E39" s="829" t="s">
        <v>599</v>
      </c>
      <c r="F39" s="914" t="s">
        <v>13</v>
      </c>
      <c r="G39" s="899">
        <v>0.3</v>
      </c>
      <c r="H39" s="487">
        <f>J39-'Au Cal Leaching Tank'!$S$15-H38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1">
        <v>0.75</v>
      </c>
      <c r="M39" s="887">
        <f>(J39*K39*G39)-'Au Cal Leaching Tank'!$T$15-SUM(M38)</f>
        <v>54.544925085000003</v>
      </c>
      <c r="N39" s="1418"/>
      <c r="O39" s="534">
        <f>IFERROR(M39/P39,"")</f>
        <v>4.9888650992378052</v>
      </c>
      <c r="P39" s="937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417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1">
        <f t="shared" si="5"/>
        <v>80181039.874949992</v>
      </c>
    </row>
    <row r="40" spans="1:33" ht="37.200000000000003" customHeight="1" thickBot="1" x14ac:dyDescent="0.35">
      <c r="A40" s="1449"/>
      <c r="B40" s="1413">
        <v>46282</v>
      </c>
      <c r="C40" s="1414"/>
      <c r="D40" s="489" t="s">
        <v>626</v>
      </c>
      <c r="E40" s="924" t="s">
        <v>627</v>
      </c>
      <c r="F40" s="919" t="s">
        <v>12</v>
      </c>
      <c r="G40" s="881">
        <v>0.35</v>
      </c>
      <c r="H40" s="487">
        <f>J40-'Au Cal Leaching Tank'!$S$15-SUM(H38:H39)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1">
        <v>0.75</v>
      </c>
      <c r="M40" s="887">
        <f>(J40*K40*G40)-'Au Cal Leaching Tank'!$T$15-SUM(M38:M39)</f>
        <v>115.12942664999997</v>
      </c>
      <c r="N40" s="1397">
        <f>SUM(M40:M41)</f>
        <v>194.06992673100001</v>
      </c>
      <c r="O40" s="534">
        <f>IFERROR(M40/P40,"")</f>
        <v>9.594118887499997</v>
      </c>
      <c r="P40" s="937">
        <f t="shared" si="19"/>
        <v>12</v>
      </c>
      <c r="Q40" s="556">
        <f t="shared" si="20"/>
        <v>720</v>
      </c>
      <c r="R40" s="556">
        <f>'Milling Down Time Hours'!G39</f>
        <v>0</v>
      </c>
      <c r="S40" s="1417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1">
        <f t="shared" si="5"/>
        <v>176819611.09662494</v>
      </c>
      <c r="AC40" s="137"/>
    </row>
    <row r="41" spans="1:33" ht="29.4" thickBot="1" x14ac:dyDescent="0.35">
      <c r="A41" s="1449"/>
      <c r="B41" s="1415"/>
      <c r="C41" s="1416"/>
      <c r="D41" s="949" t="s">
        <v>598</v>
      </c>
      <c r="E41" s="962" t="s">
        <v>641</v>
      </c>
      <c r="F41" s="950" t="s">
        <v>13</v>
      </c>
      <c r="G41" s="940">
        <v>0.34</v>
      </c>
      <c r="H41" s="937">
        <f>J41-'Au Cal Leaching Tank'!$S$15-SUM(H38:H40)</f>
        <v>215.69916000000012</v>
      </c>
      <c r="I41" s="937">
        <f t="shared" ref="I41:I43" si="21">H41/((720-R41)/60)</f>
        <v>17.974930000000011</v>
      </c>
      <c r="J41" s="937">
        <f t="shared" si="18"/>
        <v>970.64621999999997</v>
      </c>
      <c r="K41" s="452">
        <v>1.22</v>
      </c>
      <c r="L41" s="940">
        <v>0.75</v>
      </c>
      <c r="M41" s="887">
        <f>(J41*K41*G41)-'Au Cal Leaching Tank'!$T$15-SUM(M38:M40)</f>
        <v>78.940500081000039</v>
      </c>
      <c r="N41" s="1412"/>
      <c r="O41" s="534">
        <f>IFERROR(M41/P41,"")</f>
        <v>6.5783750067500035</v>
      </c>
      <c r="P41" s="937">
        <f t="shared" si="19"/>
        <v>12</v>
      </c>
      <c r="Q41" s="556">
        <f t="shared" si="20"/>
        <v>720</v>
      </c>
      <c r="R41" s="556">
        <f>'Milling Down Time Hours'!G40</f>
        <v>0</v>
      </c>
      <c r="S41" s="1418"/>
      <c r="T41" s="981">
        <f>AVERAGE('LT Ball Mill'!F85:F87)</f>
        <v>0.68533333333333335</v>
      </c>
      <c r="U41" s="981">
        <f>AVERAGE('LT Ball Mill'!G85:G87)</f>
        <v>0.55000000000000004</v>
      </c>
      <c r="V41" s="981">
        <f>AVERAGE('LT Ball Mill'!H85:H87)</f>
        <v>9.6166666666666671</v>
      </c>
      <c r="W41" s="982">
        <f t="shared" si="3"/>
        <v>54.10055605551203</v>
      </c>
      <c r="X41" s="937">
        <f t="shared" si="6"/>
        <v>43.417275044550024</v>
      </c>
      <c r="Y41" s="937">
        <f t="shared" si="4"/>
        <v>759.14447577895044</v>
      </c>
      <c r="Z41" s="983">
        <v>10.8</v>
      </c>
      <c r="AB41" s="931">
        <f t="shared" si="5"/>
        <v>135251390.13878009</v>
      </c>
      <c r="AC41" s="137"/>
      <c r="AD41" s="137"/>
      <c r="AE41" s="137"/>
    </row>
    <row r="42" spans="1:33" ht="15" thickBot="1" x14ac:dyDescent="0.35">
      <c r="A42" s="1448">
        <v>9</v>
      </c>
      <c r="B42" s="1400">
        <v>46283</v>
      </c>
      <c r="C42" s="1401"/>
      <c r="D42" s="669" t="s">
        <v>646</v>
      </c>
      <c r="E42" s="669" t="s">
        <v>645</v>
      </c>
      <c r="F42" s="964" t="s">
        <v>12</v>
      </c>
      <c r="G42" s="965">
        <v>0.34</v>
      </c>
      <c r="H42" s="968">
        <f>J42-'Au Cal Leaching Tank'!$S$18</f>
        <v>323.54831999999988</v>
      </c>
      <c r="I42" s="968">
        <f t="shared" si="21"/>
        <v>35.619998532110074</v>
      </c>
      <c r="J42" s="968">
        <f t="shared" si="18"/>
        <v>431.3983199999999</v>
      </c>
      <c r="K42" s="966">
        <v>1.22</v>
      </c>
      <c r="L42" s="965">
        <v>0.75</v>
      </c>
      <c r="M42" s="967">
        <f>(J42*K42*G42)-'Au Cal Leaching Tank'!$T$16</f>
        <v>135.87951813599997</v>
      </c>
      <c r="N42" s="1419">
        <f>SUM(M42:M43)</f>
        <v>229.75179256799998</v>
      </c>
      <c r="O42" s="969">
        <f t="shared" si="15"/>
        <v>14.959213005798162</v>
      </c>
      <c r="P42" s="968">
        <f t="shared" si="19"/>
        <v>9.0833333333333339</v>
      </c>
      <c r="Q42" s="980">
        <f t="shared" si="20"/>
        <v>545</v>
      </c>
      <c r="R42" s="968">
        <f>'Milling Down Time Hours'!G41</f>
        <v>175</v>
      </c>
      <c r="S42" s="1419">
        <f>SUM(M42:M45)</f>
        <v>472.85193585999997</v>
      </c>
      <c r="T42" s="1006">
        <f>AVERAGE('LT Ball Mill'!F88:F90)</f>
        <v>0.7679999999999999</v>
      </c>
      <c r="U42" s="1006">
        <f>AVERAGE('LT Ball Mill'!G88:G90)</f>
        <v>0.53666666666666674</v>
      </c>
      <c r="V42" s="1006">
        <f>AVERAGE('LT Ball Mill'!H88:H90)</f>
        <v>12.049999999999999</v>
      </c>
      <c r="W42" s="970">
        <f t="shared" si="3"/>
        <v>104.35546992844796</v>
      </c>
      <c r="X42" s="968">
        <f t="shared" si="6"/>
        <v>72.922008066319989</v>
      </c>
      <c r="Y42" s="968">
        <f t="shared" si="4"/>
        <v>1637.3481935387995</v>
      </c>
      <c r="Z42" s="971">
        <v>4.8</v>
      </c>
      <c r="AB42" s="931">
        <f t="shared" si="5"/>
        <v>260888674.8211199</v>
      </c>
    </row>
    <row r="43" spans="1:33" ht="15" thickBot="1" x14ac:dyDescent="0.35">
      <c r="A43" s="1448"/>
      <c r="B43" s="1402"/>
      <c r="C43" s="1403"/>
      <c r="D43" s="989" t="s">
        <v>598</v>
      </c>
      <c r="E43" s="979" t="s">
        <v>644</v>
      </c>
      <c r="F43" s="973" t="s">
        <v>13</v>
      </c>
      <c r="G43" s="965">
        <v>0.36</v>
      </c>
      <c r="H43" s="968">
        <f>J43-'Au Cal Leaching Tank'!$S$18-SUM(H42)</f>
        <v>179.74930000000006</v>
      </c>
      <c r="I43" s="968">
        <f t="shared" si="21"/>
        <v>14.979108333333338</v>
      </c>
      <c r="J43" s="968">
        <f>3.14*Z43*((10.7/2)^2)</f>
        <v>611.14761999999996</v>
      </c>
      <c r="K43" s="966">
        <v>1.24</v>
      </c>
      <c r="L43" s="965">
        <v>0.75</v>
      </c>
      <c r="M43" s="967">
        <f>(J43*K43*G43)-'Au Cal Leaching Tank'!$T$16-SUM(M42)</f>
        <v>93.872274432000012</v>
      </c>
      <c r="N43" s="1420"/>
      <c r="O43" s="969">
        <f t="shared" ref="O43:O49" si="22">IFERROR(M43/P43,"")</f>
        <v>7.8226895360000013</v>
      </c>
      <c r="P43" s="968">
        <f t="shared" ref="P43:P45" si="23">(720-R43)/60</f>
        <v>12</v>
      </c>
      <c r="Q43" s="968">
        <f t="shared" si="20"/>
        <v>720</v>
      </c>
      <c r="R43" s="968">
        <f>'Milling Down Time Hours'!G42</f>
        <v>0</v>
      </c>
      <c r="S43" s="1421"/>
      <c r="T43" s="974">
        <f>AVERAGE('LT Ball Mill'!F91:F93)</f>
        <v>0.51666666666666672</v>
      </c>
      <c r="U43" s="974">
        <f>AVERAGE('LT Ball Mill'!G91:G93)</f>
        <v>0.71666666666666667</v>
      </c>
      <c r="V43" s="974">
        <f>AVERAGE('LT Ball Mill'!H91:H93)</f>
        <v>11.409999999999998</v>
      </c>
      <c r="W43" s="970">
        <f t="shared" si="3"/>
        <v>48.500675123200011</v>
      </c>
      <c r="X43" s="968">
        <f t="shared" si="6"/>
        <v>67.275130009600005</v>
      </c>
      <c r="Y43" s="968">
        <f t="shared" si="4"/>
        <v>1071.0826512691199</v>
      </c>
      <c r="Z43" s="971">
        <v>6.8</v>
      </c>
      <c r="AB43" s="931">
        <f t="shared" si="5"/>
        <v>121251687.80800003</v>
      </c>
    </row>
    <row r="44" spans="1:33" ht="15" thickBot="1" x14ac:dyDescent="0.35">
      <c r="A44" s="1448"/>
      <c r="B44" s="1400">
        <v>46284</v>
      </c>
      <c r="C44" s="1401"/>
      <c r="D44" s="669" t="s">
        <v>646</v>
      </c>
      <c r="E44" s="669" t="s">
        <v>644</v>
      </c>
      <c r="F44" s="964" t="s">
        <v>12</v>
      </c>
      <c r="G44" s="965">
        <v>0.35</v>
      </c>
      <c r="H44" s="968">
        <f>J44-'Au Cal Leaching Tank'!$S$18-SUM(H43)</f>
        <v>575.19733999999971</v>
      </c>
      <c r="I44" s="968">
        <f>H44/((720-R44)/60)</f>
        <v>47.93311166666664</v>
      </c>
      <c r="J44" s="968">
        <f>3.14*Z44*((10.7/2)^2)</f>
        <v>862.7966399999998</v>
      </c>
      <c r="K44" s="966">
        <v>1.23</v>
      </c>
      <c r="L44" s="965">
        <v>0.75</v>
      </c>
      <c r="M44" s="967">
        <f>(J44*K44*G44)-'Au Cal Leaching Tank'!$T$16-SUM(M42:M43)</f>
        <v>98.617655951999893</v>
      </c>
      <c r="N44" s="1419">
        <f>SUM(M44:M45)</f>
        <v>243.10014329199998</v>
      </c>
      <c r="O44" s="969">
        <f t="shared" si="22"/>
        <v>8.2181379959999905</v>
      </c>
      <c r="P44" s="968">
        <f t="shared" si="23"/>
        <v>12</v>
      </c>
      <c r="Q44" s="968">
        <f t="shared" si="20"/>
        <v>720</v>
      </c>
      <c r="R44" s="968">
        <f>'Milling Down Time Hours'!G43</f>
        <v>0</v>
      </c>
      <c r="S44" s="1421"/>
      <c r="T44" s="1006">
        <f>AVERAGE('LT Ball Mill'!F94:F96)</f>
        <v>0.59099999999999997</v>
      </c>
      <c r="U44" s="1006">
        <f>AVERAGE('LT Ball Mill'!G94:G96)</f>
        <v>0.96666666666666679</v>
      </c>
      <c r="V44" s="1006">
        <f>AVERAGE('LT Ball Mill'!H94:H96)</f>
        <v>16.586666666666662</v>
      </c>
      <c r="W44" s="970">
        <f t="shared" si="3"/>
        <v>58.283034667631931</v>
      </c>
      <c r="X44" s="968">
        <f t="shared" si="6"/>
        <v>95.330400753599903</v>
      </c>
      <c r="Y44" s="968">
        <f t="shared" si="4"/>
        <v>1635.7381867238378</v>
      </c>
      <c r="Z44" s="971">
        <v>9.6</v>
      </c>
      <c r="AB44" s="931">
        <f t="shared" si="5"/>
        <v>145707586.66907984</v>
      </c>
    </row>
    <row r="45" spans="1:33" ht="29.4" thickBot="1" x14ac:dyDescent="0.35">
      <c r="A45" s="1448"/>
      <c r="B45" s="1402"/>
      <c r="C45" s="1403"/>
      <c r="D45" s="989" t="s">
        <v>647</v>
      </c>
      <c r="E45" s="1045" t="s">
        <v>656</v>
      </c>
      <c r="F45" s="973" t="s">
        <v>13</v>
      </c>
      <c r="G45" s="965">
        <v>0.4</v>
      </c>
      <c r="H45" s="968">
        <f>J45-'Au Cal Leaching Tank'!$S$18-SUM(H44)</f>
        <v>332.53620500000022</v>
      </c>
      <c r="I45" s="968">
        <f>H45/((720-R45)/60)</f>
        <v>55.422700833333373</v>
      </c>
      <c r="J45" s="968">
        <f>3.14*Z45*((10.7/2)^2)</f>
        <v>1015.583545</v>
      </c>
      <c r="K45" s="966">
        <v>1.27</v>
      </c>
      <c r="L45" s="965">
        <v>0.75</v>
      </c>
      <c r="M45" s="967">
        <f>(J45*K45*G45)-'Au Cal Leaching Tank'!$T$16-SUM(M42:M44)</f>
        <v>144.48248734000009</v>
      </c>
      <c r="N45" s="1420"/>
      <c r="O45" s="969">
        <f>IFERROR(M45/P45,"")</f>
        <v>24.080414556666682</v>
      </c>
      <c r="P45" s="968">
        <f t="shared" si="23"/>
        <v>6</v>
      </c>
      <c r="Q45" s="968">
        <f t="shared" si="20"/>
        <v>360</v>
      </c>
      <c r="R45" s="968">
        <f>'Milling Down Time Hours'!G44</f>
        <v>360</v>
      </c>
      <c r="S45" s="1422"/>
      <c r="T45" s="974">
        <f>AVERAGE('LT Ball Mill'!F97:F99)</f>
        <v>0.54733333333333334</v>
      </c>
      <c r="U45" s="974">
        <f>AVERAGE('LT Ball Mill'!G97:G99)</f>
        <v>1.2333333333333332</v>
      </c>
      <c r="V45" s="974">
        <f>AVERAGE('LT Ball Mill'!H97:H99)</f>
        <v>18.656666666666666</v>
      </c>
      <c r="W45" s="970">
        <f t="shared" si="3"/>
        <v>79.080081404093377</v>
      </c>
      <c r="X45" s="968">
        <f>M45*U45</f>
        <v>178.19506771933342</v>
      </c>
      <c r="Y45" s="968">
        <f t="shared" si="4"/>
        <v>2695.5616054732682</v>
      </c>
      <c r="Z45" s="971">
        <v>11.3</v>
      </c>
      <c r="AB45" s="931">
        <f t="shared" si="5"/>
        <v>197700203.51023343</v>
      </c>
    </row>
    <row r="46" spans="1:33" ht="29.4" thickBot="1" x14ac:dyDescent="0.35">
      <c r="A46" s="1447">
        <v>10</v>
      </c>
      <c r="B46" s="1443">
        <v>46285</v>
      </c>
      <c r="C46" s="1444"/>
      <c r="D46" s="453" t="s">
        <v>508</v>
      </c>
      <c r="E46" s="453" t="s">
        <v>655</v>
      </c>
      <c r="F46" s="1040" t="s">
        <v>12</v>
      </c>
      <c r="G46" s="452" t="s">
        <v>684</v>
      </c>
      <c r="H46" s="937" t="s">
        <v>685</v>
      </c>
      <c r="I46" s="937" t="s">
        <v>686</v>
      </c>
      <c r="J46" s="1089" t="s">
        <v>687</v>
      </c>
      <c r="K46" s="452" t="s">
        <v>688</v>
      </c>
      <c r="L46" s="940" t="s">
        <v>689</v>
      </c>
      <c r="M46" s="1041" t="s">
        <v>690</v>
      </c>
      <c r="N46" s="1092" t="s">
        <v>693</v>
      </c>
      <c r="O46" s="1042" t="str">
        <f t="shared" si="22"/>
        <v/>
      </c>
      <c r="P46" s="937">
        <f t="shared" ref="P46" si="24">(720-R46)/60</f>
        <v>0</v>
      </c>
      <c r="Q46" s="937">
        <f t="shared" ref="Q46" si="25">720-R46</f>
        <v>0</v>
      </c>
      <c r="R46" s="937">
        <f>'Milling Down Time Hours'!G45</f>
        <v>720</v>
      </c>
      <c r="S46" s="453"/>
      <c r="T46" s="1043"/>
      <c r="U46" s="1043"/>
      <c r="V46" s="1044"/>
      <c r="W46" s="982" t="e">
        <f t="shared" si="3"/>
        <v>#VALUE!</v>
      </c>
      <c r="X46" s="937" t="e">
        <f t="shared" si="6"/>
        <v>#VALUE!</v>
      </c>
      <c r="Y46" s="937" t="e">
        <f t="shared" si="4"/>
        <v>#VALUE!</v>
      </c>
      <c r="Z46" s="983">
        <v>0</v>
      </c>
      <c r="AB46" s="931" t="e">
        <f>W46*$AC$5</f>
        <v>#VALUE!</v>
      </c>
    </row>
    <row r="47" spans="1:33" ht="15" customHeight="1" thickBot="1" x14ac:dyDescent="0.35">
      <c r="A47" s="1447"/>
      <c r="B47" s="1445"/>
      <c r="C47" s="1446"/>
      <c r="D47" s="1064" t="s">
        <v>509</v>
      </c>
      <c r="E47" s="1064" t="s">
        <v>655</v>
      </c>
      <c r="F47" s="950" t="s">
        <v>13</v>
      </c>
      <c r="G47" s="937" t="s">
        <v>679</v>
      </c>
      <c r="H47" s="937" t="s">
        <v>679</v>
      </c>
      <c r="I47" s="937" t="s">
        <v>679</v>
      </c>
      <c r="J47" s="937" t="s">
        <v>679</v>
      </c>
      <c r="K47" s="937" t="s">
        <v>679</v>
      </c>
      <c r="L47" s="937" t="s">
        <v>679</v>
      </c>
      <c r="M47" s="937" t="s">
        <v>679</v>
      </c>
      <c r="N47" s="937" t="s">
        <v>679</v>
      </c>
      <c r="O47" s="937" t="s">
        <v>679</v>
      </c>
      <c r="P47" s="937" t="s">
        <v>679</v>
      </c>
      <c r="Q47" s="937" t="s">
        <v>679</v>
      </c>
      <c r="R47" s="937" t="s">
        <v>679</v>
      </c>
      <c r="S47" s="937" t="s">
        <v>679</v>
      </c>
      <c r="T47" s="937" t="s">
        <v>679</v>
      </c>
      <c r="U47" s="937" t="s">
        <v>679</v>
      </c>
      <c r="V47" s="937" t="s">
        <v>679</v>
      </c>
      <c r="W47" s="937" t="s">
        <v>679</v>
      </c>
      <c r="X47" s="937" t="s">
        <v>679</v>
      </c>
      <c r="Y47" s="937" t="s">
        <v>679</v>
      </c>
      <c r="Z47" s="937" t="s">
        <v>679</v>
      </c>
      <c r="AB47" s="931" t="e">
        <f t="shared" si="5"/>
        <v>#VALUE!</v>
      </c>
    </row>
    <row r="48" spans="1:33" ht="15" customHeight="1" thickBot="1" x14ac:dyDescent="0.35">
      <c r="A48" s="1447"/>
      <c r="B48" s="1443">
        <v>46286</v>
      </c>
      <c r="C48" s="1444"/>
      <c r="D48" s="453" t="s">
        <v>508</v>
      </c>
      <c r="E48" s="453" t="s">
        <v>663</v>
      </c>
      <c r="F48" s="1040" t="s">
        <v>12</v>
      </c>
      <c r="G48" s="940">
        <v>0.3</v>
      </c>
      <c r="H48" s="937">
        <f>J48-'Au Cal Leaching Tank'!$S$18</f>
        <v>62.911834999999996</v>
      </c>
      <c r="I48" s="937">
        <f t="shared" ref="I48:I54" si="26">H48/((720-R48)/60)</f>
        <v>26.032483448275862</v>
      </c>
      <c r="J48" s="937">
        <f t="shared" ref="J48:J51" si="27">3.14*Z48*((10.7/2)^2)</f>
        <v>170.76183499999999</v>
      </c>
      <c r="K48" s="452">
        <v>1.19</v>
      </c>
      <c r="L48" s="940">
        <v>0.72</v>
      </c>
      <c r="M48" s="1041">
        <f>(J48*K48*G48)-'Au Cal Leaching Tank'!$T$17</f>
        <v>14.721287594999986</v>
      </c>
      <c r="N48" s="1379">
        <f>SUM(M48:M49)</f>
        <v>95.832260473499986</v>
      </c>
      <c r="O48" s="1042">
        <f>IFERROR(M48/P48,"")</f>
        <v>6.0915672806896497</v>
      </c>
      <c r="P48" s="937">
        <f t="shared" ref="P48:P49" si="28">(720-R48)/60</f>
        <v>2.4166666666666665</v>
      </c>
      <c r="Q48" s="937">
        <f t="shared" ref="Q48:Q49" si="29">720-R48</f>
        <v>145</v>
      </c>
      <c r="R48" s="937">
        <f>'Milling Down Time Hours'!G47</f>
        <v>575</v>
      </c>
      <c r="S48" s="1379">
        <f>SUM(M48:M54)</f>
        <v>389.3044488509999</v>
      </c>
      <c r="T48" s="1087">
        <f>AVERAGE('LT Ball Mill'!F100:F102)</f>
        <v>0.9860000000000001</v>
      </c>
      <c r="U48" s="1087">
        <f>AVERAGE('LT Ball Mill'!G100:G102)</f>
        <v>1.99</v>
      </c>
      <c r="V48" s="1087">
        <f>AVERAGE('LT Ball Mill'!H100:H102)</f>
        <v>20.026666666666667</v>
      </c>
      <c r="W48" s="937">
        <f>T48*M48</f>
        <v>14.515189568669987</v>
      </c>
      <c r="X48" s="937">
        <f>U48*M48</f>
        <v>29.295362314049971</v>
      </c>
      <c r="Y48" s="937">
        <f>V48*M48</f>
        <v>294.81831956919973</v>
      </c>
      <c r="Z48" s="983">
        <v>1.9</v>
      </c>
      <c r="AB48" s="931">
        <f t="shared" si="5"/>
        <v>36287973.921674967</v>
      </c>
      <c r="AG48" s="1">
        <v>64</v>
      </c>
    </row>
    <row r="49" spans="1:33" ht="15" customHeight="1" thickBot="1" x14ac:dyDescent="0.35">
      <c r="A49" s="1447"/>
      <c r="B49" s="1445"/>
      <c r="C49" s="1446"/>
      <c r="D49" s="1082" t="s">
        <v>541</v>
      </c>
      <c r="E49" s="1088" t="s">
        <v>681</v>
      </c>
      <c r="F49" s="950" t="s">
        <v>13</v>
      </c>
      <c r="G49" s="940">
        <v>0.28999999999999998</v>
      </c>
      <c r="H49" s="937">
        <f>J49-'Au Cal Leaching Tank'!$S$18-SUM(H48)</f>
        <v>242.66155499999991</v>
      </c>
      <c r="I49" s="937">
        <f t="shared" si="26"/>
        <v>21.101004782608687</v>
      </c>
      <c r="J49" s="937">
        <f t="shared" si="27"/>
        <v>413.42338999999993</v>
      </c>
      <c r="K49" s="452">
        <v>1.1850000000000001</v>
      </c>
      <c r="L49" s="940">
        <v>0.67</v>
      </c>
      <c r="M49" s="1041">
        <f>(J49*K49*G49)-'Au Cal Leaching Tank'!$T$17-SUM(M48)</f>
        <v>81.110972878500007</v>
      </c>
      <c r="N49" s="1380"/>
      <c r="O49" s="1042">
        <f t="shared" si="22"/>
        <v>7.0531280763913049</v>
      </c>
      <c r="P49" s="937">
        <f t="shared" si="28"/>
        <v>11.5</v>
      </c>
      <c r="Q49" s="937">
        <f t="shared" si="29"/>
        <v>690</v>
      </c>
      <c r="R49" s="937">
        <f>'Milling Down Time Hours'!G48</f>
        <v>30</v>
      </c>
      <c r="S49" s="1381"/>
      <c r="T49" s="981">
        <f>AVERAGE('LT Ball Mill'!F103:F105)</f>
        <v>0.55333333333333334</v>
      </c>
      <c r="U49" s="981">
        <f>AVERAGE('LT Ball Mill'!G103:G105)</f>
        <v>1.2133333333333332</v>
      </c>
      <c r="V49" s="981">
        <f>AVERAGE('LT Ball Mill'!H103:H105)</f>
        <v>18.866666666666667</v>
      </c>
      <c r="W49" s="937">
        <f>T49*M49</f>
        <v>44.881404992770008</v>
      </c>
      <c r="X49" s="937">
        <f>U49*M49</f>
        <v>98.414647092579997</v>
      </c>
      <c r="Y49" s="937">
        <f>V49*M49</f>
        <v>1530.2936883077002</v>
      </c>
      <c r="Z49" s="983">
        <v>4.5999999999999996</v>
      </c>
      <c r="AB49" s="931">
        <f t="shared" si="5"/>
        <v>112203512.48192503</v>
      </c>
      <c r="AG49" s="1">
        <v>69</v>
      </c>
    </row>
    <row r="50" spans="1:33" ht="15" customHeight="1" thickBot="1" x14ac:dyDescent="0.35">
      <c r="A50" s="1447"/>
      <c r="B50" s="1443">
        <v>46287</v>
      </c>
      <c r="C50" s="1444"/>
      <c r="D50" s="453" t="s">
        <v>682</v>
      </c>
      <c r="E50" s="453" t="s">
        <v>683</v>
      </c>
      <c r="F50" s="1040" t="s">
        <v>12</v>
      </c>
      <c r="G50" s="940">
        <v>0.35</v>
      </c>
      <c r="H50" s="937">
        <f>J50-'Au Cal Leaching Tank'!$S$18-SUM(H48:H49)</f>
        <v>143.79944</v>
      </c>
      <c r="I50" s="937">
        <f t="shared" si="26"/>
        <v>11.983286666666666</v>
      </c>
      <c r="J50" s="937">
        <f t="shared" si="27"/>
        <v>557.22282999999993</v>
      </c>
      <c r="K50" s="452">
        <v>1.2250000000000001</v>
      </c>
      <c r="L50" s="940">
        <v>0.61</v>
      </c>
      <c r="M50" s="1041">
        <f>(J50*K50*G50)-'Au Cal Leaching Tank'!$T$17-SUM(M48:M49)</f>
        <v>96.836340388999986</v>
      </c>
      <c r="N50" s="1379">
        <f>SUM(M50:M51)</f>
        <v>182.93176135649995</v>
      </c>
      <c r="O50" s="1042">
        <f t="shared" ref="O50:O53" si="30">IFERROR(M50/P50,"")</f>
        <v>8.0696950324166661</v>
      </c>
      <c r="P50" s="963">
        <f t="shared" ref="P50:P58" si="31">(720-R50)/60</f>
        <v>12</v>
      </c>
      <c r="Q50" s="963">
        <f t="shared" ref="Q50:Q51" si="32">720-R50</f>
        <v>720</v>
      </c>
      <c r="R50" s="963">
        <f>'Milling Down Time Hours'!G49</f>
        <v>0</v>
      </c>
      <c r="S50" s="1381"/>
      <c r="T50" s="1112">
        <f>AVERAGE('LT Ball Mill'!F106:F108)</f>
        <v>0.82600000000000007</v>
      </c>
      <c r="U50" s="1112">
        <f>AVERAGE('LT Ball Mill'!G106:G108)</f>
        <v>1.1100000000000001</v>
      </c>
      <c r="V50" s="1112">
        <f>AVERAGE('LT Ball Mill'!H106:H108)</f>
        <v>19.606666666666669</v>
      </c>
      <c r="W50" s="1098">
        <f>T50*M50</f>
        <v>79.986817161313994</v>
      </c>
      <c r="X50" s="963">
        <f>U50*M50</f>
        <v>107.48833783178999</v>
      </c>
      <c r="Y50" s="963">
        <f>V50*M50</f>
        <v>1898.6378472269932</v>
      </c>
      <c r="Z50" s="950">
        <v>6.2</v>
      </c>
      <c r="AG50" s="1">
        <v>69</v>
      </c>
    </row>
    <row r="51" spans="1:33" ht="15" customHeight="1" thickBot="1" x14ac:dyDescent="0.35">
      <c r="A51" s="1447"/>
      <c r="B51" s="1445"/>
      <c r="C51" s="1446"/>
      <c r="D51" s="1095" t="s">
        <v>509</v>
      </c>
      <c r="E51" s="1095" t="s">
        <v>697</v>
      </c>
      <c r="F51" s="950" t="s">
        <v>13</v>
      </c>
      <c r="G51" s="940">
        <v>0.35</v>
      </c>
      <c r="H51" s="937">
        <f>J51-'Au Cal Leaching Tank'!$S$18-SUM(H48:H50)</f>
        <v>197.72422999999992</v>
      </c>
      <c r="I51" s="937">
        <f t="shared" si="26"/>
        <v>21.375592432432423</v>
      </c>
      <c r="J51" s="937">
        <f t="shared" si="27"/>
        <v>754.94705999999985</v>
      </c>
      <c r="K51" s="452">
        <v>1.23</v>
      </c>
      <c r="L51" s="940">
        <v>0.67</v>
      </c>
      <c r="M51" s="1041">
        <f>(J51*K51*G51)-'Au Cal Leaching Tank'!$T$17-SUM(M48:M50)</f>
        <v>86.095420967499962</v>
      </c>
      <c r="N51" s="1380"/>
      <c r="O51" s="1042">
        <f t="shared" si="30"/>
        <v>9.307613077567563</v>
      </c>
      <c r="P51" s="937">
        <f t="shared" si="31"/>
        <v>9.25</v>
      </c>
      <c r="Q51" s="937">
        <f t="shared" si="32"/>
        <v>555</v>
      </c>
      <c r="R51" s="937">
        <f>'Milling Down Time Hours'!G50</f>
        <v>165</v>
      </c>
      <c r="S51" s="1381"/>
      <c r="T51" s="1124">
        <f>AVERAGE('LT Ball Mill'!F109:F111)</f>
        <v>0.749</v>
      </c>
      <c r="U51" s="1124">
        <f>AVERAGE('LT Ball Mill'!G109:G111)</f>
        <v>1.0666666666666667</v>
      </c>
      <c r="V51" s="1124">
        <f>AVERAGE('LT Ball Mill'!H109:H111)</f>
        <v>15.506666666666668</v>
      </c>
      <c r="W51" s="982">
        <f t="shared" ref="W51:W53" si="33">T51*M51</f>
        <v>64.485470304657468</v>
      </c>
      <c r="X51" s="937">
        <f t="shared" ref="X51:X53" si="34">U51*M51</f>
        <v>91.835115698666627</v>
      </c>
      <c r="Y51" s="937">
        <f t="shared" ref="Y51:Y53" si="35">V51*M51</f>
        <v>1335.0529944693662</v>
      </c>
      <c r="Z51" s="983">
        <v>8.4</v>
      </c>
      <c r="AA51" s="1">
        <f>8*1.2</f>
        <v>9.6</v>
      </c>
      <c r="AG51" s="1">
        <v>71</v>
      </c>
    </row>
    <row r="52" spans="1:33" ht="15" thickBot="1" x14ac:dyDescent="0.35">
      <c r="A52" s="1447"/>
      <c r="B52" s="1443">
        <v>46288</v>
      </c>
      <c r="C52" s="1444"/>
      <c r="D52" s="453" t="s">
        <v>508</v>
      </c>
      <c r="E52" s="453" t="s">
        <v>699</v>
      </c>
      <c r="F52" s="1040" t="s">
        <v>12</v>
      </c>
      <c r="G52" s="940">
        <v>0.36</v>
      </c>
      <c r="H52" s="937">
        <f>J52-'Au Cal Leaching Tank'!$S$18-SUM(H48:H51)</f>
        <v>80.887185000000045</v>
      </c>
      <c r="I52" s="937">
        <f t="shared" si="26"/>
        <v>10.784958000000007</v>
      </c>
      <c r="J52" s="937">
        <f>3.14*Z52*((10.7/2)^2)</f>
        <v>835.8342449999999</v>
      </c>
      <c r="K52" s="452">
        <v>1.2350000000000001</v>
      </c>
      <c r="L52" s="940">
        <v>0.64</v>
      </c>
      <c r="M52" s="1041">
        <f>(J52*K52*G52)-'Au Cal Leaching Tank'!$T$17-SUM(M48:M51)</f>
        <v>46.607195997000019</v>
      </c>
      <c r="N52" s="1379">
        <f>SUM(M52:M53)</f>
        <v>69.643866285000001</v>
      </c>
      <c r="O52" s="1042">
        <f t="shared" si="30"/>
        <v>6.2142927996000026</v>
      </c>
      <c r="P52" s="937">
        <f t="shared" si="31"/>
        <v>7.5</v>
      </c>
      <c r="Q52" s="937">
        <f t="shared" ref="Q52:Q53" si="36">720-R52</f>
        <v>450</v>
      </c>
      <c r="R52" s="937">
        <f>'Milling Down Time Hours'!G51</f>
        <v>270</v>
      </c>
      <c r="S52" s="1381"/>
      <c r="T52" s="1125">
        <f>AVERAGE('LT Ball Mill'!F112:F114)</f>
        <v>1.0543333333333333</v>
      </c>
      <c r="U52" s="1125">
        <f>AVERAGE('LT Ball Mill'!G112:G114)</f>
        <v>0.93333333333333324</v>
      </c>
      <c r="V52" s="1125">
        <f>AVERAGE('LT Ball Mill'!H112:H114)</f>
        <v>18.046666666666667</v>
      </c>
      <c r="W52" s="1099">
        <f t="shared" si="33"/>
        <v>49.139520312837021</v>
      </c>
      <c r="X52" s="1042">
        <f t="shared" si="34"/>
        <v>43.500049597200011</v>
      </c>
      <c r="Y52" s="1042">
        <f t="shared" si="35"/>
        <v>841.10453042586039</v>
      </c>
      <c r="Z52" s="1100">
        <v>9.3000000000000007</v>
      </c>
      <c r="AG52" s="1">
        <v>76</v>
      </c>
    </row>
    <row r="53" spans="1:33" ht="15" thickBot="1" x14ac:dyDescent="0.35">
      <c r="A53" s="1447"/>
      <c r="B53" s="1445"/>
      <c r="C53" s="1446"/>
      <c r="D53" s="1107" t="s">
        <v>509</v>
      </c>
      <c r="E53" s="1111" t="s">
        <v>702</v>
      </c>
      <c r="F53" s="950" t="s">
        <v>13</v>
      </c>
      <c r="G53" s="940">
        <v>0.35</v>
      </c>
      <c r="H53" s="937">
        <f>J53-'Au Cal Leaching Tank'!$S$18-SUM(H48:H52)</f>
        <v>80.887184999999931</v>
      </c>
      <c r="I53" s="937">
        <f t="shared" si="26"/>
        <v>6.740598749999994</v>
      </c>
      <c r="J53" s="937">
        <f>3.14*Z53*((10.7/2)^2)</f>
        <v>916.72142999999983</v>
      </c>
      <c r="K53" s="452">
        <v>1.23</v>
      </c>
      <c r="L53" s="940">
        <v>0.69</v>
      </c>
      <c r="M53" s="1041">
        <f>(J53*K53*G53)-'Au Cal Leaching Tank'!$T$17-SUM(M48:M52)</f>
        <v>23.036670287999982</v>
      </c>
      <c r="N53" s="1380"/>
      <c r="O53" s="1042">
        <f t="shared" si="30"/>
        <v>1.9197225239999984</v>
      </c>
      <c r="P53" s="937">
        <f t="shared" si="31"/>
        <v>12</v>
      </c>
      <c r="Q53" s="937">
        <f t="shared" si="36"/>
        <v>720</v>
      </c>
      <c r="R53" s="937">
        <f>'Milling Down Time Hours'!G52</f>
        <v>0</v>
      </c>
      <c r="S53" s="1381"/>
      <c r="T53" s="981">
        <f>AVERAGE('LT Ball Mill'!F115:F117)</f>
        <v>0.73499999999999999</v>
      </c>
      <c r="U53" s="981">
        <f>AVERAGE('LT Ball Mill'!G115:G117)</f>
        <v>0.64666666666666661</v>
      </c>
      <c r="V53" s="981">
        <f>AVERAGE('LT Ball Mill'!H115:H117)</f>
        <v>16.513333333333332</v>
      </c>
      <c r="W53" s="982">
        <f t="shared" si="33"/>
        <v>16.931952661679986</v>
      </c>
      <c r="X53" s="937">
        <f t="shared" si="34"/>
        <v>14.897046786239986</v>
      </c>
      <c r="Y53" s="937">
        <f t="shared" si="35"/>
        <v>380.41221535583969</v>
      </c>
      <c r="Z53" s="983">
        <v>10.199999999999999</v>
      </c>
      <c r="AG53" s="1">
        <v>74</v>
      </c>
    </row>
    <row r="54" spans="1:33" ht="15" thickBot="1" x14ac:dyDescent="0.35">
      <c r="B54" s="1427">
        <v>46289</v>
      </c>
      <c r="C54" s="1428"/>
      <c r="D54" s="453" t="s">
        <v>508</v>
      </c>
      <c r="E54" s="453" t="s">
        <v>703</v>
      </c>
      <c r="F54" s="1040" t="s">
        <v>12</v>
      </c>
      <c r="G54" s="940">
        <v>0.36</v>
      </c>
      <c r="H54" s="937">
        <f>J54-'Au Cal Leaching Tank'!$S$18-SUM(H48:H53)</f>
        <v>62.912254999999959</v>
      </c>
      <c r="I54" s="937">
        <f t="shared" si="26"/>
        <v>5.2426879166666636</v>
      </c>
      <c r="J54" s="937">
        <f>3.14*Z54*((10.7/2)^2)</f>
        <v>979.63368499999979</v>
      </c>
      <c r="K54" s="452">
        <v>1.2350000000000001</v>
      </c>
      <c r="L54" s="940">
        <v>0.74</v>
      </c>
      <c r="M54" s="1041">
        <f>(J54*K54*G54)-'Au Cal Leaching Tank'!$T$17-SUM(M48:M53)</f>
        <v>40.896560735999969</v>
      </c>
      <c r="N54" s="1379">
        <f>SUM(M54:M56)</f>
        <v>299.60957198599993</v>
      </c>
      <c r="O54" s="1379">
        <f>(N54)/24</f>
        <v>12.48373216608333</v>
      </c>
      <c r="P54" s="937">
        <f t="shared" si="31"/>
        <v>12</v>
      </c>
      <c r="Q54" s="937">
        <f t="shared" ref="Q54" si="37">720-R54</f>
        <v>720</v>
      </c>
      <c r="R54" s="937">
        <f>'Milling Down Time Hours'!G53</f>
        <v>0</v>
      </c>
      <c r="S54" s="1382"/>
      <c r="T54" s="1087">
        <f>AVERAGE('LT Ball Mill'!F118:F120)</f>
        <v>0.87766666666666671</v>
      </c>
      <c r="U54" s="1087">
        <f>AVERAGE('LT Ball Mill'!G118:G120)</f>
        <v>1.0133333333333334</v>
      </c>
      <c r="V54" s="1087">
        <f>AVERAGE('LT Ball Mill'!H118:H120)</f>
        <v>16.686666666666667</v>
      </c>
      <c r="W54" s="982">
        <f t="shared" ref="W54" si="38">T54*M54</f>
        <v>35.893548139295973</v>
      </c>
      <c r="X54" s="937">
        <f t="shared" ref="X54" si="39">U54*M54</f>
        <v>41.441848212479975</v>
      </c>
      <c r="Y54" s="937">
        <f t="shared" ref="Y54" si="40">V54*M54</f>
        <v>682.42727681471956</v>
      </c>
      <c r="Z54" s="983">
        <v>10.9</v>
      </c>
      <c r="AA54" s="11">
        <f>115*T54</f>
        <v>100.93166666666667</v>
      </c>
      <c r="AG54" s="1">
        <v>60</v>
      </c>
    </row>
    <row r="55" spans="1:33" ht="15" thickBot="1" x14ac:dyDescent="0.35">
      <c r="B55" s="1433"/>
      <c r="C55" s="1434"/>
      <c r="D55" s="669" t="s">
        <v>508</v>
      </c>
      <c r="E55" s="669" t="s">
        <v>748</v>
      </c>
      <c r="F55" s="1151" t="s">
        <v>12</v>
      </c>
      <c r="G55" s="965">
        <v>0.36</v>
      </c>
      <c r="H55" s="968">
        <f>J55-108</f>
        <v>152.63648499999994</v>
      </c>
      <c r="I55" s="968"/>
      <c r="J55" s="968">
        <f>3.14*Z55*((10.7/2)^2)</f>
        <v>260.63648499999994</v>
      </c>
      <c r="K55" s="966">
        <v>1.24</v>
      </c>
      <c r="L55" s="965">
        <v>0.74</v>
      </c>
      <c r="M55" s="967">
        <f>(J55*G55*K55)-'Au Cal Leaching Tank'!$T$18</f>
        <v>76.227926903999972</v>
      </c>
      <c r="N55" s="1381"/>
      <c r="O55" s="1381"/>
      <c r="P55" s="968"/>
      <c r="Q55" s="968"/>
      <c r="R55" s="968"/>
      <c r="S55" s="1152"/>
      <c r="T55" s="1153">
        <f>T54</f>
        <v>0.87766666666666671</v>
      </c>
      <c r="U55" s="1153">
        <f t="shared" ref="U55:V55" si="41">U54</f>
        <v>1.0133333333333334</v>
      </c>
      <c r="V55" s="1153">
        <f t="shared" si="41"/>
        <v>16.686666666666667</v>
      </c>
      <c r="W55" s="968">
        <f>T55*$M$55</f>
        <v>66.90271051274398</v>
      </c>
      <c r="X55" s="968">
        <f t="shared" ref="X55:Y55" si="42">U55*$M$55</f>
        <v>77.244299262719977</v>
      </c>
      <c r="Y55" s="968">
        <f t="shared" si="42"/>
        <v>1271.9900069380797</v>
      </c>
      <c r="Z55" s="971">
        <v>2.9</v>
      </c>
      <c r="AA55" s="11"/>
    </row>
    <row r="56" spans="1:33" ht="15" thickBot="1" x14ac:dyDescent="0.35">
      <c r="A56" s="1373">
        <v>11</v>
      </c>
      <c r="B56" s="1429"/>
      <c r="C56" s="1430"/>
      <c r="D56" s="1123" t="s">
        <v>541</v>
      </c>
      <c r="E56" s="1129" t="s">
        <v>707</v>
      </c>
      <c r="F56" s="973" t="s">
        <v>13</v>
      </c>
      <c r="G56" s="965">
        <v>0.38</v>
      </c>
      <c r="H56" s="968">
        <f>J56-'Au Cal Leaching Tank'!$S$18</f>
        <v>521.27254999999991</v>
      </c>
      <c r="I56" s="968">
        <f>H56/((720-R56)/60)</f>
        <v>43.439379166666662</v>
      </c>
      <c r="J56" s="968">
        <f>3.14*Z56*((10.7/2)^2)</f>
        <v>629.12254999999993</v>
      </c>
      <c r="K56" s="1128">
        <v>1.25</v>
      </c>
      <c r="L56" s="965">
        <v>0.77</v>
      </c>
      <c r="M56" s="967">
        <f>(J56*G56*K56)-'Au Cal Leaching Tank'!$T$18-SUM(M55)</f>
        <v>182.48508434600001</v>
      </c>
      <c r="N56" s="1380"/>
      <c r="O56" s="1382"/>
      <c r="P56" s="968">
        <f t="shared" si="31"/>
        <v>12</v>
      </c>
      <c r="Q56" s="968">
        <f>720-R56</f>
        <v>720</v>
      </c>
      <c r="R56" s="968">
        <f>'Milling Down Time Hours'!G54</f>
        <v>0</v>
      </c>
      <c r="S56" s="1419">
        <f>SUM(M55:M59)</f>
        <v>354.52837561499985</v>
      </c>
      <c r="T56" s="974">
        <f>AVERAGE('LT Ball Mill'!F121:F123)</f>
        <v>0.57966666666666666</v>
      </c>
      <c r="U56" s="974">
        <f>AVERAGE('LT Ball Mill'!G121:G123)</f>
        <v>1.8533333333333333</v>
      </c>
      <c r="V56" s="974">
        <f>AVERAGE('LT Ball Mill'!H121:H123)</f>
        <v>17.643333333333334</v>
      </c>
      <c r="W56" s="968">
        <f>T56*$M$56</f>
        <v>105.78052055923133</v>
      </c>
      <c r="X56" s="968">
        <f t="shared" ref="X56:Y56" si="43">U56*$M$56</f>
        <v>338.20568965458665</v>
      </c>
      <c r="Y56" s="968">
        <f t="shared" si="43"/>
        <v>3219.6451714779269</v>
      </c>
      <c r="Z56" s="971">
        <v>7</v>
      </c>
      <c r="AA56" s="11">
        <f>(M56-115)*T56</f>
        <v>39.118853892564672</v>
      </c>
      <c r="AG56" s="1">
        <v>83</v>
      </c>
    </row>
    <row r="57" spans="1:33" ht="15" thickBot="1" x14ac:dyDescent="0.35">
      <c r="A57" s="1373"/>
      <c r="B57" s="1400">
        <v>46290</v>
      </c>
      <c r="C57" s="1401"/>
      <c r="D57" s="669" t="s">
        <v>682</v>
      </c>
      <c r="E57" s="669" t="s">
        <v>708</v>
      </c>
      <c r="F57" s="964" t="s">
        <v>12</v>
      </c>
      <c r="G57" s="965">
        <v>0.35</v>
      </c>
      <c r="H57" s="968">
        <f>J57-'Au Cal Leaching Tank'!$S$18-SUM(H56)</f>
        <v>251.64901999999995</v>
      </c>
      <c r="I57" s="968">
        <f>H57/((720-R57)/60)</f>
        <v>27.010628264758491</v>
      </c>
      <c r="J57" s="968">
        <f t="shared" ref="J57:J63" si="44">3.14*Z57*((10.7/2)^2)</f>
        <v>880.77156999999988</v>
      </c>
      <c r="K57" s="966">
        <v>1.23</v>
      </c>
      <c r="L57" s="965">
        <v>0.77</v>
      </c>
      <c r="M57" s="967">
        <f>(J57*G57*K57)-'Au Cal Leaching Tank'!$T$18-SUM(M55:M56)</f>
        <v>80.338949634999892</v>
      </c>
      <c r="N57" s="1419">
        <f>SUM(M57:M58)</f>
        <v>91.946260682499883</v>
      </c>
      <c r="O57" s="1113"/>
      <c r="P57" s="968">
        <f t="shared" si="31"/>
        <v>9.3166666666666664</v>
      </c>
      <c r="Q57" s="968">
        <f t="shared" ref="Q57:Q58" si="45">720-R57</f>
        <v>559</v>
      </c>
      <c r="R57" s="968">
        <f>'Milling Down Time Hours'!G55</f>
        <v>161</v>
      </c>
      <c r="S57" s="1421"/>
      <c r="T57" s="1006">
        <f>AVERAGE('LT Ball Mill'!F124:F126)</f>
        <v>0.73</v>
      </c>
      <c r="U57" s="1006">
        <f>AVERAGE('LT Ball Mill'!G124:G126)</f>
        <v>1.2166666666666668</v>
      </c>
      <c r="V57" s="1006">
        <f>AVERAGE('LT Ball Mill'!H124:H126)</f>
        <v>20.023333333333337</v>
      </c>
      <c r="W57" s="970">
        <f>T57*$M$57</f>
        <v>58.647433233549918</v>
      </c>
      <c r="X57" s="970">
        <f t="shared" ref="X57:Y57" si="46">U57*$M$57</f>
        <v>97.745722055916545</v>
      </c>
      <c r="Y57" s="970">
        <f t="shared" si="46"/>
        <v>1608.6535681914816</v>
      </c>
      <c r="Z57" s="971">
        <v>9.8000000000000007</v>
      </c>
      <c r="AG57" s="1">
        <v>82</v>
      </c>
    </row>
    <row r="58" spans="1:33" ht="15" thickBot="1" x14ac:dyDescent="0.35">
      <c r="A58" s="1373"/>
      <c r="B58" s="1402"/>
      <c r="C58" s="1403"/>
      <c r="D58" s="1123" t="s">
        <v>541</v>
      </c>
      <c r="E58" s="1143" t="s">
        <v>746</v>
      </c>
      <c r="F58" s="973" t="s">
        <v>13</v>
      </c>
      <c r="G58" s="965">
        <v>0.35</v>
      </c>
      <c r="H58" s="968">
        <f>J58-'Au Cal Leaching Tank'!$S$18-SUM(H56:H57)</f>
        <v>26.962394999999901</v>
      </c>
      <c r="I58" s="968"/>
      <c r="J58" s="968">
        <f t="shared" si="44"/>
        <v>907.73396499999978</v>
      </c>
      <c r="K58" s="966">
        <v>1.23</v>
      </c>
      <c r="L58" s="965">
        <v>0.77</v>
      </c>
      <c r="M58" s="967">
        <f>(J58*G58*K58)-'Au Cal Leaching Tank'!$T$18-SUM(M55:M57)</f>
        <v>11.607311047499991</v>
      </c>
      <c r="N58" s="1420"/>
      <c r="O58" s="1113"/>
      <c r="P58" s="968">
        <f t="shared" si="31"/>
        <v>0</v>
      </c>
      <c r="Q58" s="968">
        <f t="shared" si="45"/>
        <v>0</v>
      </c>
      <c r="R58" s="968">
        <f>'Milling Down Time Hours'!G56</f>
        <v>720</v>
      </c>
      <c r="S58" s="1422"/>
      <c r="T58" s="974">
        <f>T57</f>
        <v>0.73</v>
      </c>
      <c r="U58" s="974">
        <f t="shared" ref="U58:V59" si="47">U57</f>
        <v>1.2166666666666668</v>
      </c>
      <c r="V58" s="974">
        <f t="shared" si="47"/>
        <v>20.023333333333337</v>
      </c>
      <c r="W58" s="970">
        <f>T58*$M$58</f>
        <v>8.4733370646749933</v>
      </c>
      <c r="X58" s="970">
        <f t="shared" ref="X58:Y58" si="48">U58*$M$58</f>
        <v>14.122228441124991</v>
      </c>
      <c r="Y58" s="970">
        <f t="shared" si="48"/>
        <v>232.41705820777486</v>
      </c>
      <c r="Z58" s="971">
        <v>10.1</v>
      </c>
      <c r="AG58" s="1">
        <v>83</v>
      </c>
    </row>
    <row r="59" spans="1:33" ht="15" thickBot="1" x14ac:dyDescent="0.35">
      <c r="A59" s="678"/>
      <c r="B59" s="1443">
        <v>46291</v>
      </c>
      <c r="C59" s="1444"/>
      <c r="D59" s="669"/>
      <c r="E59" s="669"/>
      <c r="F59" s="964" t="s">
        <v>12</v>
      </c>
      <c r="G59" s="965">
        <v>0.35</v>
      </c>
      <c r="H59" s="968"/>
      <c r="I59" s="968"/>
      <c r="J59" s="968">
        <f t="shared" si="44"/>
        <v>916.72142999999983</v>
      </c>
      <c r="K59" s="966">
        <v>1.23</v>
      </c>
      <c r="L59" s="966"/>
      <c r="M59" s="967">
        <f>(J59*G59*K59)-'Au Cal Leaching Tank'!$T$18-SUM(M55:M58)</f>
        <v>3.8691036824999969</v>
      </c>
      <c r="N59" s="966"/>
      <c r="O59" s="1113"/>
      <c r="P59" s="968">
        <f t="shared" ref="P59:P61" si="49">(720-R59)/60</f>
        <v>0</v>
      </c>
      <c r="Q59" s="968">
        <f t="shared" ref="Q59:Q61" si="50">720-R59</f>
        <v>0</v>
      </c>
      <c r="R59" s="968">
        <f>'Milling Down Time Hours'!G57</f>
        <v>720</v>
      </c>
      <c r="S59" s="669"/>
      <c r="T59" s="1006">
        <f>T58</f>
        <v>0.73</v>
      </c>
      <c r="U59" s="1006">
        <f t="shared" si="47"/>
        <v>1.2166666666666668</v>
      </c>
      <c r="V59" s="1006">
        <f t="shared" si="47"/>
        <v>20.023333333333337</v>
      </c>
      <c r="W59" s="970">
        <f>T59*$M$59</f>
        <v>2.8244456882249978</v>
      </c>
      <c r="X59" s="970">
        <f t="shared" ref="X59:Y59" si="51">U59*$M$59</f>
        <v>4.7074094803749968</v>
      </c>
      <c r="Y59" s="970">
        <f t="shared" si="51"/>
        <v>77.472352735924957</v>
      </c>
      <c r="Z59" s="971">
        <v>10.199999999999999</v>
      </c>
      <c r="AG59" s="1">
        <v>80</v>
      </c>
    </row>
    <row r="60" spans="1:33" ht="15" thickBot="1" x14ac:dyDescent="0.35">
      <c r="A60" s="678"/>
      <c r="B60" s="1445"/>
      <c r="C60" s="1446"/>
      <c r="D60" s="913"/>
      <c r="E60" s="913"/>
      <c r="F60" s="950" t="s">
        <v>13</v>
      </c>
      <c r="G60" s="452"/>
      <c r="H60" s="937"/>
      <c r="I60" s="937"/>
      <c r="J60" s="937">
        <f>3.14*Z60*((10.7/2)^2)</f>
        <v>0</v>
      </c>
      <c r="K60" s="452"/>
      <c r="L60" s="452"/>
      <c r="M60" s="1041">
        <f t="shared" si="7"/>
        <v>0</v>
      </c>
      <c r="N60" s="452"/>
      <c r="O60" s="1144"/>
      <c r="P60" s="937">
        <f t="shared" si="49"/>
        <v>0</v>
      </c>
      <c r="Q60" s="937">
        <f t="shared" si="50"/>
        <v>0</v>
      </c>
      <c r="R60" s="937">
        <f>'Milling Down Time Hours'!G58</f>
        <v>720</v>
      </c>
      <c r="S60" s="453"/>
      <c r="T60" s="1145"/>
      <c r="U60" s="1145"/>
      <c r="V60" s="1146"/>
      <c r="W60" s="982"/>
      <c r="X60" s="937"/>
      <c r="Y60" s="937"/>
      <c r="Z60" s="983"/>
      <c r="AG60" s="1">
        <v>80</v>
      </c>
    </row>
    <row r="61" spans="1:33" ht="15" thickBot="1" x14ac:dyDescent="0.35">
      <c r="A61" s="1453">
        <v>12</v>
      </c>
      <c r="B61" s="1443">
        <v>46292</v>
      </c>
      <c r="C61" s="1444"/>
      <c r="D61" s="453" t="s">
        <v>508</v>
      </c>
      <c r="E61" s="453" t="s">
        <v>753</v>
      </c>
      <c r="F61" s="1040" t="s">
        <v>12</v>
      </c>
      <c r="G61" s="940">
        <v>0.34</v>
      </c>
      <c r="H61" s="937">
        <f>J61-'Au Cal Leaching Tank'!$S$19</f>
        <v>17.824509999999975</v>
      </c>
      <c r="I61" s="937">
        <f t="shared" ref="I61:I62" si="52">H61/((720-R61)/60)</f>
        <v>2.2280637499999969</v>
      </c>
      <c r="J61" s="937">
        <f t="shared" si="44"/>
        <v>125.82450999999998</v>
      </c>
      <c r="K61" s="452">
        <v>1.22</v>
      </c>
      <c r="L61" s="940">
        <v>0.75</v>
      </c>
      <c r="M61" s="1041">
        <f>(J61*K61*G61)-'Au Cal Leaching Tank'!$T$19</f>
        <v>5.6980067479999974</v>
      </c>
      <c r="N61" s="1379">
        <f>SUM(M61:M62)</f>
        <v>100.53193993499997</v>
      </c>
      <c r="O61" s="937">
        <f>(M61/P61)</f>
        <v>0.71225084349999968</v>
      </c>
      <c r="P61" s="937">
        <f t="shared" si="49"/>
        <v>8</v>
      </c>
      <c r="Q61" s="937">
        <f t="shared" si="50"/>
        <v>480</v>
      </c>
      <c r="R61" s="937">
        <f>'Milling Down Time Hours'!G59</f>
        <v>240</v>
      </c>
      <c r="S61" s="453"/>
      <c r="T61" s="1043"/>
      <c r="U61" s="1043"/>
      <c r="V61" s="1044"/>
      <c r="W61" s="982">
        <f>M61*T61</f>
        <v>0</v>
      </c>
      <c r="X61" s="982">
        <f>M61*U61</f>
        <v>0</v>
      </c>
      <c r="Y61" s="982">
        <f>M61*V61</f>
        <v>0</v>
      </c>
      <c r="Z61" s="983">
        <v>1.4</v>
      </c>
      <c r="AG61" s="1">
        <v>78</v>
      </c>
    </row>
    <row r="62" spans="1:33" ht="15" thickBot="1" x14ac:dyDescent="0.35">
      <c r="A62" s="1453"/>
      <c r="B62" s="1445"/>
      <c r="C62" s="1446"/>
      <c r="D62" s="1175" t="s">
        <v>508</v>
      </c>
      <c r="E62" s="1175" t="s">
        <v>754</v>
      </c>
      <c r="F62" s="950" t="s">
        <v>13</v>
      </c>
      <c r="G62" s="940">
        <v>0.35</v>
      </c>
      <c r="H62" s="937">
        <f>(J62)-'Au Cal Leaching Tank'!$S$19-SUM(H61)</f>
        <v>215.69916000000001</v>
      </c>
      <c r="I62" s="937">
        <f t="shared" si="52"/>
        <v>19.609014545454546</v>
      </c>
      <c r="J62" s="937">
        <f t="shared" si="44"/>
        <v>341.52366999999998</v>
      </c>
      <c r="K62" s="452">
        <v>1.23</v>
      </c>
      <c r="L62" s="940">
        <v>0.72</v>
      </c>
      <c r="M62" s="1041">
        <f>(J62*K62*G62)-'Au Cal Leaching Tank'!$T$19-SUM(M61)</f>
        <v>94.833933186999971</v>
      </c>
      <c r="N62" s="1380"/>
      <c r="O62" s="937">
        <f>(M62/P62)</f>
        <v>8.6212666533636337</v>
      </c>
      <c r="P62" s="937">
        <f t="shared" ref="P62:P63" si="53">(720-R62)/60</f>
        <v>11</v>
      </c>
      <c r="Q62" s="937">
        <f t="shared" ref="Q62:Q63" si="54">720-R62</f>
        <v>660</v>
      </c>
      <c r="R62" s="937">
        <f>'Milling Down Time Hours'!G60</f>
        <v>60.000000000000007</v>
      </c>
      <c r="S62" s="453"/>
      <c r="T62" s="1145"/>
      <c r="U62" s="1145"/>
      <c r="V62" s="1146"/>
      <c r="W62" s="982">
        <f>M62*T62</f>
        <v>0</v>
      </c>
      <c r="X62" s="982">
        <f>M62*U62</f>
        <v>0</v>
      </c>
      <c r="Y62" s="982">
        <f>M62*V62</f>
        <v>0</v>
      </c>
      <c r="Z62" s="983">
        <v>3.8</v>
      </c>
      <c r="AG62" s="1">
        <v>67</v>
      </c>
    </row>
    <row r="63" spans="1:33" ht="15" thickBot="1" x14ac:dyDescent="0.35">
      <c r="A63" s="1453"/>
      <c r="B63" s="1443">
        <v>46293</v>
      </c>
      <c r="C63" s="1444"/>
      <c r="D63" s="453" t="s">
        <v>541</v>
      </c>
      <c r="E63" s="453" t="s">
        <v>755</v>
      </c>
      <c r="F63" s="1040" t="s">
        <v>12</v>
      </c>
      <c r="G63" s="940">
        <v>0.35</v>
      </c>
      <c r="H63" s="937">
        <f>(J63)-'Au Cal Leaching Tank'!$S$19-SUM(H61:H62)</f>
        <v>188.73676500000005</v>
      </c>
      <c r="I63" s="937">
        <f t="shared" ref="I63" si="55">H63/((720-R63)/60)</f>
        <v>15.728063750000004</v>
      </c>
      <c r="J63" s="937">
        <f t="shared" si="44"/>
        <v>530.26043500000003</v>
      </c>
      <c r="K63" s="452">
        <v>1.23</v>
      </c>
      <c r="L63" s="452"/>
      <c r="M63" s="1041">
        <f>(J63*K63*G63)-'Au Cal Leaching Tank'!$T$19-SUM(M61:M62)</f>
        <v>81.251177332500021</v>
      </c>
      <c r="N63" s="452"/>
      <c r="O63" s="1144"/>
      <c r="P63" s="937">
        <f t="shared" si="53"/>
        <v>12</v>
      </c>
      <c r="Q63" s="937">
        <f t="shared" si="54"/>
        <v>720</v>
      </c>
      <c r="R63" s="937">
        <f>'Milling Down Time Hours'!G61</f>
        <v>0</v>
      </c>
      <c r="S63" s="453"/>
      <c r="T63" s="1043"/>
      <c r="U63" s="1043"/>
      <c r="V63" s="1044"/>
      <c r="W63" s="982"/>
      <c r="X63" s="937"/>
      <c r="Y63" s="937"/>
      <c r="Z63" s="983">
        <v>5.9</v>
      </c>
      <c r="AG63" s="1">
        <v>72</v>
      </c>
    </row>
    <row r="64" spans="1:33" ht="15" thickBot="1" x14ac:dyDescent="0.35">
      <c r="A64" s="1453"/>
      <c r="B64" s="1445"/>
      <c r="C64" s="1446"/>
      <c r="D64" s="913"/>
      <c r="E64" s="913"/>
      <c r="F64" s="950" t="s">
        <v>13</v>
      </c>
      <c r="G64" s="452"/>
      <c r="H64" s="452"/>
      <c r="I64" s="1144"/>
      <c r="J64" s="452"/>
      <c r="K64" s="452"/>
      <c r="L64" s="940"/>
      <c r="M64" s="1041">
        <f t="shared" si="7"/>
        <v>0</v>
      </c>
      <c r="N64" s="940"/>
      <c r="O64" s="1144"/>
      <c r="P64" s="937">
        <f t="shared" ref="P64" si="56">(720-R64)/60</f>
        <v>12</v>
      </c>
      <c r="Q64" s="937">
        <f t="shared" ref="Q64" si="57">720-R64</f>
        <v>720</v>
      </c>
      <c r="R64" s="937">
        <f>'Milling Down Time Hours'!G62</f>
        <v>0</v>
      </c>
      <c r="S64" s="453"/>
      <c r="T64" s="1173"/>
      <c r="U64" s="1173"/>
      <c r="V64" s="1174"/>
      <c r="W64" s="982">
        <f t="shared" ref="W64:W99" si="58">T64*M64</f>
        <v>0</v>
      </c>
      <c r="X64" s="937">
        <f t="shared" ref="X64:X99" si="59">M64*U64</f>
        <v>0</v>
      </c>
      <c r="Y64" s="937">
        <f t="shared" ref="Y64:Y99" si="60">M64*V64</f>
        <v>0</v>
      </c>
      <c r="Z64" s="983"/>
      <c r="AG64" s="1">
        <v>78</v>
      </c>
    </row>
    <row r="65" spans="2:30" ht="15" thickBot="1" x14ac:dyDescent="0.35">
      <c r="B65" s="1427">
        <v>46294</v>
      </c>
      <c r="C65" s="1428"/>
      <c r="D65" s="14"/>
      <c r="E65" s="14"/>
      <c r="F65" s="920" t="s">
        <v>12</v>
      </c>
      <c r="G65" s="234"/>
      <c r="H65" s="234"/>
      <c r="I65" s="875"/>
      <c r="J65" s="234"/>
      <c r="K65" s="234"/>
      <c r="L65" s="234"/>
      <c r="M65" s="888">
        <f t="shared" si="7"/>
        <v>0</v>
      </c>
      <c r="N65" s="234"/>
      <c r="O65" s="875"/>
      <c r="P65" s="892"/>
      <c r="Q65" s="870"/>
      <c r="R65" s="892"/>
      <c r="S65" s="14"/>
      <c r="T65" s="992"/>
      <c r="U65" s="992"/>
      <c r="V65" s="995"/>
      <c r="W65" s="160">
        <f t="shared" si="58"/>
        <v>0</v>
      </c>
      <c r="X65" s="155">
        <f t="shared" si="59"/>
        <v>0</v>
      </c>
      <c r="Y65" s="155">
        <f t="shared" si="60"/>
        <v>0</v>
      </c>
      <c r="Z65" s="747"/>
    </row>
    <row r="66" spans="2:30" ht="15" thickBot="1" x14ac:dyDescent="0.35">
      <c r="B66" s="1429"/>
      <c r="C66" s="1430"/>
      <c r="D66" s="37"/>
      <c r="E66" s="37"/>
      <c r="F66" s="911" t="s">
        <v>13</v>
      </c>
      <c r="G66" s="234"/>
      <c r="H66" s="234"/>
      <c r="I66" s="875"/>
      <c r="J66" s="234"/>
      <c r="K66" s="234"/>
      <c r="L66" s="234"/>
      <c r="M66" s="888">
        <f t="shared" si="7"/>
        <v>0</v>
      </c>
      <c r="N66" s="234"/>
      <c r="O66" s="875"/>
      <c r="P66" s="933"/>
      <c r="Q66" s="869"/>
      <c r="R66" s="1431">
        <f>'Milling Down Time Hours'!L71</f>
        <v>0</v>
      </c>
      <c r="S66" s="14"/>
      <c r="T66" s="991"/>
      <c r="U66" s="991"/>
      <c r="V66" s="996"/>
      <c r="W66" s="160">
        <f t="shared" si="58"/>
        <v>0</v>
      </c>
      <c r="X66" s="155">
        <f t="shared" si="59"/>
        <v>0</v>
      </c>
      <c r="Y66" s="155">
        <f t="shared" si="60"/>
        <v>0</v>
      </c>
      <c r="Z66" s="747"/>
    </row>
    <row r="67" spans="2:30" ht="15" thickBot="1" x14ac:dyDescent="0.35">
      <c r="B67" s="1427">
        <v>46295</v>
      </c>
      <c r="C67" s="1428"/>
      <c r="D67" s="14"/>
      <c r="E67" s="14"/>
      <c r="F67" s="920" t="s">
        <v>12</v>
      </c>
      <c r="G67" s="234"/>
      <c r="H67" s="234"/>
      <c r="I67" s="875"/>
      <c r="J67" s="234"/>
      <c r="K67" s="234"/>
      <c r="L67" s="234"/>
      <c r="M67" s="888">
        <f t="shared" si="7"/>
        <v>0</v>
      </c>
      <c r="N67" s="234"/>
      <c r="O67" s="875"/>
      <c r="P67" s="892"/>
      <c r="Q67" s="870"/>
      <c r="R67" s="1432"/>
      <c r="S67" s="14"/>
      <c r="T67" s="992"/>
      <c r="U67" s="992"/>
      <c r="V67" s="997"/>
      <c r="W67" s="160">
        <f t="shared" si="58"/>
        <v>0</v>
      </c>
      <c r="X67" s="155">
        <f t="shared" si="59"/>
        <v>0</v>
      </c>
      <c r="Y67" s="155">
        <f t="shared" si="60"/>
        <v>0</v>
      </c>
      <c r="Z67" s="747"/>
    </row>
    <row r="68" spans="2:30" ht="15" thickBot="1" x14ac:dyDescent="0.35">
      <c r="B68" s="1429"/>
      <c r="C68" s="1430"/>
      <c r="D68" s="37"/>
      <c r="E68" s="37"/>
      <c r="F68" s="911" t="s">
        <v>13</v>
      </c>
      <c r="G68" s="234"/>
      <c r="H68" s="234"/>
      <c r="I68" s="875"/>
      <c r="J68" s="234"/>
      <c r="K68" s="234"/>
      <c r="L68" s="234"/>
      <c r="M68" s="888">
        <f t="shared" si="7"/>
        <v>0</v>
      </c>
      <c r="N68" s="234"/>
      <c r="O68" s="875"/>
      <c r="P68" s="934"/>
      <c r="Q68" s="893"/>
      <c r="R68" s="1431">
        <f>'Milling Down Time Hours'!L73</f>
        <v>0</v>
      </c>
      <c r="S68" s="14"/>
      <c r="T68" s="991"/>
      <c r="U68" s="991"/>
      <c r="V68" s="996"/>
      <c r="W68" s="160">
        <f t="shared" si="58"/>
        <v>0</v>
      </c>
      <c r="X68" s="155">
        <f t="shared" si="59"/>
        <v>0</v>
      </c>
      <c r="Y68" s="155">
        <f t="shared" si="60"/>
        <v>0</v>
      </c>
      <c r="Z68" s="747"/>
    </row>
    <row r="69" spans="2:30" ht="15" thickBot="1" x14ac:dyDescent="0.35">
      <c r="B69" s="1427">
        <v>46296</v>
      </c>
      <c r="C69" s="1428"/>
      <c r="D69" s="14"/>
      <c r="E69" s="14"/>
      <c r="F69" s="920" t="s">
        <v>12</v>
      </c>
      <c r="G69" s="234"/>
      <c r="H69" s="234"/>
      <c r="I69" s="875"/>
      <c r="J69" s="234"/>
      <c r="K69" s="234"/>
      <c r="L69" s="234"/>
      <c r="M69" s="888">
        <f t="shared" si="7"/>
        <v>0</v>
      </c>
      <c r="N69" s="234"/>
      <c r="O69" s="875"/>
      <c r="P69" s="935"/>
      <c r="Q69" s="894"/>
      <c r="R69" s="1432"/>
      <c r="S69" s="14"/>
      <c r="T69" s="992"/>
      <c r="U69" s="992"/>
      <c r="V69" s="997"/>
      <c r="W69" s="160">
        <f t="shared" si="58"/>
        <v>0</v>
      </c>
      <c r="X69" s="155">
        <f t="shared" si="59"/>
        <v>0</v>
      </c>
      <c r="Y69" s="155">
        <f t="shared" si="60"/>
        <v>0</v>
      </c>
      <c r="Z69" s="747"/>
    </row>
    <row r="70" spans="2:30" ht="15" thickBot="1" x14ac:dyDescent="0.35">
      <c r="B70" s="1429"/>
      <c r="C70" s="1430"/>
      <c r="D70" s="37"/>
      <c r="E70" s="37"/>
      <c r="F70" s="911" t="s">
        <v>13</v>
      </c>
      <c r="G70" s="234"/>
      <c r="H70" s="234"/>
      <c r="I70" s="875"/>
      <c r="J70" s="234"/>
      <c r="K70" s="234"/>
      <c r="L70" s="234"/>
      <c r="M70" s="888">
        <f t="shared" si="7"/>
        <v>0</v>
      </c>
      <c r="N70" s="234"/>
      <c r="O70" s="875"/>
      <c r="P70" s="933"/>
      <c r="Q70" s="869"/>
      <c r="R70" s="1431">
        <f>'Milling Down Time Hours'!L75</f>
        <v>0</v>
      </c>
      <c r="S70" s="14"/>
      <c r="T70" s="991"/>
      <c r="U70" s="991"/>
      <c r="V70" s="994"/>
      <c r="W70" s="160">
        <f t="shared" si="58"/>
        <v>0</v>
      </c>
      <c r="X70" s="155">
        <f t="shared" si="59"/>
        <v>0</v>
      </c>
      <c r="Y70" s="155">
        <f t="shared" si="60"/>
        <v>0</v>
      </c>
      <c r="Z70" s="747"/>
    </row>
    <row r="71" spans="2:30" ht="15" thickBot="1" x14ac:dyDescent="0.35">
      <c r="B71" s="1427">
        <v>46297</v>
      </c>
      <c r="C71" s="1428"/>
      <c r="D71" s="14"/>
      <c r="E71" s="14"/>
      <c r="F71" s="920" t="s">
        <v>12</v>
      </c>
      <c r="G71" s="234"/>
      <c r="H71" s="14"/>
      <c r="I71" s="875"/>
      <c r="J71" s="234"/>
      <c r="K71" s="234"/>
      <c r="L71" s="234"/>
      <c r="M71" s="888">
        <f t="shared" si="7"/>
        <v>0</v>
      </c>
      <c r="N71" s="234"/>
      <c r="O71" s="875"/>
      <c r="P71" s="892"/>
      <c r="Q71" s="870"/>
      <c r="R71" s="1432"/>
      <c r="S71" s="14"/>
      <c r="T71" s="992"/>
      <c r="U71" s="992"/>
      <c r="V71" s="995"/>
      <c r="W71" s="160">
        <f t="shared" si="58"/>
        <v>0</v>
      </c>
      <c r="X71" s="155">
        <f t="shared" si="59"/>
        <v>0</v>
      </c>
      <c r="Y71" s="155">
        <f t="shared" si="60"/>
        <v>0</v>
      </c>
      <c r="Z71" s="747"/>
    </row>
    <row r="72" spans="2:30" ht="15" thickBot="1" x14ac:dyDescent="0.35">
      <c r="B72" s="1429"/>
      <c r="C72" s="1430"/>
      <c r="D72" s="37"/>
      <c r="E72" s="37"/>
      <c r="F72" s="911" t="s">
        <v>13</v>
      </c>
      <c r="G72" s="885"/>
      <c r="H72" s="14"/>
      <c r="I72" s="875"/>
      <c r="J72" s="234"/>
      <c r="K72" s="234"/>
      <c r="L72" s="885"/>
      <c r="M72" s="888">
        <f t="shared" si="7"/>
        <v>0</v>
      </c>
      <c r="N72" s="885"/>
      <c r="O72" s="875"/>
      <c r="P72" s="933"/>
      <c r="Q72" s="869"/>
      <c r="R72" s="1431">
        <f>'Milling Down Time Hours'!L77</f>
        <v>0</v>
      </c>
      <c r="S72" s="14"/>
      <c r="T72" s="991"/>
      <c r="U72" s="991"/>
      <c r="V72" s="994"/>
      <c r="W72" s="160">
        <f t="shared" si="58"/>
        <v>0</v>
      </c>
      <c r="X72" s="155">
        <f t="shared" si="59"/>
        <v>0</v>
      </c>
      <c r="Y72" s="155">
        <f t="shared" si="60"/>
        <v>0</v>
      </c>
      <c r="Z72" s="747"/>
    </row>
    <row r="73" spans="2:30" ht="15" thickBot="1" x14ac:dyDescent="0.35">
      <c r="B73" s="1427">
        <v>46298</v>
      </c>
      <c r="C73" s="1428"/>
      <c r="D73" s="14"/>
      <c r="E73" s="14"/>
      <c r="F73" s="920" t="s">
        <v>12</v>
      </c>
      <c r="G73" s="234"/>
      <c r="H73" s="14"/>
      <c r="I73" s="875"/>
      <c r="J73" s="234"/>
      <c r="K73" s="234"/>
      <c r="L73" s="234"/>
      <c r="M73" s="888">
        <f t="shared" si="7"/>
        <v>0</v>
      </c>
      <c r="N73" s="234"/>
      <c r="O73" s="875"/>
      <c r="P73" s="892"/>
      <c r="Q73" s="870"/>
      <c r="R73" s="1432"/>
      <c r="S73" s="14"/>
      <c r="T73" s="992"/>
      <c r="U73" s="992"/>
      <c r="V73" s="995"/>
      <c r="W73" s="160">
        <f t="shared" si="58"/>
        <v>0</v>
      </c>
      <c r="X73" s="155">
        <f t="shared" si="59"/>
        <v>0</v>
      </c>
      <c r="Y73" s="155">
        <f t="shared" si="60"/>
        <v>0</v>
      </c>
      <c r="Z73" s="747"/>
    </row>
    <row r="74" spans="2:30" ht="15" thickBot="1" x14ac:dyDescent="0.35">
      <c r="B74" s="1429"/>
      <c r="C74" s="1430"/>
      <c r="D74" s="37"/>
      <c r="E74" s="37"/>
      <c r="F74" s="911" t="s">
        <v>13</v>
      </c>
      <c r="G74" s="885"/>
      <c r="H74" s="14"/>
      <c r="I74" s="875"/>
      <c r="J74" s="234"/>
      <c r="K74" s="234"/>
      <c r="L74" s="885"/>
      <c r="M74" s="888">
        <f t="shared" si="7"/>
        <v>0</v>
      </c>
      <c r="N74" s="885"/>
      <c r="O74" s="875"/>
      <c r="P74" s="933"/>
      <c r="Q74" s="869"/>
      <c r="R74" s="1431">
        <f>'Milling Down Time Hours'!L79</f>
        <v>0</v>
      </c>
      <c r="S74" s="14"/>
      <c r="T74" s="991"/>
      <c r="U74" s="991"/>
      <c r="V74" s="994"/>
      <c r="W74" s="160">
        <f t="shared" si="58"/>
        <v>0</v>
      </c>
      <c r="X74" s="155">
        <f t="shared" si="59"/>
        <v>0</v>
      </c>
      <c r="Y74" s="155">
        <f t="shared" si="60"/>
        <v>0</v>
      </c>
      <c r="Z74" s="747"/>
    </row>
    <row r="75" spans="2:30" ht="15" thickBot="1" x14ac:dyDescent="0.35">
      <c r="B75" s="1427">
        <v>46299</v>
      </c>
      <c r="C75" s="1428"/>
      <c r="D75" s="14"/>
      <c r="E75" s="14"/>
      <c r="F75" s="920" t="s">
        <v>12</v>
      </c>
      <c r="G75" s="234"/>
      <c r="H75" s="14"/>
      <c r="I75" s="875"/>
      <c r="J75" s="234"/>
      <c r="K75" s="234"/>
      <c r="L75" s="234"/>
      <c r="M75" s="888">
        <f t="shared" si="7"/>
        <v>0</v>
      </c>
      <c r="N75" s="234"/>
      <c r="O75" s="875"/>
      <c r="P75" s="892"/>
      <c r="Q75" s="870"/>
      <c r="R75" s="1432"/>
      <c r="S75" s="14"/>
      <c r="T75" s="992"/>
      <c r="U75" s="992"/>
      <c r="V75" s="995"/>
      <c r="W75" s="160">
        <f t="shared" si="58"/>
        <v>0</v>
      </c>
      <c r="X75" s="155">
        <f t="shared" si="59"/>
        <v>0</v>
      </c>
      <c r="Y75" s="155">
        <f t="shared" si="60"/>
        <v>0</v>
      </c>
      <c r="Z75" s="747"/>
      <c r="AD75" s="1">
        <v>0.41899999999999998</v>
      </c>
    </row>
    <row r="76" spans="2:30" ht="15" thickBot="1" x14ac:dyDescent="0.35">
      <c r="B76" s="1429"/>
      <c r="C76" s="1430"/>
      <c r="D76" s="37"/>
      <c r="E76" s="37"/>
      <c r="F76" s="911" t="s">
        <v>13</v>
      </c>
      <c r="G76" s="234"/>
      <c r="H76" s="14"/>
      <c r="I76" s="875"/>
      <c r="J76" s="234"/>
      <c r="K76" s="234"/>
      <c r="L76" s="234"/>
      <c r="M76" s="888">
        <f t="shared" si="7"/>
        <v>0</v>
      </c>
      <c r="N76" s="234"/>
      <c r="O76" s="875"/>
      <c r="P76" s="933"/>
      <c r="Q76" s="869"/>
      <c r="R76" s="1431">
        <f>'Milling Down Time Hours'!L81</f>
        <v>0</v>
      </c>
      <c r="S76" s="14"/>
      <c r="T76" s="990"/>
      <c r="U76" s="990"/>
      <c r="V76" s="993"/>
      <c r="W76" s="160">
        <f t="shared" si="58"/>
        <v>0</v>
      </c>
      <c r="X76" s="155">
        <f t="shared" si="59"/>
        <v>0</v>
      </c>
      <c r="Y76" s="155">
        <f t="shared" si="60"/>
        <v>0</v>
      </c>
      <c r="Z76" s="747"/>
      <c r="AD76" s="1">
        <v>0.41299999999999998</v>
      </c>
    </row>
    <row r="77" spans="2:30" ht="15" thickBot="1" x14ac:dyDescent="0.35">
      <c r="B77" s="1427">
        <v>46300</v>
      </c>
      <c r="C77" s="1428"/>
      <c r="D77" s="14"/>
      <c r="E77" s="14"/>
      <c r="F77" s="920" t="s">
        <v>12</v>
      </c>
      <c r="G77" s="234"/>
      <c r="H77" s="14"/>
      <c r="I77" s="875"/>
      <c r="J77" s="234"/>
      <c r="K77" s="234"/>
      <c r="L77" s="234"/>
      <c r="M77" s="888">
        <f t="shared" ref="M77:M99" si="61">H77*K77*G77</f>
        <v>0</v>
      </c>
      <c r="N77" s="234"/>
      <c r="O77" s="875"/>
      <c r="P77" s="892"/>
      <c r="Q77" s="870"/>
      <c r="R77" s="1432"/>
      <c r="S77" s="14"/>
      <c r="T77" s="238"/>
      <c r="U77" s="238"/>
      <c r="V77" s="239"/>
      <c r="W77" s="160">
        <f t="shared" si="58"/>
        <v>0</v>
      </c>
      <c r="X77" s="155">
        <f t="shared" si="59"/>
        <v>0</v>
      </c>
      <c r="Y77" s="155">
        <f t="shared" si="60"/>
        <v>0</v>
      </c>
      <c r="Z77" s="747"/>
      <c r="AD77" s="1">
        <v>0.40400000000000003</v>
      </c>
    </row>
    <row r="78" spans="2:30" ht="15" thickBot="1" x14ac:dyDescent="0.35">
      <c r="B78" s="1429"/>
      <c r="C78" s="1430"/>
      <c r="D78" s="37"/>
      <c r="E78" s="37"/>
      <c r="F78" s="911" t="s">
        <v>13</v>
      </c>
      <c r="G78" s="885"/>
      <c r="H78" s="14"/>
      <c r="I78" s="875"/>
      <c r="J78" s="234"/>
      <c r="K78" s="234"/>
      <c r="L78" s="885"/>
      <c r="M78" s="888">
        <f t="shared" si="61"/>
        <v>0</v>
      </c>
      <c r="N78" s="885"/>
      <c r="O78" s="875"/>
      <c r="P78" s="933"/>
      <c r="Q78" s="869"/>
      <c r="R78" s="1431">
        <f>'Milling Down Time Hours'!L83</f>
        <v>0</v>
      </c>
      <c r="S78" s="14"/>
      <c r="T78" s="991"/>
      <c r="U78" s="991"/>
      <c r="V78" s="994"/>
      <c r="W78" s="160">
        <f t="shared" si="58"/>
        <v>0</v>
      </c>
      <c r="X78" s="155">
        <f t="shared" si="59"/>
        <v>0</v>
      </c>
      <c r="Y78" s="155">
        <f t="shared" si="60"/>
        <v>0</v>
      </c>
      <c r="Z78" s="747"/>
      <c r="AD78" s="1">
        <v>0.47</v>
      </c>
    </row>
    <row r="79" spans="2:30" ht="15" thickBot="1" x14ac:dyDescent="0.35">
      <c r="B79" s="1427">
        <v>46301</v>
      </c>
      <c r="C79" s="1428"/>
      <c r="D79" s="14"/>
      <c r="E79" s="14"/>
      <c r="F79" s="920" t="s">
        <v>12</v>
      </c>
      <c r="G79" s="234"/>
      <c r="H79" s="14"/>
      <c r="I79" s="875"/>
      <c r="J79" s="234"/>
      <c r="K79" s="234"/>
      <c r="L79" s="234"/>
      <c r="M79" s="888">
        <f t="shared" si="61"/>
        <v>0</v>
      </c>
      <c r="N79" s="234"/>
      <c r="O79" s="875"/>
      <c r="P79" s="892"/>
      <c r="Q79" s="870"/>
      <c r="R79" s="1432"/>
      <c r="S79" s="14"/>
      <c r="T79" s="992"/>
      <c r="U79" s="992"/>
      <c r="V79" s="995"/>
      <c r="W79" s="160">
        <f t="shared" si="58"/>
        <v>0</v>
      </c>
      <c r="X79" s="155">
        <f t="shared" si="59"/>
        <v>0</v>
      </c>
      <c r="Y79" s="155">
        <f t="shared" si="60"/>
        <v>0</v>
      </c>
      <c r="Z79" s="747"/>
      <c r="AD79" s="1">
        <v>0.46500000000000002</v>
      </c>
    </row>
    <row r="80" spans="2:30" ht="14.55" hidden="1" customHeight="1" thickBot="1" x14ac:dyDescent="0.35">
      <c r="B80" s="1433"/>
      <c r="C80" s="1434"/>
      <c r="D80" s="37"/>
      <c r="E80" s="37"/>
      <c r="F80" s="911" t="s">
        <v>13</v>
      </c>
      <c r="G80" s="885"/>
      <c r="H80" s="14"/>
      <c r="I80" s="875"/>
      <c r="J80" s="234"/>
      <c r="K80" s="234"/>
      <c r="L80" s="234"/>
      <c r="M80" s="888">
        <f t="shared" si="61"/>
        <v>0</v>
      </c>
      <c r="N80" s="234"/>
      <c r="O80" s="875"/>
      <c r="P80" s="1431">
        <f>'Milling Down Time Hours'!Q43</f>
        <v>0</v>
      </c>
      <c r="Q80" s="869"/>
      <c r="R80" s="1431">
        <f>'Milling Down Time Hours'!L85</f>
        <v>0</v>
      </c>
      <c r="S80" s="14"/>
      <c r="T80" s="1437">
        <v>0.35699999999999998</v>
      </c>
      <c r="U80" s="1437">
        <v>1.056</v>
      </c>
      <c r="V80" s="1439">
        <v>32.25</v>
      </c>
      <c r="W80" s="160">
        <f t="shared" si="58"/>
        <v>0</v>
      </c>
      <c r="X80" s="155">
        <f t="shared" si="59"/>
        <v>0</v>
      </c>
      <c r="Y80" s="155">
        <f t="shared" si="60"/>
        <v>0</v>
      </c>
      <c r="Z80" s="747"/>
      <c r="AD80" s="1">
        <v>0.51600000000000001</v>
      </c>
    </row>
    <row r="81" spans="2:30" ht="15" hidden="1" customHeight="1" thickBot="1" x14ac:dyDescent="0.35">
      <c r="B81" s="1433"/>
      <c r="C81" s="1434"/>
      <c r="D81" s="14"/>
      <c r="E81" s="14"/>
      <c r="F81" s="920" t="s">
        <v>12</v>
      </c>
      <c r="G81" s="234"/>
      <c r="H81" s="14"/>
      <c r="I81" s="875"/>
      <c r="J81" s="234"/>
      <c r="K81" s="234"/>
      <c r="L81" s="234"/>
      <c r="M81" s="888">
        <f t="shared" si="61"/>
        <v>0</v>
      </c>
      <c r="N81" s="234"/>
      <c r="O81" s="875"/>
      <c r="P81" s="1432"/>
      <c r="Q81" s="870"/>
      <c r="R81" s="1432"/>
      <c r="S81" s="14"/>
      <c r="T81" s="1438"/>
      <c r="U81" s="1438"/>
      <c r="V81" s="1440"/>
      <c r="W81" s="160">
        <f t="shared" si="58"/>
        <v>0</v>
      </c>
      <c r="X81" s="155">
        <f t="shared" si="59"/>
        <v>0</v>
      </c>
      <c r="Y81" s="155">
        <f t="shared" si="60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433"/>
      <c r="C82" s="1434"/>
      <c r="D82" s="37"/>
      <c r="E82" s="37"/>
      <c r="F82" s="911" t="s">
        <v>13</v>
      </c>
      <c r="G82" s="234"/>
      <c r="H82" s="14"/>
      <c r="I82" s="875"/>
      <c r="J82" s="234"/>
      <c r="K82" s="234"/>
      <c r="L82" s="234"/>
      <c r="M82" s="888">
        <f t="shared" si="61"/>
        <v>0</v>
      </c>
      <c r="N82" s="234"/>
      <c r="O82" s="875"/>
      <c r="P82" s="1431">
        <f>'Milling Down Time Hours'!M87</f>
        <v>0</v>
      </c>
      <c r="Q82" s="869"/>
      <c r="R82" s="1431">
        <f>'Milling Down Time Hours'!L87</f>
        <v>0</v>
      </c>
      <c r="S82" s="14"/>
      <c r="T82" s="1435" t="e">
        <f>SUM(#REF!)</f>
        <v>#REF!</v>
      </c>
      <c r="U82" s="1435" t="e">
        <f t="shared" ref="U82:V82" si="62">SUM(T82:T84)</f>
        <v>#REF!</v>
      </c>
      <c r="V82" s="1451" t="e">
        <f t="shared" si="62"/>
        <v>#REF!</v>
      </c>
      <c r="W82" s="160" t="e">
        <f t="shared" si="58"/>
        <v>#REF!</v>
      </c>
      <c r="X82" s="155" t="e">
        <f t="shared" si="59"/>
        <v>#REF!</v>
      </c>
      <c r="Y82" s="155" t="e">
        <f t="shared" si="60"/>
        <v>#REF!</v>
      </c>
      <c r="Z82" s="747"/>
    </row>
    <row r="83" spans="2:30" ht="15" hidden="1" customHeight="1" thickBot="1" x14ac:dyDescent="0.35">
      <c r="B83" s="1433"/>
      <c r="C83" s="1434"/>
      <c r="D83" s="14"/>
      <c r="E83" s="14"/>
      <c r="F83" s="920" t="s">
        <v>12</v>
      </c>
      <c r="G83" s="234"/>
      <c r="H83" s="14"/>
      <c r="I83" s="875"/>
      <c r="J83" s="234"/>
      <c r="K83" s="234"/>
      <c r="L83" s="234"/>
      <c r="M83" s="888">
        <f t="shared" si="61"/>
        <v>0</v>
      </c>
      <c r="N83" s="234"/>
      <c r="O83" s="875"/>
      <c r="P83" s="1432"/>
      <c r="Q83" s="870"/>
      <c r="R83" s="1432"/>
      <c r="S83" s="14"/>
      <c r="T83" s="1436"/>
      <c r="U83" s="1436"/>
      <c r="V83" s="1452"/>
      <c r="W83" s="160">
        <f t="shared" si="58"/>
        <v>0</v>
      </c>
      <c r="X83" s="155">
        <f t="shared" si="59"/>
        <v>0</v>
      </c>
      <c r="Y83" s="155">
        <f t="shared" si="60"/>
        <v>0</v>
      </c>
      <c r="Z83" s="747"/>
    </row>
    <row r="84" spans="2:30" ht="14.55" hidden="1" customHeight="1" thickBot="1" x14ac:dyDescent="0.35">
      <c r="B84" s="1433"/>
      <c r="C84" s="1434"/>
      <c r="D84" s="37"/>
      <c r="E84" s="37"/>
      <c r="F84" s="911" t="s">
        <v>13</v>
      </c>
      <c r="G84" s="234"/>
      <c r="H84" s="14"/>
      <c r="I84" s="875"/>
      <c r="J84" s="234"/>
      <c r="K84" s="234"/>
      <c r="L84" s="234"/>
      <c r="M84" s="888">
        <f t="shared" si="61"/>
        <v>0</v>
      </c>
      <c r="N84" s="234"/>
      <c r="O84" s="875"/>
      <c r="P84" s="1431">
        <f>'Milling Down Time Hours'!M89</f>
        <v>0</v>
      </c>
      <c r="Q84" s="869"/>
      <c r="R84" s="1431">
        <f>'Milling Down Time Hours'!L89</f>
        <v>0</v>
      </c>
      <c r="S84" s="14"/>
      <c r="T84" s="1435" t="e">
        <f>SUM(#REF!)</f>
        <v>#REF!</v>
      </c>
      <c r="U84" s="1435" t="e">
        <f t="shared" ref="U84:V84" si="63">SUM(T84:T86)</f>
        <v>#REF!</v>
      </c>
      <c r="V84" s="1451" t="e">
        <f t="shared" si="63"/>
        <v>#REF!</v>
      </c>
      <c r="W84" s="160" t="e">
        <f t="shared" si="58"/>
        <v>#REF!</v>
      </c>
      <c r="X84" s="155" t="e">
        <f t="shared" si="59"/>
        <v>#REF!</v>
      </c>
      <c r="Y84" s="155" t="e">
        <f t="shared" si="60"/>
        <v>#REF!</v>
      </c>
      <c r="Z84" s="747"/>
    </row>
    <row r="85" spans="2:30" ht="15" hidden="1" customHeight="1" thickBot="1" x14ac:dyDescent="0.35">
      <c r="B85" s="1433"/>
      <c r="C85" s="1434"/>
      <c r="D85" s="14"/>
      <c r="E85" s="14"/>
      <c r="F85" s="920" t="s">
        <v>12</v>
      </c>
      <c r="G85" s="234"/>
      <c r="H85" s="14"/>
      <c r="I85" s="875"/>
      <c r="J85" s="234"/>
      <c r="K85" s="234"/>
      <c r="L85" s="234"/>
      <c r="M85" s="888">
        <f t="shared" si="61"/>
        <v>0</v>
      </c>
      <c r="N85" s="234"/>
      <c r="O85" s="875"/>
      <c r="P85" s="1432"/>
      <c r="Q85" s="870"/>
      <c r="R85" s="1432"/>
      <c r="S85" s="14"/>
      <c r="T85" s="1436"/>
      <c r="U85" s="1436"/>
      <c r="V85" s="1452"/>
      <c r="W85" s="160">
        <f t="shared" si="58"/>
        <v>0</v>
      </c>
      <c r="X85" s="155">
        <f t="shared" si="59"/>
        <v>0</v>
      </c>
      <c r="Y85" s="155">
        <f t="shared" si="60"/>
        <v>0</v>
      </c>
      <c r="Z85" s="747"/>
    </row>
    <row r="86" spans="2:30" ht="14.55" hidden="1" customHeight="1" thickBot="1" x14ac:dyDescent="0.35">
      <c r="B86" s="1433"/>
      <c r="C86" s="1434"/>
      <c r="D86" s="37"/>
      <c r="E86" s="37"/>
      <c r="F86" s="911" t="s">
        <v>13</v>
      </c>
      <c r="G86" s="234"/>
      <c r="H86" s="14"/>
      <c r="I86" s="875"/>
      <c r="J86" s="234"/>
      <c r="K86" s="234"/>
      <c r="L86" s="234"/>
      <c r="M86" s="888">
        <f t="shared" si="61"/>
        <v>0</v>
      </c>
      <c r="N86" s="234"/>
      <c r="O86" s="875"/>
      <c r="P86" s="1431">
        <f>'Milling Down Time Hours'!M91</f>
        <v>0</v>
      </c>
      <c r="Q86" s="869"/>
      <c r="R86" s="1431">
        <f>'Milling Down Time Hours'!L91</f>
        <v>0</v>
      </c>
      <c r="S86" s="14"/>
      <c r="T86" s="1435" t="e">
        <f>SUM(#REF!)</f>
        <v>#REF!</v>
      </c>
      <c r="U86" s="1435" t="e">
        <f t="shared" ref="U86:V86" si="64">SUM(T86:T88)</f>
        <v>#REF!</v>
      </c>
      <c r="V86" s="1451" t="e">
        <f t="shared" si="64"/>
        <v>#REF!</v>
      </c>
      <c r="W86" s="160" t="e">
        <f t="shared" si="58"/>
        <v>#REF!</v>
      </c>
      <c r="X86" s="155" t="e">
        <f t="shared" si="59"/>
        <v>#REF!</v>
      </c>
      <c r="Y86" s="155" t="e">
        <f t="shared" si="60"/>
        <v>#REF!</v>
      </c>
      <c r="Z86" s="747"/>
    </row>
    <row r="87" spans="2:30" ht="15" hidden="1" customHeight="1" thickBot="1" x14ac:dyDescent="0.35">
      <c r="B87" s="1433"/>
      <c r="C87" s="1434"/>
      <c r="D87" s="14"/>
      <c r="E87" s="14"/>
      <c r="F87" s="920" t="s">
        <v>12</v>
      </c>
      <c r="G87" s="234"/>
      <c r="H87" s="14"/>
      <c r="I87" s="875"/>
      <c r="J87" s="234"/>
      <c r="K87" s="234"/>
      <c r="L87" s="234"/>
      <c r="M87" s="888">
        <f t="shared" si="61"/>
        <v>0</v>
      </c>
      <c r="N87" s="234"/>
      <c r="O87" s="875"/>
      <c r="P87" s="1432"/>
      <c r="Q87" s="870"/>
      <c r="R87" s="1432"/>
      <c r="S87" s="14"/>
      <c r="T87" s="1436"/>
      <c r="U87" s="1436"/>
      <c r="V87" s="1452"/>
      <c r="W87" s="160">
        <f t="shared" si="58"/>
        <v>0</v>
      </c>
      <c r="X87" s="155">
        <f t="shared" si="59"/>
        <v>0</v>
      </c>
      <c r="Y87" s="155">
        <f t="shared" si="60"/>
        <v>0</v>
      </c>
      <c r="Z87" s="747"/>
    </row>
    <row r="88" spans="2:30" ht="14.55" hidden="1" customHeight="1" thickBot="1" x14ac:dyDescent="0.35">
      <c r="B88" s="1433"/>
      <c r="C88" s="1434"/>
      <c r="D88" s="37"/>
      <c r="E88" s="37"/>
      <c r="F88" s="911" t="s">
        <v>13</v>
      </c>
      <c r="G88" s="234"/>
      <c r="H88" s="14"/>
      <c r="I88" s="875"/>
      <c r="J88" s="234"/>
      <c r="K88" s="234"/>
      <c r="L88" s="234"/>
      <c r="M88" s="888">
        <f t="shared" si="61"/>
        <v>0</v>
      </c>
      <c r="N88" s="234"/>
      <c r="O88" s="875"/>
      <c r="P88" s="1431">
        <f>'Milling Down Time Hours'!M93</f>
        <v>0</v>
      </c>
      <c r="Q88" s="869"/>
      <c r="R88" s="1431">
        <f>'Milling Down Time Hours'!L93</f>
        <v>0</v>
      </c>
      <c r="S88" s="14"/>
      <c r="T88" s="1435" t="e">
        <f>SUM(#REF!)</f>
        <v>#REF!</v>
      </c>
      <c r="U88" s="1435" t="e">
        <f t="shared" ref="U88:V88" si="65">SUM(T88:T90)</f>
        <v>#REF!</v>
      </c>
      <c r="V88" s="1451" t="e">
        <f t="shared" si="65"/>
        <v>#REF!</v>
      </c>
      <c r="W88" s="160" t="e">
        <f t="shared" si="58"/>
        <v>#REF!</v>
      </c>
      <c r="X88" s="155" t="e">
        <f t="shared" si="59"/>
        <v>#REF!</v>
      </c>
      <c r="Y88" s="155" t="e">
        <f t="shared" si="60"/>
        <v>#REF!</v>
      </c>
      <c r="Z88" s="747"/>
    </row>
    <row r="89" spans="2:30" ht="15" hidden="1" customHeight="1" thickBot="1" x14ac:dyDescent="0.35">
      <c r="B89" s="1433"/>
      <c r="C89" s="1434"/>
      <c r="D89" s="14"/>
      <c r="E89" s="14"/>
      <c r="F89" s="920" t="s">
        <v>12</v>
      </c>
      <c r="G89" s="234"/>
      <c r="H89" s="14"/>
      <c r="I89" s="875"/>
      <c r="J89" s="234"/>
      <c r="K89" s="234"/>
      <c r="L89" s="234"/>
      <c r="M89" s="888">
        <f t="shared" si="61"/>
        <v>0</v>
      </c>
      <c r="N89" s="234"/>
      <c r="O89" s="875"/>
      <c r="P89" s="1432"/>
      <c r="Q89" s="870"/>
      <c r="R89" s="1432"/>
      <c r="S89" s="14"/>
      <c r="T89" s="1436"/>
      <c r="U89" s="1436"/>
      <c r="V89" s="1452"/>
      <c r="W89" s="160">
        <f t="shared" si="58"/>
        <v>0</v>
      </c>
      <c r="X89" s="155">
        <f t="shared" si="59"/>
        <v>0</v>
      </c>
      <c r="Y89" s="155">
        <f t="shared" si="60"/>
        <v>0</v>
      </c>
      <c r="Z89" s="747"/>
    </row>
    <row r="90" spans="2:30" ht="14.55" hidden="1" customHeight="1" thickBot="1" x14ac:dyDescent="0.35">
      <c r="B90" s="1433"/>
      <c r="C90" s="1434"/>
      <c r="D90" s="37"/>
      <c r="E90" s="37"/>
      <c r="F90" s="911" t="s">
        <v>13</v>
      </c>
      <c r="G90" s="234"/>
      <c r="H90" s="14"/>
      <c r="I90" s="875"/>
      <c r="J90" s="234"/>
      <c r="K90" s="234"/>
      <c r="L90" s="234"/>
      <c r="M90" s="888">
        <f t="shared" si="61"/>
        <v>0</v>
      </c>
      <c r="N90" s="234"/>
      <c r="O90" s="875"/>
      <c r="P90" s="1431">
        <f>'Milling Down Time Hours'!M95</f>
        <v>0</v>
      </c>
      <c r="Q90" s="869"/>
      <c r="R90" s="1431">
        <f>'Milling Down Time Hours'!L95</f>
        <v>0</v>
      </c>
      <c r="S90" s="14"/>
      <c r="T90" s="1435" t="e">
        <f>SUM(#REF!)</f>
        <v>#REF!</v>
      </c>
      <c r="U90" s="1435" t="e">
        <f t="shared" ref="U90:V90" si="66">SUM(T90:T92)</f>
        <v>#REF!</v>
      </c>
      <c r="V90" s="1451" t="e">
        <f t="shared" si="66"/>
        <v>#REF!</v>
      </c>
      <c r="W90" s="160" t="e">
        <f t="shared" si="58"/>
        <v>#REF!</v>
      </c>
      <c r="X90" s="155" t="e">
        <f t="shared" si="59"/>
        <v>#REF!</v>
      </c>
      <c r="Y90" s="155" t="e">
        <f t="shared" si="60"/>
        <v>#REF!</v>
      </c>
      <c r="Z90" s="747"/>
    </row>
    <row r="91" spans="2:30" ht="15" hidden="1" customHeight="1" thickBot="1" x14ac:dyDescent="0.35">
      <c r="B91" s="1433"/>
      <c r="C91" s="1434"/>
      <c r="D91" s="14"/>
      <c r="E91" s="14"/>
      <c r="F91" s="920" t="s">
        <v>12</v>
      </c>
      <c r="G91" s="234"/>
      <c r="H91" s="14"/>
      <c r="I91" s="875"/>
      <c r="J91" s="234"/>
      <c r="K91" s="234"/>
      <c r="L91" s="234"/>
      <c r="M91" s="888">
        <f t="shared" si="61"/>
        <v>0</v>
      </c>
      <c r="N91" s="234"/>
      <c r="O91" s="875"/>
      <c r="P91" s="1432"/>
      <c r="Q91" s="870"/>
      <c r="R91" s="1432"/>
      <c r="S91" s="14"/>
      <c r="T91" s="1436"/>
      <c r="U91" s="1436"/>
      <c r="V91" s="1452"/>
      <c r="W91" s="160">
        <f t="shared" si="58"/>
        <v>0</v>
      </c>
      <c r="X91" s="155">
        <f t="shared" si="59"/>
        <v>0</v>
      </c>
      <c r="Y91" s="155">
        <f t="shared" si="60"/>
        <v>0</v>
      </c>
      <c r="Z91" s="747"/>
    </row>
    <row r="92" spans="2:30" ht="14.55" hidden="1" customHeight="1" thickBot="1" x14ac:dyDescent="0.35">
      <c r="B92" s="1433"/>
      <c r="C92" s="1434"/>
      <c r="D92" s="37"/>
      <c r="E92" s="37"/>
      <c r="F92" s="911" t="s">
        <v>13</v>
      </c>
      <c r="G92" s="234"/>
      <c r="H92" s="14"/>
      <c r="I92" s="875"/>
      <c r="J92" s="234"/>
      <c r="K92" s="234"/>
      <c r="L92" s="234"/>
      <c r="M92" s="888">
        <f t="shared" si="61"/>
        <v>0</v>
      </c>
      <c r="N92" s="234"/>
      <c r="O92" s="875"/>
      <c r="P92" s="1431">
        <f>'Milling Down Time Hours'!M97</f>
        <v>0</v>
      </c>
      <c r="Q92" s="869"/>
      <c r="R92" s="1431">
        <f>'Milling Down Time Hours'!L97</f>
        <v>0</v>
      </c>
      <c r="S92" s="14"/>
      <c r="T92" s="1435" t="e">
        <f>SUM(#REF!)</f>
        <v>#REF!</v>
      </c>
      <c r="U92" s="1435" t="e">
        <f t="shared" ref="U92:V92" si="67">SUM(T92:T94)</f>
        <v>#REF!</v>
      </c>
      <c r="V92" s="1451" t="e">
        <f t="shared" si="67"/>
        <v>#REF!</v>
      </c>
      <c r="W92" s="160" t="e">
        <f t="shared" si="58"/>
        <v>#REF!</v>
      </c>
      <c r="X92" s="155" t="e">
        <f t="shared" si="59"/>
        <v>#REF!</v>
      </c>
      <c r="Y92" s="155" t="e">
        <f t="shared" si="60"/>
        <v>#REF!</v>
      </c>
      <c r="Z92" s="747"/>
    </row>
    <row r="93" spans="2:30" ht="15" hidden="1" customHeight="1" thickBot="1" x14ac:dyDescent="0.35">
      <c r="B93" s="1433"/>
      <c r="C93" s="1434"/>
      <c r="D93" s="14"/>
      <c r="E93" s="14"/>
      <c r="F93" s="920" t="s">
        <v>12</v>
      </c>
      <c r="G93" s="234"/>
      <c r="H93" s="14"/>
      <c r="I93" s="875"/>
      <c r="J93" s="234"/>
      <c r="K93" s="234"/>
      <c r="L93" s="234"/>
      <c r="M93" s="888">
        <f t="shared" si="61"/>
        <v>0</v>
      </c>
      <c r="N93" s="234"/>
      <c r="O93" s="875"/>
      <c r="P93" s="1432"/>
      <c r="Q93" s="870"/>
      <c r="R93" s="1432"/>
      <c r="S93" s="14"/>
      <c r="T93" s="1436"/>
      <c r="U93" s="1436"/>
      <c r="V93" s="1452"/>
      <c r="W93" s="160">
        <f t="shared" si="58"/>
        <v>0</v>
      </c>
      <c r="X93" s="155">
        <f t="shared" si="59"/>
        <v>0</v>
      </c>
      <c r="Y93" s="155">
        <f t="shared" si="60"/>
        <v>0</v>
      </c>
      <c r="Z93" s="747"/>
    </row>
    <row r="94" spans="2:30" ht="14.55" hidden="1" customHeight="1" thickBot="1" x14ac:dyDescent="0.35">
      <c r="B94" s="1433"/>
      <c r="C94" s="1434"/>
      <c r="D94" s="37"/>
      <c r="E94" s="37"/>
      <c r="F94" s="911" t="s">
        <v>13</v>
      </c>
      <c r="G94" s="234"/>
      <c r="H94" s="14"/>
      <c r="I94" s="875"/>
      <c r="J94" s="234"/>
      <c r="K94" s="234"/>
      <c r="L94" s="234"/>
      <c r="M94" s="888">
        <f t="shared" si="61"/>
        <v>0</v>
      </c>
      <c r="N94" s="234"/>
      <c r="O94" s="875"/>
      <c r="P94" s="1431">
        <f>'Milling Down Time Hours'!M99</f>
        <v>0</v>
      </c>
      <c r="Q94" s="869"/>
      <c r="R94" s="1431">
        <f>'Milling Down Time Hours'!L99</f>
        <v>0</v>
      </c>
      <c r="S94" s="14"/>
      <c r="T94" s="1435" t="e">
        <f>SUM(#REF!)</f>
        <v>#REF!</v>
      </c>
      <c r="U94" s="1435" t="e">
        <f t="shared" ref="U94:V94" si="68">SUM(T94:T96)</f>
        <v>#REF!</v>
      </c>
      <c r="V94" s="1451" t="e">
        <f t="shared" si="68"/>
        <v>#REF!</v>
      </c>
      <c r="W94" s="160" t="e">
        <f t="shared" si="58"/>
        <v>#REF!</v>
      </c>
      <c r="X94" s="155" t="e">
        <f t="shared" si="59"/>
        <v>#REF!</v>
      </c>
      <c r="Y94" s="155" t="e">
        <f t="shared" si="60"/>
        <v>#REF!</v>
      </c>
      <c r="Z94" s="747"/>
    </row>
    <row r="95" spans="2:30" ht="15" hidden="1" customHeight="1" thickBot="1" x14ac:dyDescent="0.35">
      <c r="B95" s="1433"/>
      <c r="C95" s="1434"/>
      <c r="D95" s="14"/>
      <c r="E95" s="14"/>
      <c r="F95" s="920" t="s">
        <v>12</v>
      </c>
      <c r="G95" s="234"/>
      <c r="H95" s="14"/>
      <c r="I95" s="875"/>
      <c r="J95" s="234"/>
      <c r="K95" s="234"/>
      <c r="L95" s="234"/>
      <c r="M95" s="888">
        <f t="shared" si="61"/>
        <v>0</v>
      </c>
      <c r="N95" s="234"/>
      <c r="O95" s="875"/>
      <c r="P95" s="1432"/>
      <c r="Q95" s="870"/>
      <c r="R95" s="1432"/>
      <c r="S95" s="14"/>
      <c r="T95" s="1436"/>
      <c r="U95" s="1436"/>
      <c r="V95" s="1452"/>
      <c r="W95" s="160">
        <f t="shared" si="58"/>
        <v>0</v>
      </c>
      <c r="X95" s="155">
        <f t="shared" si="59"/>
        <v>0</v>
      </c>
      <c r="Y95" s="155">
        <f t="shared" si="60"/>
        <v>0</v>
      </c>
      <c r="Z95" s="747"/>
    </row>
    <row r="96" spans="2:30" ht="14.55" hidden="1" customHeight="1" thickBot="1" x14ac:dyDescent="0.35">
      <c r="B96" s="1433"/>
      <c r="C96" s="1434"/>
      <c r="D96" s="37"/>
      <c r="E96" s="37"/>
      <c r="F96" s="911" t="s">
        <v>13</v>
      </c>
      <c r="G96" s="234"/>
      <c r="H96" s="14"/>
      <c r="I96" s="875"/>
      <c r="J96" s="234"/>
      <c r="K96" s="234"/>
      <c r="L96" s="234"/>
      <c r="M96" s="888">
        <f t="shared" si="61"/>
        <v>0</v>
      </c>
      <c r="N96" s="234"/>
      <c r="O96" s="875"/>
      <c r="P96" s="1431">
        <f>'Milling Down Time Hours'!M101</f>
        <v>0</v>
      </c>
      <c r="Q96" s="869"/>
      <c r="R96" s="1431">
        <f>'Milling Down Time Hours'!L101</f>
        <v>0</v>
      </c>
      <c r="S96" s="14"/>
      <c r="T96" s="1435" t="e">
        <f>SUM(#REF!)</f>
        <v>#REF!</v>
      </c>
      <c r="U96" s="1435" t="e">
        <f>SUM(T96:T100)</f>
        <v>#REF!</v>
      </c>
      <c r="V96" s="1451" t="e">
        <f>SUM(U96:U100)</f>
        <v>#REF!</v>
      </c>
      <c r="W96" s="160" t="e">
        <f t="shared" si="58"/>
        <v>#REF!</v>
      </c>
      <c r="X96" s="155" t="e">
        <f t="shared" si="59"/>
        <v>#REF!</v>
      </c>
      <c r="Y96" s="155" t="e">
        <f t="shared" si="60"/>
        <v>#REF!</v>
      </c>
      <c r="Z96" s="747"/>
    </row>
    <row r="97" spans="2:27" ht="14.55" hidden="1" customHeight="1" thickBot="1" x14ac:dyDescent="0.35">
      <c r="B97" s="1433"/>
      <c r="C97" s="1434"/>
      <c r="D97" s="96"/>
      <c r="E97" s="96"/>
      <c r="F97" s="920" t="s">
        <v>12</v>
      </c>
      <c r="G97" s="867"/>
      <c r="H97" s="96"/>
      <c r="I97" s="876"/>
      <c r="J97" s="867"/>
      <c r="K97" s="867"/>
      <c r="L97" s="867"/>
      <c r="M97" s="888">
        <f t="shared" si="61"/>
        <v>0</v>
      </c>
      <c r="N97" s="867"/>
      <c r="O97" s="876"/>
      <c r="P97" s="1454"/>
      <c r="Q97" s="460"/>
      <c r="R97" s="1455"/>
      <c r="S97" s="96"/>
      <c r="T97" s="1456"/>
      <c r="U97" s="1456"/>
      <c r="V97" s="1457"/>
      <c r="W97" s="160">
        <f t="shared" si="58"/>
        <v>0</v>
      </c>
      <c r="X97" s="155">
        <f t="shared" si="59"/>
        <v>0</v>
      </c>
      <c r="Y97" s="155">
        <f t="shared" si="60"/>
        <v>0</v>
      </c>
      <c r="Z97" s="747"/>
    </row>
    <row r="98" spans="2:27" ht="15" thickBot="1" x14ac:dyDescent="0.35">
      <c r="B98" s="1429"/>
      <c r="C98" s="1430"/>
      <c r="D98" s="514"/>
      <c r="E98" s="514"/>
      <c r="F98" s="911" t="s">
        <v>13</v>
      </c>
      <c r="G98" s="885"/>
      <c r="H98" s="14"/>
      <c r="I98" s="875"/>
      <c r="J98" s="234"/>
      <c r="K98" s="234"/>
      <c r="L98" s="885"/>
      <c r="M98" s="888">
        <f t="shared" si="61"/>
        <v>0</v>
      </c>
      <c r="N98" s="885"/>
      <c r="O98" s="875"/>
      <c r="P98" s="155"/>
      <c r="Q98" s="155"/>
      <c r="R98" s="155"/>
      <c r="S98" s="14"/>
      <c r="T98" s="155"/>
      <c r="U98" s="155"/>
      <c r="V98" s="420"/>
      <c r="W98" s="160">
        <f t="shared" si="58"/>
        <v>0</v>
      </c>
      <c r="X98" s="155">
        <f t="shared" si="59"/>
        <v>0</v>
      </c>
      <c r="Y98" s="155">
        <f t="shared" si="60"/>
        <v>0</v>
      </c>
      <c r="Z98" s="747"/>
    </row>
    <row r="99" spans="2:27" ht="15" thickBot="1" x14ac:dyDescent="0.35">
      <c r="B99" s="449"/>
      <c r="C99" s="450"/>
      <c r="D99" s="514"/>
      <c r="E99" s="514"/>
      <c r="F99" s="920" t="s">
        <v>12</v>
      </c>
      <c r="G99" s="234"/>
      <c r="H99" s="14"/>
      <c r="I99" s="875"/>
      <c r="J99" s="234"/>
      <c r="K99" s="234"/>
      <c r="L99" s="234"/>
      <c r="M99" s="888">
        <f t="shared" si="61"/>
        <v>0</v>
      </c>
      <c r="N99" s="234"/>
      <c r="O99" s="875"/>
      <c r="P99" s="155"/>
      <c r="Q99" s="155"/>
      <c r="R99" s="155"/>
      <c r="S99" s="14"/>
      <c r="T99" s="155"/>
      <c r="U99" s="155"/>
      <c r="V99" s="420"/>
      <c r="W99" s="160">
        <f t="shared" si="58"/>
        <v>0</v>
      </c>
      <c r="X99" s="155">
        <f t="shared" si="59"/>
        <v>0</v>
      </c>
      <c r="Y99" s="155">
        <f t="shared" si="60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8"/>
      <c r="G100" s="878"/>
      <c r="H100" s="467"/>
      <c r="I100" s="877"/>
      <c r="J100" s="878"/>
      <c r="K100" s="878"/>
      <c r="L100" s="886">
        <f>AVERAGE(L5:L99)</f>
        <v>0.72565217391304337</v>
      </c>
      <c r="M100" s="889">
        <f>SUM(M5:M99)</f>
        <v>3790.6665961065005</v>
      </c>
      <c r="N100" s="886"/>
      <c r="O100" s="936">
        <f>AVERAGE(O5:O99)</f>
        <v>8.4758845106665888</v>
      </c>
      <c r="P100" s="936">
        <f>SUM(P5:P99)</f>
        <v>454.73333333333329</v>
      </c>
      <c r="Q100" s="936">
        <f>SUM(Q5:Q99)</f>
        <v>27284</v>
      </c>
      <c r="R100" s="936">
        <f>SUM(R5:R99)</f>
        <v>12376</v>
      </c>
      <c r="S100" s="1103">
        <f>SUM(S5:S99)</f>
        <v>3608.8834788389995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90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1">
    <mergeCell ref="A61:A64"/>
    <mergeCell ref="N61:N62"/>
    <mergeCell ref="N57:N58"/>
    <mergeCell ref="N50:N51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A32:A33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66:R67"/>
    <mergeCell ref="R82:R83"/>
    <mergeCell ref="T82:T83"/>
    <mergeCell ref="B67:C68"/>
    <mergeCell ref="R68:R69"/>
    <mergeCell ref="B69:C70"/>
    <mergeCell ref="R70:R71"/>
    <mergeCell ref="B71:C72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A56:A58"/>
    <mergeCell ref="H2:K2"/>
    <mergeCell ref="B4:C4"/>
    <mergeCell ref="A5:A8"/>
    <mergeCell ref="B5:C6"/>
    <mergeCell ref="N5:N6"/>
    <mergeCell ref="N52:N53"/>
    <mergeCell ref="N54:N56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7" t="s">
        <v>714</v>
      </c>
      <c r="C8" s="1137">
        <v>1</v>
      </c>
      <c r="D8" s="1137"/>
      <c r="E8" s="1137">
        <v>20</v>
      </c>
      <c r="F8" s="1137">
        <v>1.3</v>
      </c>
      <c r="G8" s="1138">
        <f t="shared" si="0"/>
        <v>26</v>
      </c>
      <c r="H8" s="1137">
        <v>0.92100000000000004</v>
      </c>
      <c r="I8" s="1138">
        <f t="shared" si="1"/>
        <v>23.946000000000002</v>
      </c>
    </row>
    <row r="9" spans="1:12" x14ac:dyDescent="0.3">
      <c r="A9" s="1">
        <v>2</v>
      </c>
      <c r="B9" s="1137" t="s">
        <v>714</v>
      </c>
      <c r="C9" s="1137">
        <v>1</v>
      </c>
      <c r="D9" s="1137"/>
      <c r="E9" s="1137">
        <v>132</v>
      </c>
      <c r="F9" s="1137">
        <v>1.3</v>
      </c>
      <c r="G9" s="1138">
        <f t="shared" si="0"/>
        <v>171.6</v>
      </c>
      <c r="H9" s="1137">
        <v>0.92100000000000004</v>
      </c>
      <c r="I9" s="1138">
        <f t="shared" si="1"/>
        <v>158.0436</v>
      </c>
      <c r="K9" s="11"/>
    </row>
    <row r="10" spans="1:12" x14ac:dyDescent="0.3">
      <c r="A10" s="1">
        <v>3</v>
      </c>
      <c r="B10" s="1134" t="s">
        <v>715</v>
      </c>
      <c r="C10" s="1134">
        <v>1</v>
      </c>
      <c r="D10" s="1134"/>
      <c r="E10" s="1134">
        <v>31</v>
      </c>
      <c r="F10" s="1134">
        <v>1.3</v>
      </c>
      <c r="G10" s="461">
        <f t="shared" si="0"/>
        <v>40.300000000000004</v>
      </c>
      <c r="H10" s="1134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7" t="s">
        <v>717</v>
      </c>
      <c r="C12" s="1137">
        <v>1</v>
      </c>
      <c r="D12" s="1137"/>
      <c r="E12" s="1137">
        <v>24</v>
      </c>
      <c r="F12" s="1137">
        <v>1.3</v>
      </c>
      <c r="G12" s="1138">
        <f t="shared" si="0"/>
        <v>31.200000000000003</v>
      </c>
      <c r="H12" s="1137">
        <v>0.88700000000000001</v>
      </c>
      <c r="I12" s="1138">
        <f t="shared" si="1"/>
        <v>27.674400000000002</v>
      </c>
    </row>
    <row r="13" spans="1:12" x14ac:dyDescent="0.3">
      <c r="A13" s="1">
        <v>6</v>
      </c>
      <c r="B13" s="1137" t="s">
        <v>717</v>
      </c>
      <c r="C13" s="1137">
        <v>1</v>
      </c>
      <c r="D13" s="1137"/>
      <c r="E13" s="1137">
        <v>54</v>
      </c>
      <c r="F13" s="1137">
        <v>1.3</v>
      </c>
      <c r="G13" s="1138">
        <f t="shared" si="0"/>
        <v>70.2</v>
      </c>
      <c r="H13" s="1137">
        <v>0.88700000000000001</v>
      </c>
      <c r="I13" s="1138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4" t="s">
        <v>724</v>
      </c>
      <c r="C17" s="1134">
        <v>1</v>
      </c>
      <c r="D17" s="1134"/>
      <c r="E17" s="1134">
        <v>476</v>
      </c>
      <c r="F17" s="1134">
        <v>1.3</v>
      </c>
      <c r="G17" s="461">
        <f t="shared" si="0"/>
        <v>618.80000000000007</v>
      </c>
      <c r="H17" s="1134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5"/>
    </row>
    <row r="28" spans="1:9" x14ac:dyDescent="0.3">
      <c r="B28" s="6"/>
      <c r="C28" s="6"/>
      <c r="D28" s="6" t="s">
        <v>731</v>
      </c>
      <c r="E28" s="6" t="s">
        <v>735</v>
      </c>
      <c r="F28" s="1136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40" t="s">
        <v>270</v>
      </c>
      <c r="B3" s="1241"/>
      <c r="C3" s="1241"/>
      <c r="D3" s="1241"/>
      <c r="E3" s="1241"/>
      <c r="F3" s="1241"/>
      <c r="G3" s="1242"/>
      <c r="I3" s="1">
        <f>I2/2</f>
        <v>720</v>
      </c>
    </row>
    <row r="4" spans="1:14" ht="15" thickBot="1" x14ac:dyDescent="0.35">
      <c r="A4" s="1243" t="s">
        <v>0</v>
      </c>
      <c r="B4" s="1244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72">
        <v>46268</v>
      </c>
      <c r="B5" s="1239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72">
        <v>46269</v>
      </c>
      <c r="B6" s="1239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72">
        <v>46270</v>
      </c>
      <c r="B7" s="1239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72">
        <v>46271</v>
      </c>
      <c r="B8" s="1239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72">
        <v>46272</v>
      </c>
      <c r="B9" s="1239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72">
        <v>46273</v>
      </c>
      <c r="B10" s="1239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72">
        <v>46274</v>
      </c>
      <c r="B11" s="1239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72">
        <v>46275</v>
      </c>
      <c r="B12" s="1239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72">
        <v>46276</v>
      </c>
      <c r="B13" s="1239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72">
        <v>46277</v>
      </c>
      <c r="B14" s="1239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72">
        <v>46278</v>
      </c>
      <c r="B15" s="1239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72">
        <v>46279</v>
      </c>
      <c r="B16" s="1239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72">
        <v>46280</v>
      </c>
      <c r="B17" s="1239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72">
        <v>46281</v>
      </c>
      <c r="B18" s="1239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72">
        <v>46282</v>
      </c>
      <c r="B19" s="1239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72">
        <v>46283</v>
      </c>
      <c r="B20" s="1239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72">
        <v>46284</v>
      </c>
      <c r="B21" s="1239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72">
        <v>46285</v>
      </c>
      <c r="B22" s="1239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72">
        <v>46286</v>
      </c>
      <c r="B23" s="1239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72">
        <v>46287</v>
      </c>
      <c r="B24" s="1239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72">
        <v>46288</v>
      </c>
      <c r="B25" s="1239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72">
        <v>46289</v>
      </c>
      <c r="B26" s="1239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72">
        <v>46290</v>
      </c>
      <c r="B27" s="1239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72">
        <v>46291</v>
      </c>
      <c r="B28" s="1239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72">
        <v>46292</v>
      </c>
      <c r="B29" s="1239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72">
        <v>46293</v>
      </c>
      <c r="B30" s="1239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72">
        <v>46294</v>
      </c>
      <c r="B31" s="1239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72">
        <v>46295</v>
      </c>
      <c r="B32" s="1239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72">
        <v>46296</v>
      </c>
      <c r="B33" s="1239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72">
        <v>46297</v>
      </c>
      <c r="B34" s="1239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72">
        <v>46298</v>
      </c>
      <c r="B35" s="1239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72">
        <v>46299</v>
      </c>
      <c r="B36" s="1239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72">
        <v>46300</v>
      </c>
      <c r="B37" s="1239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72">
        <v>46301</v>
      </c>
      <c r="B38" s="1239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72">
        <v>46302</v>
      </c>
      <c r="B39" s="1239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72">
        <v>46303</v>
      </c>
      <c r="B40" s="1239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72">
        <v>46304</v>
      </c>
      <c r="B41" s="1239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72">
        <v>46305</v>
      </c>
      <c r="B42" s="1239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72">
        <v>46306</v>
      </c>
      <c r="B43" s="1239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72">
        <v>46307</v>
      </c>
      <c r="B44" s="1239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72">
        <v>46308</v>
      </c>
      <c r="B45" s="1239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72">
        <v>46309</v>
      </c>
      <c r="B46" s="1239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72">
        <v>46310</v>
      </c>
      <c r="B47" s="1239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72">
        <v>46311</v>
      </c>
      <c r="B48" s="1239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72">
        <v>46312</v>
      </c>
      <c r="B49" s="1239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72">
        <v>46313</v>
      </c>
      <c r="B50" s="1239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72">
        <v>46314</v>
      </c>
      <c r="B51" s="1239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72">
        <v>46315</v>
      </c>
      <c r="B52" s="1239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72">
        <v>46316</v>
      </c>
      <c r="B53" s="1239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72">
        <v>46317</v>
      </c>
      <c r="B54" s="1239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72">
        <v>46318</v>
      </c>
      <c r="B55" s="1239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72">
        <v>46319</v>
      </c>
      <c r="B56" s="1239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72">
        <v>46320</v>
      </c>
      <c r="B57" s="1239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72">
        <v>46321</v>
      </c>
      <c r="B58" s="1239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72">
        <v>46322</v>
      </c>
      <c r="B59" s="1239"/>
      <c r="C59" s="65"/>
      <c r="D59" s="68"/>
      <c r="E59" s="68"/>
      <c r="F59" s="62">
        <f t="shared" si="5"/>
        <v>0</v>
      </c>
      <c r="G59" s="66"/>
    </row>
    <row r="60" spans="1:18" x14ac:dyDescent="0.3">
      <c r="A60" s="1472">
        <v>46323</v>
      </c>
      <c r="B60" s="1239"/>
      <c r="C60" s="65"/>
      <c r="D60" s="68"/>
      <c r="E60" s="68"/>
      <c r="F60" s="62">
        <f t="shared" si="5"/>
        <v>0</v>
      </c>
      <c r="G60" s="66"/>
    </row>
    <row r="61" spans="1:18" x14ac:dyDescent="0.3">
      <c r="A61" s="1472">
        <v>46324</v>
      </c>
      <c r="B61" s="1239"/>
      <c r="C61" s="65"/>
      <c r="D61" s="68"/>
      <c r="E61" s="68"/>
      <c r="F61" s="62">
        <f t="shared" si="5"/>
        <v>0</v>
      </c>
      <c r="G61" s="66"/>
    </row>
    <row r="62" spans="1:18" x14ac:dyDescent="0.3">
      <c r="A62" s="1472">
        <v>46325</v>
      </c>
      <c r="B62" s="1239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M102"/>
  <sheetViews>
    <sheetView zoomScale="73" zoomScaleNormal="100" workbookViewId="0">
      <pane ySplit="9" topLeftCell="A10" activePane="bottomLeft" state="frozen"/>
      <selection pane="bottomLeft" activeCell="K10" sqref="K10:K2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5.77734375" style="1" bestFit="1" customWidth="1"/>
    <col min="48" max="49" width="10.5546875" style="12" customWidth="1"/>
    <col min="50" max="50" width="11.109375" style="13" bestFit="1" customWidth="1"/>
    <col min="51" max="51" width="8.5546875" style="1" customWidth="1"/>
    <col min="52" max="52" width="9.77734375" style="1" customWidth="1"/>
    <col min="53" max="53" width="12.77734375" style="1" customWidth="1"/>
    <col min="54" max="54" width="7.6640625" style="1" customWidth="1"/>
    <col min="55" max="55" width="12.77734375" style="1" bestFit="1" customWidth="1"/>
    <col min="56" max="56" width="12.88671875" style="1" bestFit="1" customWidth="1"/>
    <col min="57" max="57" width="12.33203125" style="1" customWidth="1"/>
    <col min="58" max="58" width="12.109375" style="1" customWidth="1"/>
    <col min="59" max="60" width="8.88671875" style="1"/>
    <col min="61" max="61" width="9.33203125" style="1" bestFit="1" customWidth="1"/>
    <col min="62" max="16384" width="8.88671875" style="1"/>
  </cols>
  <sheetData>
    <row r="1" spans="1:65" ht="15" thickBot="1" x14ac:dyDescent="0.35"/>
    <row r="2" spans="1:65" ht="24" thickBot="1" x14ac:dyDescent="0.5">
      <c r="E2" s="1183" t="s">
        <v>243</v>
      </c>
      <c r="F2" s="1184"/>
      <c r="G2" s="1184"/>
      <c r="H2" s="1184"/>
      <c r="I2" s="1184"/>
      <c r="J2" s="1184"/>
      <c r="K2" s="1184"/>
      <c r="L2" s="1184"/>
      <c r="M2" s="1184"/>
      <c r="N2" s="1184"/>
      <c r="O2" s="1184"/>
      <c r="P2" s="1184"/>
      <c r="Q2" s="1184"/>
      <c r="R2" s="1184"/>
      <c r="S2" s="1184"/>
      <c r="T2" s="1184"/>
      <c r="U2" s="1184"/>
      <c r="V2" s="1184"/>
      <c r="W2" s="1184"/>
      <c r="X2" s="1184"/>
      <c r="Y2" s="1184"/>
      <c r="Z2" s="1184"/>
      <c r="AA2" s="1184"/>
      <c r="AB2" s="1184"/>
      <c r="AC2" s="1184"/>
      <c r="AD2" s="1184"/>
      <c r="AE2" s="1185"/>
    </row>
    <row r="3" spans="1:65" ht="24" thickBot="1" x14ac:dyDescent="0.5">
      <c r="E3" s="1183" t="s">
        <v>197</v>
      </c>
      <c r="F3" s="1184"/>
      <c r="G3" s="1184"/>
      <c r="H3" s="1184"/>
      <c r="I3" s="1184"/>
      <c r="J3" s="1184"/>
      <c r="K3" s="1184"/>
      <c r="L3" s="1184"/>
      <c r="M3" s="1184"/>
      <c r="N3" s="1184"/>
      <c r="O3" s="1184"/>
      <c r="P3" s="1184"/>
      <c r="Q3" s="1184"/>
      <c r="R3" s="1184"/>
      <c r="S3" s="1184"/>
      <c r="T3" s="1184"/>
      <c r="U3" s="1184"/>
      <c r="V3" s="1184"/>
      <c r="W3" s="1184"/>
      <c r="X3" s="1184"/>
      <c r="Y3" s="1184"/>
      <c r="Z3" s="1184"/>
      <c r="AA3" s="1184"/>
      <c r="AB3" s="1184"/>
      <c r="AC3" s="1184"/>
      <c r="AD3" s="1184"/>
      <c r="AE3" s="1185"/>
      <c r="AI3" s="137"/>
    </row>
    <row r="4" spans="1:65" ht="24" thickBot="1" x14ac:dyDescent="0.5">
      <c r="E4" s="1190" t="s">
        <v>537</v>
      </c>
      <c r="F4" s="1191"/>
      <c r="G4" s="1191"/>
      <c r="H4" s="1191"/>
      <c r="I4" s="1191"/>
      <c r="J4" s="1191"/>
      <c r="K4" s="1191"/>
      <c r="L4" s="1191"/>
      <c r="M4" s="1191"/>
      <c r="N4" s="1191"/>
      <c r="O4" s="1191"/>
      <c r="P4" s="1191"/>
      <c r="Q4" s="1191"/>
      <c r="R4" s="1191"/>
      <c r="S4" s="1191"/>
      <c r="T4" s="1191"/>
      <c r="U4" s="1191"/>
      <c r="V4" s="1191"/>
      <c r="W4" s="1191"/>
      <c r="X4" s="1191"/>
      <c r="Y4" s="1191"/>
      <c r="Z4" s="1191"/>
      <c r="AA4" s="1191"/>
      <c r="AB4" s="1191"/>
      <c r="AC4" s="1191"/>
      <c r="AD4" s="1191"/>
      <c r="AE4" s="1192"/>
      <c r="AG4" s="424"/>
      <c r="AH4" s="2"/>
      <c r="AL4" s="2"/>
    </row>
    <row r="5" spans="1:65" x14ac:dyDescent="0.3">
      <c r="C5" s="11">
        <f>SUM(M10:M11,N12:N19)</f>
        <v>3254.4426052499998</v>
      </c>
      <c r="G5" s="137"/>
      <c r="N5" s="11"/>
      <c r="AI5" s="2"/>
      <c r="AR5" s="2"/>
    </row>
    <row r="6" spans="1:65" x14ac:dyDescent="0.3">
      <c r="N6" s="11"/>
      <c r="U6" s="2"/>
      <c r="V6" s="11"/>
      <c r="AC6" s="1117"/>
      <c r="AD6" s="1155"/>
      <c r="AF6" s="2"/>
      <c r="AH6" s="11"/>
      <c r="AK6" s="44"/>
    </row>
    <row r="7" spans="1:65" x14ac:dyDescent="0.3">
      <c r="B7" s="1182" t="s">
        <v>259</v>
      </c>
      <c r="C7" s="206" t="s">
        <v>325</v>
      </c>
      <c r="D7" s="206" t="s">
        <v>706</v>
      </c>
      <c r="E7" s="1182" t="s">
        <v>244</v>
      </c>
      <c r="F7" s="1182" t="s">
        <v>245</v>
      </c>
      <c r="G7" s="1182" t="s">
        <v>246</v>
      </c>
      <c r="H7" s="1182" t="s">
        <v>247</v>
      </c>
      <c r="I7" s="1182" t="s">
        <v>248</v>
      </c>
      <c r="J7" s="1186" t="s">
        <v>144</v>
      </c>
      <c r="K7" s="1193" t="s">
        <v>680</v>
      </c>
      <c r="L7" s="1182" t="s">
        <v>250</v>
      </c>
      <c r="M7" s="1187" t="s">
        <v>249</v>
      </c>
      <c r="N7" s="225" t="s">
        <v>249</v>
      </c>
      <c r="O7" s="1187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182" t="s">
        <v>251</v>
      </c>
      <c r="V7" s="206" t="s">
        <v>303</v>
      </c>
      <c r="W7" s="1182" t="s">
        <v>260</v>
      </c>
      <c r="X7" s="1182"/>
      <c r="Y7" s="1182"/>
      <c r="Z7" s="1181" t="s">
        <v>262</v>
      </c>
      <c r="AA7" s="1181"/>
      <c r="AB7" s="1181"/>
      <c r="AC7" s="1182" t="s">
        <v>269</v>
      </c>
      <c r="AD7" s="1182" t="s">
        <v>290</v>
      </c>
      <c r="AE7" s="1181" t="s">
        <v>256</v>
      </c>
      <c r="AF7" s="1181"/>
      <c r="AG7" s="1181"/>
      <c r="AH7" s="1181"/>
      <c r="AI7" s="1181"/>
      <c r="AJ7" s="1181"/>
      <c r="AK7" s="1181" t="s">
        <v>266</v>
      </c>
      <c r="AL7" s="1181"/>
      <c r="AM7" s="1181"/>
      <c r="AN7" s="1181" t="s">
        <v>267</v>
      </c>
      <c r="AO7" s="1181"/>
      <c r="AP7" s="1181"/>
      <c r="AQ7" s="132"/>
      <c r="AR7" s="248" t="s">
        <v>331</v>
      </c>
      <c r="AS7" s="1196" t="s">
        <v>273</v>
      </c>
      <c r="AT7" s="1197"/>
      <c r="AU7" s="1198"/>
      <c r="AV7" s="227"/>
      <c r="AW7" s="1158"/>
      <c r="AX7" s="1187" t="s">
        <v>301</v>
      </c>
      <c r="AY7" s="1181" t="s">
        <v>661</v>
      </c>
      <c r="AZ7" s="1181"/>
      <c r="BA7" s="1181"/>
      <c r="BB7" s="132" t="s">
        <v>293</v>
      </c>
      <c r="BC7" s="1181" t="s">
        <v>277</v>
      </c>
      <c r="BD7" s="1181"/>
      <c r="BE7" s="1181"/>
    </row>
    <row r="8" spans="1:65" x14ac:dyDescent="0.3">
      <c r="B8" s="1182"/>
      <c r="C8" s="206" t="s">
        <v>296</v>
      </c>
      <c r="D8" s="206" t="s">
        <v>36</v>
      </c>
      <c r="E8" s="1182"/>
      <c r="F8" s="1182"/>
      <c r="G8" s="1182"/>
      <c r="H8" s="1182"/>
      <c r="I8" s="1182"/>
      <c r="J8" s="1186"/>
      <c r="K8" s="1194"/>
      <c r="L8" s="1182"/>
      <c r="M8" s="1188"/>
      <c r="N8" s="226" t="s">
        <v>316</v>
      </c>
      <c r="O8" s="1188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182"/>
      <c r="V8" s="206" t="s">
        <v>184</v>
      </c>
      <c r="W8" s="1182" t="s">
        <v>261</v>
      </c>
      <c r="X8" s="1182"/>
      <c r="Y8" s="1182"/>
      <c r="Z8" s="1181" t="s">
        <v>466</v>
      </c>
      <c r="AA8" s="1181"/>
      <c r="AB8" s="1181"/>
      <c r="AC8" s="1182"/>
      <c r="AD8" s="1182"/>
      <c r="AE8" s="1181" t="s">
        <v>263</v>
      </c>
      <c r="AF8" s="1181"/>
      <c r="AG8" s="1181"/>
      <c r="AH8" s="1181" t="s">
        <v>264</v>
      </c>
      <c r="AI8" s="1181"/>
      <c r="AJ8" s="1181"/>
      <c r="AK8" s="1181" t="s">
        <v>265</v>
      </c>
      <c r="AL8" s="1181"/>
      <c r="AM8" s="1181"/>
      <c r="AN8" s="1181" t="s">
        <v>257</v>
      </c>
      <c r="AO8" s="1181"/>
      <c r="AP8" s="1181"/>
      <c r="AQ8" s="132" t="s">
        <v>258</v>
      </c>
      <c r="AR8" s="249" t="s">
        <v>294</v>
      </c>
      <c r="AS8" s="1199"/>
      <c r="AT8" s="1200"/>
      <c r="AU8" s="1201"/>
      <c r="AV8" s="227" t="s">
        <v>300</v>
      </c>
      <c r="AW8" s="1159"/>
      <c r="AX8" s="1189"/>
      <c r="AY8" s="1181" t="s">
        <v>261</v>
      </c>
      <c r="AZ8" s="1181"/>
      <c r="BA8" s="1181"/>
      <c r="BB8" s="132" t="s">
        <v>294</v>
      </c>
      <c r="BC8" s="1181" t="s">
        <v>40</v>
      </c>
      <c r="BD8" s="1181"/>
      <c r="BE8" s="1181"/>
    </row>
    <row r="9" spans="1:65" x14ac:dyDescent="0.3">
      <c r="B9" s="1182"/>
      <c r="C9" s="206" t="s">
        <v>297</v>
      </c>
      <c r="D9" s="206" t="s">
        <v>743</v>
      </c>
      <c r="E9" s="1182"/>
      <c r="F9" s="1182"/>
      <c r="G9" s="1182"/>
      <c r="H9" s="1182"/>
      <c r="I9" s="1182"/>
      <c r="J9" s="1186"/>
      <c r="K9" s="1195"/>
      <c r="L9" s="1182"/>
      <c r="M9" s="1189"/>
      <c r="N9" s="205" t="s">
        <v>315</v>
      </c>
      <c r="O9" s="1189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182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182"/>
      <c r="AD9" s="1182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227"/>
      <c r="AX9" s="132" t="s">
        <v>302</v>
      </c>
      <c r="AY9" s="132" t="s">
        <v>253</v>
      </c>
      <c r="AZ9" s="132" t="s">
        <v>254</v>
      </c>
      <c r="BA9" s="132" t="s">
        <v>255</v>
      </c>
      <c r="BB9" s="132" t="s">
        <v>70</v>
      </c>
      <c r="BC9" s="132" t="s">
        <v>253</v>
      </c>
      <c r="BD9" s="132" t="s">
        <v>254</v>
      </c>
      <c r="BE9" s="132" t="s">
        <v>255</v>
      </c>
      <c r="BG9" s="13"/>
      <c r="BH9" s="13"/>
      <c r="BI9" s="13"/>
      <c r="BJ9" s="13"/>
    </row>
    <row r="10" spans="1:65" s="622" customFormat="1" x14ac:dyDescent="0.3">
      <c r="B10" s="489">
        <v>1</v>
      </c>
      <c r="C10" s="473">
        <f>SUM('Milling and Leach Feed_OLD'!P5:P8)</f>
        <v>45.333333333333329</v>
      </c>
      <c r="D10" s="473">
        <f>M10/C10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101">
        <f>(AX10*1000)/J10</f>
        <v>1.7953321364452424</v>
      </c>
      <c r="L10" s="488">
        <v>0.41</v>
      </c>
      <c r="M10" s="473">
        <f t="shared" ref="M10:M20" si="0">L10*J10*O10</f>
        <v>292.31359999999995</v>
      </c>
      <c r="N10" s="473"/>
      <c r="O10" s="489">
        <v>1.28</v>
      </c>
      <c r="P10" s="489">
        <v>2</v>
      </c>
      <c r="Q10" s="488">
        <v>0.39900000000000002</v>
      </c>
      <c r="R10" s="820">
        <v>1.2649999999999999</v>
      </c>
      <c r="S10" s="473">
        <v>107.85</v>
      </c>
      <c r="T10" s="473">
        <f t="shared" ref="T10:T15" si="1">S10*R10*Q10</f>
        <v>54.435669749999995</v>
      </c>
      <c r="U10" s="473">
        <f t="shared" ref="U10:U15" si="2">M10*((1-L10)/L10)</f>
        <v>420.64640000000003</v>
      </c>
      <c r="V10" s="473">
        <f>M10</f>
        <v>292.31359999999995</v>
      </c>
      <c r="W10" s="820">
        <f>AVERAGE('Milling and Leach Feed_OLD'!T5:T8)</f>
        <v>0.70799999999999996</v>
      </c>
      <c r="X10" s="820">
        <f>AVERAGE('Milling and Leach Feed_OLD'!U5:U8)</f>
        <v>0.53525</v>
      </c>
      <c r="Y10" s="820">
        <f>AVERAGE('Milling and Leach Feed_OLD'!V5:V8)</f>
        <v>7.2224166666666676</v>
      </c>
      <c r="Z10" s="820">
        <f>SUM('Milling and Leach Feed_OLD'!W5:W8)/'Au Cal Leaching Tank'!M10</f>
        <v>0.65897435796966009</v>
      </c>
      <c r="AA10" s="820">
        <f>SUM('Milling and Leach Feed_OLD'!X5:X8)/'Au Cal Leaching Tank'!M10</f>
        <v>0.56643603797540276</v>
      </c>
      <c r="AB10" s="820">
        <f>SUM('Milling and Leach Feed_OLD'!Y5:Y8)/'Au Cal Leaching Tank'!M10</f>
        <v>7.4363798214475381</v>
      </c>
      <c r="AC10" s="821">
        <f>W10-Z10</f>
        <v>4.9025642030339878E-2</v>
      </c>
      <c r="AD10" s="822">
        <f>((W10-Z10)/(W10+Z10)/2)</f>
        <v>1.7932173249817464E-2</v>
      </c>
      <c r="AE10" s="820">
        <f>'LT Floculation'!G6</f>
        <v>5.5750000000000001E-2</v>
      </c>
      <c r="AF10" s="820">
        <v>0.17</v>
      </c>
      <c r="AG10" s="820">
        <v>6.55</v>
      </c>
      <c r="AH10" s="489">
        <v>0.02</v>
      </c>
      <c r="AI10" s="620"/>
      <c r="AJ10" s="620"/>
      <c r="AK10" s="473">
        <f>W10*$M$10</f>
        <v>206.95802879999997</v>
      </c>
      <c r="AL10" s="473">
        <f t="shared" ref="AL10" si="3">AA10*$M$10</f>
        <v>165.57695743032667</v>
      </c>
      <c r="AM10" s="473">
        <f>AB10*$M$10</f>
        <v>2173.7549565746867</v>
      </c>
      <c r="AN10" s="473">
        <f>AE10*M10</f>
        <v>16.296483199999997</v>
      </c>
      <c r="AO10" s="473">
        <f>AF10*M10</f>
        <v>49.693311999999999</v>
      </c>
      <c r="AP10" s="473">
        <f>AG10*M10</f>
        <v>1914.6540799999996</v>
      </c>
      <c r="AQ10" s="473">
        <f>AH10*U10</f>
        <v>8.4129280000000008</v>
      </c>
      <c r="AR10" s="473">
        <v>1</v>
      </c>
      <c r="AS10" s="822">
        <f>((AK10-(AN10+AQ10))/AK10)</f>
        <v>0.88060665564282758</v>
      </c>
      <c r="AT10" s="822">
        <f t="shared" ref="AT10" si="4">((AL10-AO10)/AL10)*0.95</f>
        <v>0.66488396010740214</v>
      </c>
      <c r="AU10" s="822">
        <f>((AM10-AP10)/AM10)*0.95</f>
        <v>0.11323531753267131</v>
      </c>
      <c r="AV10" s="823">
        <v>2</v>
      </c>
      <c r="AW10" s="823"/>
      <c r="AX10" s="823">
        <v>1</v>
      </c>
      <c r="AY10" s="473">
        <f>BC10/$AX10</f>
        <v>182.24861759999996</v>
      </c>
      <c r="AZ10" s="473">
        <f t="shared" ref="AZ10:BA11" si="5">BD10/$AX10</f>
        <v>115.88364543032668</v>
      </c>
      <c r="BA10" s="473">
        <f t="shared" si="5"/>
        <v>259.10087657468716</v>
      </c>
      <c r="BB10" s="473">
        <v>1</v>
      </c>
      <c r="BC10" s="473">
        <f>(AK10-AN10-AQ10)</f>
        <v>182.24861759999996</v>
      </c>
      <c r="BD10" s="473">
        <f>(AL10-AO10)</f>
        <v>115.88364543032668</v>
      </c>
      <c r="BE10" s="473">
        <f>(AM10-AP10)</f>
        <v>259.10087657468716</v>
      </c>
      <c r="BG10" s="824"/>
      <c r="BH10" s="825"/>
      <c r="BI10" s="825"/>
      <c r="BJ10" s="825"/>
    </row>
    <row r="11" spans="1:65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2">
        <f t="shared" ref="K11:K20" si="6">(AX11*1000)/J11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232"/>
      <c r="AX11" s="232">
        <v>1</v>
      </c>
      <c r="AY11" s="40">
        <f>BC11/$AX11</f>
        <v>177.02628308750002</v>
      </c>
      <c r="AZ11" s="40">
        <f t="shared" si="5"/>
        <v>163.07723483333334</v>
      </c>
      <c r="BA11" s="40">
        <f t="shared" si="5"/>
        <v>209.68264090277808</v>
      </c>
      <c r="BB11" s="40">
        <v>2</v>
      </c>
      <c r="BC11" s="40">
        <f t="shared" ref="BC11:BC15" si="9">(AK11-AN11-AQ11)</f>
        <v>177.02628308750002</v>
      </c>
      <c r="BD11" s="40">
        <f t="shared" ref="BD11" si="10">(AL11-AO11)</f>
        <v>163.07723483333334</v>
      </c>
      <c r="BE11" s="40">
        <f>(AM11-AP11)</f>
        <v>209.68264090277808</v>
      </c>
    </row>
    <row r="12" spans="1:65" s="622" customFormat="1" x14ac:dyDescent="0.3">
      <c r="A12" s="824">
        <f>J12/S12</f>
        <v>5.9990727862772371</v>
      </c>
      <c r="B12" s="489">
        <v>3</v>
      </c>
      <c r="C12" s="473">
        <f>SUM('Milling and Leach Feed_OLD'!P16:P19)</f>
        <v>47.333333333333329</v>
      </c>
      <c r="D12" s="473">
        <f>N12/C12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101">
        <f t="shared" si="6"/>
        <v>1.545595054095827</v>
      </c>
      <c r="L12" s="488">
        <v>0.45</v>
      </c>
      <c r="M12" s="473">
        <f t="shared" si="0"/>
        <v>381.40650000000005</v>
      </c>
      <c r="N12" s="473">
        <f t="shared" ref="N12:N17" si="11">M12-T10</f>
        <v>326.97083025000006</v>
      </c>
      <c r="O12" s="489">
        <v>1.31</v>
      </c>
      <c r="P12" s="489">
        <v>2</v>
      </c>
      <c r="Q12" s="488">
        <v>0.44</v>
      </c>
      <c r="R12" s="820">
        <v>1.3</v>
      </c>
      <c r="S12" s="473">
        <v>107.85</v>
      </c>
      <c r="T12" s="473">
        <f t="shared" si="1"/>
        <v>61.69019999999999</v>
      </c>
      <c r="U12" s="473">
        <f t="shared" si="2"/>
        <v>466.16350000000011</v>
      </c>
      <c r="V12" s="473">
        <f>N12+V11</f>
        <v>919.42658025000003</v>
      </c>
      <c r="W12" s="820">
        <f>AVERAGE('Milling and Leach Feed_OLD'!T16:T18)</f>
        <v>0.93455555555555547</v>
      </c>
      <c r="X12" s="820">
        <f>AVERAGE('Milling and Leach Feed_OLD'!U16:U18)</f>
        <v>0.65888888888888886</v>
      </c>
      <c r="Y12" s="820">
        <f>AVERAGE('Milling and Leach Feed_OLD'!V16:V18)</f>
        <v>9.0688888888888908</v>
      </c>
      <c r="Z12" s="820">
        <f>SUM('Milling and Leach Feed_OLD'!W16:W19)/'Au Cal Leaching Tank'!$N$12</f>
        <v>0.88874983310558886</v>
      </c>
      <c r="AA12" s="820">
        <f>SUM('Milling and Leach Feed_OLD'!X16:X18)/'Au Cal Leaching Tank'!$N$12</f>
        <v>0.38757072090021194</v>
      </c>
      <c r="AB12" s="820">
        <f>SUM('Milling and Leach Feed_OLD'!Y16:Y18)/'Au Cal Leaching Tank'!$N$12</f>
        <v>5.6910690955920016</v>
      </c>
      <c r="AC12" s="821">
        <f>W12-Z12</f>
        <v>4.5805722449966613E-2</v>
      </c>
      <c r="AD12" s="822">
        <f>((W12-Z12)/(W12+Z12)/2)</f>
        <v>1.2561176732879022E-2</v>
      </c>
      <c r="AE12" s="820">
        <f>'LT Floculation'!G8</f>
        <v>9.816666666666668E-2</v>
      </c>
      <c r="AF12" s="820">
        <f>'LT Floculation'!H8</f>
        <v>0.23333333333333331</v>
      </c>
      <c r="AG12" s="820">
        <f>'LT Floculation'!I8</f>
        <v>8.9633333333333329</v>
      </c>
      <c r="AH12" s="489">
        <v>2.3E-2</v>
      </c>
      <c r="AI12" s="620"/>
      <c r="AJ12" s="620"/>
      <c r="AK12" s="473">
        <f>$N12*W12</f>
        <v>305.57240591475005</v>
      </c>
      <c r="AL12" s="473">
        <f t="shared" ref="AL12:AM12" si="12">$N12*X12</f>
        <v>215.43744704250003</v>
      </c>
      <c r="AM12" s="473">
        <f t="shared" si="12"/>
        <v>2965.2621294450014</v>
      </c>
      <c r="AN12" s="473">
        <f>AE12*$N12</f>
        <v>32.097636502875012</v>
      </c>
      <c r="AO12" s="473">
        <f>AF12*$N12</f>
        <v>76.293193725000009</v>
      </c>
      <c r="AP12" s="473">
        <f>AG12*$N12</f>
        <v>2930.7485418075003</v>
      </c>
      <c r="AQ12" s="473">
        <f t="shared" ref="AQ12:AQ16" si="13">AH12*U12</f>
        <v>10.721760500000002</v>
      </c>
      <c r="AR12" s="473">
        <v>3</v>
      </c>
      <c r="AS12" s="822">
        <f>IFERROR(((AK12-(AN12+AQ12))/AK12),"")</f>
        <v>0.85987151924044825</v>
      </c>
      <c r="AT12" s="822">
        <f>IFERROR((AL12-AO12)/AL12,"")</f>
        <v>0.64586846543001686</v>
      </c>
      <c r="AU12" s="822">
        <f>IFERROR((AM12-AP12)/AM12,"")</f>
        <v>1.1639304092134657E-2</v>
      </c>
      <c r="AV12" s="823">
        <v>2</v>
      </c>
      <c r="AW12" s="823"/>
      <c r="AX12" s="1163">
        <v>1</v>
      </c>
      <c r="AY12" s="473">
        <f>(BC10+BC12)/AX12</f>
        <v>445.00162651187497</v>
      </c>
      <c r="AZ12" s="473">
        <f>(BD10+BD12)/AX12</f>
        <v>255.0278987478267</v>
      </c>
      <c r="BA12" s="826">
        <f>(BA10+BE12)/AX12</f>
        <v>293.6144642121883</v>
      </c>
      <c r="BB12" s="826">
        <v>3</v>
      </c>
      <c r="BC12" s="473">
        <f>(AK12-AN12-AQ12)</f>
        <v>262.75300891187504</v>
      </c>
      <c r="BD12" s="473">
        <f t="shared" ref="BD12:BD13" si="14">(AL12-AO12)</f>
        <v>139.14425331750002</v>
      </c>
      <c r="BE12" s="473">
        <f t="shared" ref="BE12" si="15">(AM12-AP12)</f>
        <v>34.513587637501132</v>
      </c>
      <c r="BG12" s="827"/>
      <c r="BH12" s="827"/>
      <c r="BI12" s="827"/>
    </row>
    <row r="13" spans="1:65" x14ac:dyDescent="0.3">
      <c r="A13" s="44">
        <f t="shared" ref="A13:A19" si="16">J13/S13</f>
        <v>5.9990727862772371</v>
      </c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2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7">$N13*W13</f>
        <v>294.40648242500004</v>
      </c>
      <c r="AL13" s="40">
        <f t="shared" ref="AL13:AL14" si="18">$N13*X13</f>
        <v>232.15510725000001</v>
      </c>
      <c r="AM13" s="40">
        <f t="shared" ref="AM13:AM14" si="19">$N13*Y13</f>
        <v>2900.2221077500008</v>
      </c>
      <c r="AN13" s="40">
        <f>AE13*$N13</f>
        <v>34.598770250000008</v>
      </c>
      <c r="AO13" s="40">
        <f t="shared" ref="AO13:AP14" si="20">AF13*$N13</f>
        <v>76.064472000000009</v>
      </c>
      <c r="AP13" s="40">
        <f t="shared" si="20"/>
        <v>1636.4425990000002</v>
      </c>
      <c r="AQ13" s="40">
        <f>AH13*U13</f>
        <v>15.603310800000003</v>
      </c>
      <c r="AR13" s="40">
        <v>4</v>
      </c>
      <c r="AS13" s="39">
        <f t="shared" ref="AS13:AS59" si="21">IFERROR(((AK13-(AN13+AQ13))/AK13),"")</f>
        <v>0.82948038155787218</v>
      </c>
      <c r="AT13" s="39">
        <f t="shared" ref="AT13:AT59" si="22">IFERROR((AL13-AO13)/AL13,"")</f>
        <v>0.67235494880546065</v>
      </c>
      <c r="AU13" s="39">
        <f t="shared" ref="AU13:AU59" si="23">IFERROR((AM13-AP13)/AM13,"")</f>
        <v>0.43575266369183141</v>
      </c>
      <c r="AV13" s="232">
        <v>3</v>
      </c>
      <c r="AW13" s="232"/>
      <c r="AX13" s="230">
        <v>1</v>
      </c>
      <c r="AY13" s="40">
        <f>(BC11+BC13)/AX13</f>
        <v>421.23068446249999</v>
      </c>
      <c r="AZ13" s="40">
        <f>(BC11+BC13)/AX13</f>
        <v>421.23068446249999</v>
      </c>
      <c r="BA13" s="242">
        <f>(BD11+BD13)/AX13</f>
        <v>319.16787008333336</v>
      </c>
      <c r="BB13" s="242">
        <v>4</v>
      </c>
      <c r="BC13" s="40">
        <f t="shared" si="9"/>
        <v>244.204401375</v>
      </c>
      <c r="BD13" s="40">
        <f t="shared" si="14"/>
        <v>156.09063524999999</v>
      </c>
      <c r="BE13" s="40">
        <f>(AM13-AP13)</f>
        <v>1263.7795087500006</v>
      </c>
      <c r="BG13" s="11"/>
      <c r="BH13" s="11"/>
      <c r="BI13" s="11"/>
      <c r="BM13" s="13"/>
    </row>
    <row r="14" spans="1:65" s="689" customFormat="1" x14ac:dyDescent="0.3">
      <c r="A14" s="824">
        <f t="shared" si="16"/>
        <v>5.9990727862772371</v>
      </c>
      <c r="B14" s="489">
        <v>5</v>
      </c>
      <c r="C14" s="473">
        <f>SUM('Milling and Leach Feed_OLD'!P25:P27)</f>
        <v>26.016666666666666</v>
      </c>
      <c r="D14" s="473">
        <f>N14/C14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101">
        <f t="shared" si="6"/>
        <v>2.3183925811437405</v>
      </c>
      <c r="L14" s="488">
        <v>0.4</v>
      </c>
      <c r="M14" s="473">
        <f t="shared" si="0"/>
        <v>328.67600000000004</v>
      </c>
      <c r="N14" s="473">
        <f t="shared" si="11"/>
        <v>266.98580000000004</v>
      </c>
      <c r="O14" s="489">
        <v>1.27</v>
      </c>
      <c r="P14" s="489">
        <v>2</v>
      </c>
      <c r="Q14" s="488">
        <v>0.41</v>
      </c>
      <c r="R14" s="820">
        <v>1.28</v>
      </c>
      <c r="S14" s="473">
        <f>$S$10</f>
        <v>107.85</v>
      </c>
      <c r="T14" s="473">
        <f t="shared" si="1"/>
        <v>56.599679999999999</v>
      </c>
      <c r="U14" s="473">
        <f t="shared" si="2"/>
        <v>493.01400000000001</v>
      </c>
      <c r="V14" s="473">
        <f>V13+N14</f>
        <v>1503.3476802499999</v>
      </c>
      <c r="W14" s="820">
        <f>AVERAGE('Milling and Leach Feed_OLD'!T25:T27)</f>
        <v>0.58733333333333337</v>
      </c>
      <c r="X14" s="820">
        <f>AVERAGE('Milling and Leach Feed_OLD'!U25:U27)</f>
        <v>0.49666666666666665</v>
      </c>
      <c r="Y14" s="820">
        <f>AVERAGE('Milling and Leach Feed_OLD'!V25:V27)</f>
        <v>9.0411111111111087</v>
      </c>
      <c r="Z14" s="820">
        <f>SUM('Milling and Leach Feed_OLD'!W25:W27)/'Au Cal Leaching Tank'!$N$14</f>
        <v>0.61464225438206821</v>
      </c>
      <c r="AA14" s="820">
        <f>SUM('Milling and Leach Feed_OLD'!X25:X27)/'Au Cal Leaching Tank'!$N$14</f>
        <v>0.52218902278697976</v>
      </c>
      <c r="AB14" s="820">
        <f>SUM('Milling and Leach Feed_OLD'!Y25:Y27)/'Au Cal Leaching Tank'!$N$14</f>
        <v>8.950932119486005</v>
      </c>
      <c r="AC14" s="820">
        <f>Z14-W14</f>
        <v>2.7308921048734836E-2</v>
      </c>
      <c r="AD14" s="822">
        <f>((Z14-W14)/(Z14+W14)/2)</f>
        <v>1.1360014848821088E-2</v>
      </c>
      <c r="AE14" s="820">
        <f>AVERAGE('LT Floculation'!R28:R33)</f>
        <v>0.12466666666666666</v>
      </c>
      <c r="AF14" s="820">
        <f>AVERAGE('LT Floculation'!S28:S33)</f>
        <v>0.37833333333333335</v>
      </c>
      <c r="AG14" s="820">
        <f>AVERAGE('LT Floculation'!T28:T33)</f>
        <v>7.5183333333333335</v>
      </c>
      <c r="AH14" s="489">
        <v>2.5999999999999999E-2</v>
      </c>
      <c r="AI14" s="489"/>
      <c r="AJ14" s="489"/>
      <c r="AK14" s="473">
        <f t="shared" si="17"/>
        <v>156.80965986666669</v>
      </c>
      <c r="AL14" s="473">
        <f t="shared" si="18"/>
        <v>132.60294733333336</v>
      </c>
      <c r="AM14" s="473">
        <f t="shared" si="19"/>
        <v>2413.8482828888887</v>
      </c>
      <c r="AN14" s="473">
        <f>AE14*$N14</f>
        <v>33.284229733333341</v>
      </c>
      <c r="AO14" s="473">
        <f t="shared" si="20"/>
        <v>101.00962766666669</v>
      </c>
      <c r="AP14" s="473">
        <f t="shared" si="20"/>
        <v>2007.2882396666671</v>
      </c>
      <c r="AQ14" s="473">
        <f>AH14*U14</f>
        <v>12.818363999999999</v>
      </c>
      <c r="AR14" s="473">
        <v>5</v>
      </c>
      <c r="AS14" s="822">
        <f>IFERROR(((AK14-(AN14+AQ14))/AK14),"")</f>
        <v>0.70599646876006361</v>
      </c>
      <c r="AT14" s="822">
        <f t="shared" si="22"/>
        <v>0.23825503355704697</v>
      </c>
      <c r="AU14" s="822">
        <f t="shared" si="23"/>
        <v>0.16842816762934718</v>
      </c>
      <c r="AV14" s="823">
        <v>2</v>
      </c>
      <c r="AW14" s="823"/>
      <c r="AX14" s="1164">
        <v>1.5</v>
      </c>
      <c r="AY14" s="473">
        <f>(BC10+BC12+BC14)/AX14</f>
        <v>370.47246176347221</v>
      </c>
      <c r="AZ14" s="473">
        <f>(BD10+BD12+BD14)/AX14</f>
        <v>191.08081227632888</v>
      </c>
      <c r="BA14" s="473">
        <f>(BE10+BE12+BE14)/AX14</f>
        <v>466.78300495627326</v>
      </c>
      <c r="BB14" s="473">
        <v>5</v>
      </c>
      <c r="BC14" s="473">
        <f t="shared" si="9"/>
        <v>110.70706613333334</v>
      </c>
      <c r="BD14" s="473">
        <f t="shared" ref="BD14" si="24">(AL14-AO14)</f>
        <v>31.593319666666673</v>
      </c>
      <c r="BE14" s="473">
        <f t="shared" ref="BE14" si="25">(AM14-AP14)</f>
        <v>406.56004322222157</v>
      </c>
      <c r="BG14" s="827"/>
      <c r="BH14" s="827"/>
      <c r="BI14" s="827"/>
    </row>
    <row r="15" spans="1:65" x14ac:dyDescent="0.3">
      <c r="A15" s="44">
        <f t="shared" si="16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2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 t="shared" ref="AD15:AD20" si="26"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7">$N15*W15</f>
        <v>159.59634800937499</v>
      </c>
      <c r="AL15" s="40">
        <f t="shared" ref="AL15" si="28">$N15*X15</f>
        <v>185.15300318750002</v>
      </c>
      <c r="AM15" s="40">
        <f t="shared" ref="AM15" si="29">$N15*Y15</f>
        <v>2099.9397967500004</v>
      </c>
      <c r="AN15" s="40">
        <f>AE15*$N15</f>
        <v>12.051105693750003</v>
      </c>
      <c r="AO15" s="40">
        <f t="shared" ref="AO15" si="30">AF15*$N15</f>
        <v>65.934785175000002</v>
      </c>
      <c r="AP15" s="40">
        <f t="shared" ref="AP15" si="31">AG15*$N15</f>
        <v>2050.0731525000001</v>
      </c>
      <c r="AQ15" s="40">
        <f t="shared" si="13"/>
        <v>12.184820999999996</v>
      </c>
      <c r="AR15" s="40">
        <v>6</v>
      </c>
      <c r="AS15" s="39">
        <f t="shared" si="21"/>
        <v>0.84814234789178045</v>
      </c>
      <c r="AT15" s="39">
        <f t="shared" si="22"/>
        <v>0.64389027431421453</v>
      </c>
      <c r="AU15" s="39">
        <f t="shared" si="23"/>
        <v>2.3746701846965819E-2</v>
      </c>
      <c r="AV15" s="232">
        <v>3</v>
      </c>
      <c r="AW15" s="232"/>
      <c r="AX15" s="1165">
        <v>1.5</v>
      </c>
      <c r="AY15" s="40">
        <f>(BC11+BC13+BC15)/$AX$15</f>
        <v>371.06073718541666</v>
      </c>
      <c r="AZ15" s="40">
        <f t="shared" ref="AZ15:BA15" si="32">(BD11+BD13+BD15)/$AX$15</f>
        <v>292.25739206388891</v>
      </c>
      <c r="BA15" s="40">
        <f t="shared" si="32"/>
        <v>1015.5525292685193</v>
      </c>
      <c r="BB15" s="40">
        <v>6</v>
      </c>
      <c r="BC15" s="40">
        <f t="shared" si="9"/>
        <v>135.36042131562499</v>
      </c>
      <c r="BD15" s="40">
        <f t="shared" ref="BD15" si="33">(AL15-AO15)</f>
        <v>119.21821801250002</v>
      </c>
      <c r="BE15" s="40">
        <f t="shared" ref="BE15" si="34">(AM15-AP15)</f>
        <v>49.866644250000263</v>
      </c>
      <c r="BM15" s="13"/>
    </row>
    <row r="16" spans="1:65" s="622" customFormat="1" x14ac:dyDescent="0.3">
      <c r="A16" s="824">
        <f>J16/S16</f>
        <v>6.9995363931386185</v>
      </c>
      <c r="B16" s="489">
        <v>7</v>
      </c>
      <c r="C16" s="473">
        <f>SUM('Milling and Leach Feed'!P35:P37)-4.5</f>
        <v>29.5</v>
      </c>
      <c r="D16" s="473">
        <f>N16/C16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101">
        <f t="shared" si="6"/>
        <v>1.9870181480990861</v>
      </c>
      <c r="L16" s="488">
        <v>0.33</v>
      </c>
      <c r="M16" s="473">
        <f t="shared" si="0"/>
        <v>302.67715500000003</v>
      </c>
      <c r="N16" s="473">
        <f t="shared" si="11"/>
        <v>246.07747500000002</v>
      </c>
      <c r="O16" s="489">
        <v>1.2150000000000001</v>
      </c>
      <c r="P16" s="489">
        <v>2</v>
      </c>
      <c r="Q16" s="488">
        <v>0.33</v>
      </c>
      <c r="R16" s="820">
        <v>1.21</v>
      </c>
      <c r="S16" s="473">
        <f>$S$10</f>
        <v>107.85</v>
      </c>
      <c r="T16" s="473">
        <f>S16*R16*Q16</f>
        <v>43.064504999999997</v>
      </c>
      <c r="U16" s="473">
        <f t="shared" ref="U16:U63" si="35">IFERROR(M16*((1-L16)/L16),"")</f>
        <v>614.52634499999988</v>
      </c>
      <c r="V16" s="473">
        <f>V15+N16</f>
        <v>2026.46206775</v>
      </c>
      <c r="W16" s="820">
        <f>AVERAGE('LT Ball Mill'!F67:F75)</f>
        <v>0.53555555555555556</v>
      </c>
      <c r="X16" s="820">
        <f>AVERAGE('LT Ball Mill'!G67:G75)</f>
        <v>0.53555555555555556</v>
      </c>
      <c r="Y16" s="820">
        <f>AVERAGE('LT Ball Mill'!H67:H75)</f>
        <v>9.8144444444444439</v>
      </c>
      <c r="Z16" s="820">
        <f>SUM('Milling and Leach Feed'!W35:W37)/'Au Cal Leaching Tank'!$N$16</f>
        <v>0.53551430920996723</v>
      </c>
      <c r="AA16" s="820">
        <f>SUM('Milling and Leach Feed'!X35:X37)/'Au Cal Leaching Tank'!$N$16</f>
        <v>0.53535747175133896</v>
      </c>
      <c r="AB16" s="820">
        <f>SUM('Milling and Leach Feed'!Y35:Y37)/'Au Cal Leaching Tank'!$N$16</f>
        <v>9.8379070566382776</v>
      </c>
      <c r="AC16" s="820">
        <f>W16-Z16</f>
        <v>4.1246345588330513E-5</v>
      </c>
      <c r="AD16" s="822">
        <f t="shared" si="26"/>
        <v>1.9254740958172747E-5</v>
      </c>
      <c r="AE16" s="820">
        <f>'LT Floculation'!G12</f>
        <v>0.10016666666666667</v>
      </c>
      <c r="AF16" s="820">
        <f>AVERAGE('LT Floculation'!S43:S45)</f>
        <v>0.1466666666666667</v>
      </c>
      <c r="AG16" s="820">
        <f>'LT Floculation'!I12</f>
        <v>8.1666666666666661</v>
      </c>
      <c r="AH16" s="489">
        <v>2.1999999999999999E-2</v>
      </c>
      <c r="AI16" s="620"/>
      <c r="AJ16" s="620"/>
      <c r="AK16" s="675">
        <f>$N16*W16</f>
        <v>131.78815883333334</v>
      </c>
      <c r="AL16" s="675">
        <f t="shared" ref="AL16:AL18" si="36">$N16*X16</f>
        <v>131.78815883333334</v>
      </c>
      <c r="AM16" s="675">
        <f t="shared" ref="AM16:AM17" si="37">$N16*Y16</f>
        <v>2415.1137074166668</v>
      </c>
      <c r="AN16" s="675">
        <f t="shared" ref="AN16:AN18" si="38">AE16*$N16</f>
        <v>24.648760412500003</v>
      </c>
      <c r="AO16" s="675">
        <f>AF16*$N16</f>
        <v>36.091363000000008</v>
      </c>
      <c r="AP16" s="675">
        <f t="shared" ref="AP16:AP18" si="39">AG16*$N16</f>
        <v>2009.6327125</v>
      </c>
      <c r="AQ16" s="675">
        <f t="shared" si="13"/>
        <v>13.519579589999996</v>
      </c>
      <c r="AR16" s="473">
        <v>7</v>
      </c>
      <c r="AS16" s="822">
        <f>IFERROR(((AK16-(AN16+AQ16))/AK16),"")</f>
        <v>0.71038111207874288</v>
      </c>
      <c r="AT16" s="822">
        <f>IFERROR((AL16-AO16)/AL16,"")</f>
        <v>0.72614107883817425</v>
      </c>
      <c r="AU16" s="822">
        <f t="shared" si="23"/>
        <v>0.16789312804256767</v>
      </c>
      <c r="AV16" s="984">
        <v>2</v>
      </c>
      <c r="AW16" s="984"/>
      <c r="AX16" s="489">
        <v>1.5</v>
      </c>
      <c r="AY16" s="675">
        <f>(BC12+BC14+BC16+BC10)/AX16</f>
        <v>432.88567431736118</v>
      </c>
      <c r="AZ16" s="675">
        <f t="shared" ref="AZ16" si="40">(BD12+BD14+BD16)/AX16</f>
        <v>177.62291254500005</v>
      </c>
      <c r="BA16" s="675">
        <f t="shared" ref="BA16" si="41">(BE12+BE14+BE16)/AX16</f>
        <v>564.36975051759293</v>
      </c>
      <c r="BB16" s="828">
        <v>7</v>
      </c>
      <c r="BC16" s="675">
        <f t="shared" ref="BC16" si="42">(AK16-AN16-AQ16)</f>
        <v>93.619818830833353</v>
      </c>
      <c r="BD16" s="675">
        <f t="shared" ref="BD16:BD18" si="43">(AL16-AO16)</f>
        <v>95.69679583333334</v>
      </c>
      <c r="BE16" s="675">
        <f t="shared" ref="BE16:BE17" si="44">(AM16-AP16)</f>
        <v>405.48099491666676</v>
      </c>
      <c r="BM16" s="689"/>
    </row>
    <row r="17" spans="1:65" x14ac:dyDescent="0.3">
      <c r="A17" s="44">
        <f t="shared" si="16"/>
        <v>8.99397311080204</v>
      </c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2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5">$S$10</f>
        <v>107.85</v>
      </c>
      <c r="T17" s="40">
        <f>S17*R17*Q17</f>
        <v>46.2406875</v>
      </c>
      <c r="U17" s="40">
        <f t="shared" si="35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 t="shared" si="26"/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6">$N17*W17</f>
        <v>213.72718376166662</v>
      </c>
      <c r="AL17" s="40">
        <f t="shared" si="36"/>
        <v>215.00625781666668</v>
      </c>
      <c r="AM17" s="40">
        <f t="shared" si="37"/>
        <v>3792.4545730749996</v>
      </c>
      <c r="AN17" s="40">
        <f t="shared" si="38"/>
        <v>21.520928544444445</v>
      </c>
      <c r="AO17" s="40">
        <f t="shared" ref="AO17:AO18" si="47">AF17*$N17</f>
        <v>141.71328418888888</v>
      </c>
      <c r="AP17" s="40">
        <f t="shared" si="39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2"/>
        <v>0.3408876298394713</v>
      </c>
      <c r="AU17" s="39">
        <f t="shared" si="23"/>
        <v>1.710431221392425E-2</v>
      </c>
      <c r="AV17" s="985">
        <v>3</v>
      </c>
      <c r="AW17" s="985"/>
      <c r="AX17" s="14">
        <v>1.5</v>
      </c>
      <c r="AY17" s="40">
        <f>(BC13+BC15+BC17+BC11)/$AX$17</f>
        <v>485.13944866356474</v>
      </c>
      <c r="AZ17" s="40">
        <f t="shared" ref="AZ17:BA17" si="48">(BD13+BD15+BD17+BD11)/$AX$17</f>
        <v>341.11937448240747</v>
      </c>
      <c r="BA17" s="40">
        <f t="shared" si="48"/>
        <v>1058.7974139851856</v>
      </c>
      <c r="BB17" s="941">
        <v>8</v>
      </c>
      <c r="BC17" s="40">
        <f>(AK17-AN17-AQ17)</f>
        <v>171.11806721722218</v>
      </c>
      <c r="BD17" s="40">
        <f t="shared" si="43"/>
        <v>73.292973627777798</v>
      </c>
      <c r="BE17" s="40">
        <f t="shared" si="44"/>
        <v>64.867327074999594</v>
      </c>
      <c r="BM17" s="13"/>
    </row>
    <row r="18" spans="1:65" s="622" customFormat="1" x14ac:dyDescent="0.3">
      <c r="A18" s="824">
        <f t="shared" si="16"/>
        <v>9.4204914232730648</v>
      </c>
      <c r="B18" s="489">
        <v>9</v>
      </c>
      <c r="C18" s="473">
        <f>SUM('Milling and Leach Feed'!P42:P45)</f>
        <v>39.083333333333336</v>
      </c>
      <c r="D18" s="473">
        <f>N18/C18</f>
        <v>12.103970021321961</v>
      </c>
      <c r="E18" s="489">
        <v>2</v>
      </c>
      <c r="F18" s="640">
        <v>46285</v>
      </c>
      <c r="G18" s="819">
        <v>0.1388888888888889</v>
      </c>
      <c r="H18" s="900">
        <v>46286</v>
      </c>
      <c r="I18" s="819">
        <v>0.33333333333333331</v>
      </c>
      <c r="J18" s="489">
        <v>1016</v>
      </c>
      <c r="K18" s="1101">
        <f t="shared" si="6"/>
        <v>1.4763779527559056</v>
      </c>
      <c r="L18" s="488">
        <v>0.4</v>
      </c>
      <c r="M18" s="473">
        <f t="shared" si="0"/>
        <v>516.12800000000004</v>
      </c>
      <c r="N18" s="473">
        <f>M18-T16</f>
        <v>473.06349500000005</v>
      </c>
      <c r="O18" s="489">
        <v>1.27</v>
      </c>
      <c r="P18" s="489">
        <v>2</v>
      </c>
      <c r="Q18" s="488">
        <v>0.31</v>
      </c>
      <c r="R18" s="820">
        <v>1.2</v>
      </c>
      <c r="S18" s="473">
        <f t="shared" si="45"/>
        <v>107.85</v>
      </c>
      <c r="T18" s="473">
        <f>S18*R18*Q18</f>
        <v>40.120199999999997</v>
      </c>
      <c r="U18" s="675">
        <f t="shared" si="35"/>
        <v>774.19199999999989</v>
      </c>
      <c r="V18" s="473">
        <f>V17+N18</f>
        <v>2864.9752927499999</v>
      </c>
      <c r="W18" s="820">
        <f>AVERAGE('Milling and Leach Feed'!T42:T45)</f>
        <v>0.60575000000000001</v>
      </c>
      <c r="X18" s="820">
        <f>AVERAGE('Milling and Leach Feed'!U42:U45)</f>
        <v>0.86333333333333329</v>
      </c>
      <c r="Y18" s="820">
        <f>AVERAGE('Milling and Leach Feed'!V42:V45)</f>
        <v>14.675833333333332</v>
      </c>
      <c r="Z18" s="820">
        <f>SUM('Milling and Leach Feed'!W42:W45)/$N$18</f>
        <v>0.61348902249025417</v>
      </c>
      <c r="AA18" s="820">
        <f>SUM('Milling and Leach Feed'!X42:X45)/$N$18</f>
        <v>0.87456041508519555</v>
      </c>
      <c r="AB18" s="820">
        <f>SUM('Milling and Leach Feed'!Y42:Y45)/$N$18</f>
        <v>14.881153822712584</v>
      </c>
      <c r="AC18" s="820">
        <f>Z18-W18</f>
        <v>7.7390224902541549E-3</v>
      </c>
      <c r="AD18" s="1031">
        <f t="shared" si="26"/>
        <v>-3.1737101370195096E-3</v>
      </c>
      <c r="AE18" s="820">
        <f>'LT Floculation'!G14</f>
        <v>0.1028</v>
      </c>
      <c r="AF18" s="820">
        <f>'LT Floculation'!H14</f>
        <v>0.40700000000000003</v>
      </c>
      <c r="AG18" s="820">
        <f>'LT Floculation'!I14</f>
        <v>14.752000000000001</v>
      </c>
      <c r="AH18" s="489">
        <v>1.7000000000000001E-2</v>
      </c>
      <c r="AI18" s="620"/>
      <c r="AJ18" s="620"/>
      <c r="AK18" s="675">
        <f t="shared" si="46"/>
        <v>286.55821209625003</v>
      </c>
      <c r="AL18" s="675">
        <f t="shared" si="36"/>
        <v>408.41148401666669</v>
      </c>
      <c r="AM18" s="675">
        <f>$N18*AB18</f>
        <v>7039.7306370050255</v>
      </c>
      <c r="AN18" s="675">
        <f t="shared" si="38"/>
        <v>48.630927286000009</v>
      </c>
      <c r="AO18" s="675">
        <f t="shared" si="47"/>
        <v>192.53684246500003</v>
      </c>
      <c r="AP18" s="675">
        <f t="shared" si="39"/>
        <v>6978.632678240001</v>
      </c>
      <c r="AQ18" s="675">
        <f>IFERROR(AH18*U18,"")</f>
        <v>13.161263999999999</v>
      </c>
      <c r="AR18" s="473">
        <v>9</v>
      </c>
      <c r="AS18" s="822">
        <f>IFERROR(((AK18-(AN18+AQ18))/AK18),"")</f>
        <v>0.78436426290500083</v>
      </c>
      <c r="AT18" s="822">
        <f t="shared" si="22"/>
        <v>0.52857142857142847</v>
      </c>
      <c r="AU18" s="822">
        <f t="shared" si="23"/>
        <v>8.6790193993868392E-3</v>
      </c>
      <c r="AV18" s="984">
        <v>2</v>
      </c>
      <c r="AW18" s="984"/>
      <c r="AX18" s="489">
        <v>1.5</v>
      </c>
      <c r="AY18" s="473">
        <f>(BC10+BC12+BC14+BC16+BC18)/$AX$18</f>
        <v>582.72968819086111</v>
      </c>
      <c r="AZ18" s="473">
        <f>(BD10+BD12+BD14+BD16+BD18)/$AX$18</f>
        <v>398.79510386632887</v>
      </c>
      <c r="BA18" s="473">
        <f>(BE10+BE12+BE14+BE16+BE18)/$AX$18</f>
        <v>777.8356407440674</v>
      </c>
      <c r="BB18" s="986">
        <v>9</v>
      </c>
      <c r="BC18" s="675">
        <f>IFERROR((AK18-AN18-AQ18),"")</f>
        <v>224.76602081025004</v>
      </c>
      <c r="BD18" s="675">
        <f t="shared" si="43"/>
        <v>215.87464155166666</v>
      </c>
      <c r="BE18" s="675">
        <f>(AM18-AP18)</f>
        <v>61.097958765024487</v>
      </c>
    </row>
    <row r="19" spans="1:65" x14ac:dyDescent="0.3">
      <c r="A19" s="44">
        <f t="shared" si="16"/>
        <v>9.0740740740740744</v>
      </c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2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41">
        <v>0.35</v>
      </c>
      <c r="R19" s="14">
        <v>1.23</v>
      </c>
      <c r="S19" s="14">
        <v>108</v>
      </c>
      <c r="T19" s="40">
        <f>S19*R19*Q19</f>
        <v>46.494</v>
      </c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 t="shared" si="26"/>
        <v>1.2612816971920186E-2</v>
      </c>
      <c r="AE19" s="134">
        <f>'LT Floculation'!G15</f>
        <v>0.13188888888888889</v>
      </c>
      <c r="AF19" s="134">
        <f>'LT Floculation'!H15</f>
        <v>0.46888888888888886</v>
      </c>
      <c r="AG19" s="134">
        <f>'LT Floculation'!I15</f>
        <v>17.484444444444446</v>
      </c>
      <c r="AH19" s="14">
        <v>2.1000000000000001E-2</v>
      </c>
      <c r="AI19" s="6"/>
      <c r="AJ19" s="6"/>
      <c r="AK19" s="40">
        <f t="shared" ref="AK19:AK20" si="49">$N19*W19</f>
        <v>321.66290800000007</v>
      </c>
      <c r="AL19" s="40">
        <f t="shared" ref="AL19" si="50">$N19*X19</f>
        <v>443.62181500000008</v>
      </c>
      <c r="AM19" s="40">
        <f>$N19*AB19</f>
        <v>6962.7468721696796</v>
      </c>
      <c r="AN19" s="40">
        <f t="shared" ref="AN19:AN20" si="51">AE19*$N19</f>
        <v>51.366411104166673</v>
      </c>
      <c r="AO19" s="40">
        <f t="shared" ref="AO19:AO20" si="52">AF19*$N19</f>
        <v>182.61689541666667</v>
      </c>
      <c r="AP19" s="40">
        <f t="shared" ref="AP19:AP20" si="53">AG19*$N19</f>
        <v>6809.6195883333348</v>
      </c>
      <c r="AQ19" s="40">
        <f>IFERROR(AH19*U19,"")</f>
        <v>16.266432000000002</v>
      </c>
      <c r="AR19" s="40">
        <v>10</v>
      </c>
      <c r="AS19" s="39">
        <f>IFERROR(((AK19-(AN19+AQ19))/AK19),"")</f>
        <v>0.78973999978832909</v>
      </c>
      <c r="AT19" s="39">
        <f t="shared" si="22"/>
        <v>0.58835005574136012</v>
      </c>
      <c r="AU19" s="39">
        <f t="shared" si="23"/>
        <v>2.1992366898816812E-2</v>
      </c>
      <c r="AV19" s="985">
        <v>3</v>
      </c>
      <c r="AW19" s="985"/>
      <c r="AX19" s="14">
        <v>1.5</v>
      </c>
      <c r="AY19" s="40">
        <f>(BC11+BC13+BC15+BC17+BC19)/$AX$19</f>
        <v>654.49282526078707</v>
      </c>
      <c r="AZ19" s="40">
        <f t="shared" ref="AZ19" si="54">(BD11+BD13+BD15+BD17+BD19)/$AX$19</f>
        <v>515.12265420462973</v>
      </c>
      <c r="BA19" s="40">
        <f>(BE11+BE13+BE15+BE17+BE19)/$AX$19</f>
        <v>1160.8822698760821</v>
      </c>
      <c r="BB19" s="941">
        <v>10</v>
      </c>
      <c r="BC19" s="40">
        <f>IFERROR((AK19-AN19-AQ19),"")</f>
        <v>254.03006489583339</v>
      </c>
      <c r="BD19" s="40">
        <f t="shared" ref="BD19" si="55">(AL19-AO19)</f>
        <v>261.00491958333339</v>
      </c>
      <c r="BE19" s="40">
        <f>(AM19-AP19)</f>
        <v>153.12728383634476</v>
      </c>
    </row>
    <row r="20" spans="1:65" s="957" customFormat="1" x14ac:dyDescent="0.3">
      <c r="A20" s="824">
        <f>J20/S20</f>
        <v>8.4907407407407405</v>
      </c>
      <c r="B20" s="453">
        <v>11</v>
      </c>
      <c r="C20" s="675">
        <f>SUM('Milling and Leach Feed'!P56:P58)+5.5</f>
        <v>26.816666666666666</v>
      </c>
      <c r="D20" s="675">
        <f>N20/C20</f>
        <v>13.224921068986946</v>
      </c>
      <c r="E20" s="453">
        <v>2</v>
      </c>
      <c r="F20" s="1147">
        <v>46291</v>
      </c>
      <c r="G20" s="1148">
        <v>0.52083333333333337</v>
      </c>
      <c r="H20" s="958">
        <v>46292</v>
      </c>
      <c r="I20" s="1148">
        <v>0.625</v>
      </c>
      <c r="J20" s="453">
        <v>917</v>
      </c>
      <c r="K20" s="1149">
        <f t="shared" si="6"/>
        <v>1.6357688113413305</v>
      </c>
      <c r="L20" s="1150">
        <v>0.35</v>
      </c>
      <c r="M20" s="675">
        <f t="shared" si="0"/>
        <v>394.76849999999996</v>
      </c>
      <c r="N20" s="675">
        <f>M20-T18</f>
        <v>354.64829999999995</v>
      </c>
      <c r="O20" s="453">
        <v>1.23</v>
      </c>
      <c r="P20" s="453">
        <v>2</v>
      </c>
      <c r="Q20" s="453"/>
      <c r="R20" s="453"/>
      <c r="S20" s="453">
        <v>108</v>
      </c>
      <c r="T20" s="454"/>
      <c r="U20" s="675">
        <f t="shared" si="35"/>
        <v>733.14150000000006</v>
      </c>
      <c r="V20" s="675">
        <f>V19+N20</f>
        <v>3609.0909052499997</v>
      </c>
      <c r="W20" s="1154">
        <f>AVERAGE('Milling and Leach Feed'!T55:T59)</f>
        <v>0.7294666666666666</v>
      </c>
      <c r="X20" s="1154">
        <f>AVERAGE('Milling and Leach Feed'!U55:U59)</f>
        <v>1.3033333333333335</v>
      </c>
      <c r="Y20" s="1154">
        <f>AVERAGE('Milling and Leach Feed'!V55:V59)</f>
        <v>18.880000000000003</v>
      </c>
      <c r="Z20" s="1154">
        <f>SUM('Milling and Leach Feed'!W55:W59)/'Au Cal Leaching Tank'!$N$20</f>
        <v>0.68413819284746402</v>
      </c>
      <c r="AA20" s="1154">
        <f>SUM('Milling and Leach Feed'!X55:X58)/'Au Cal Leaching Tank'!$N$20</f>
        <v>1.4868757002764379</v>
      </c>
      <c r="AB20" s="1154">
        <f>SUM('Milling and Leach Feed'!Y55:Y58)/'Au Cal Leaching Tank'!$N$20</f>
        <v>17.856298210974828</v>
      </c>
      <c r="AC20" s="1154">
        <f>W20-Z20</f>
        <v>4.5328473819202575E-2</v>
      </c>
      <c r="AD20" s="1031">
        <f t="shared" si="26"/>
        <v>1.6032936472354233E-2</v>
      </c>
      <c r="AE20" s="1156">
        <v>0.16700000000000001</v>
      </c>
      <c r="AF20" s="1134">
        <v>1.26</v>
      </c>
      <c r="AG20" s="1134">
        <v>17.43</v>
      </c>
      <c r="AH20" s="1136">
        <v>3.6999999999999998E-2</v>
      </c>
      <c r="AI20" s="454"/>
      <c r="AJ20" s="454"/>
      <c r="AK20" s="675">
        <f t="shared" si="49"/>
        <v>258.70411323999991</v>
      </c>
      <c r="AL20" s="675">
        <f t="shared" ref="AL20" si="56">$N20*X20</f>
        <v>462.22495099999998</v>
      </c>
      <c r="AM20" s="675">
        <f>$N20*AB20</f>
        <v>6332.705804815263</v>
      </c>
      <c r="AN20" s="675">
        <f t="shared" si="51"/>
        <v>59.226266099999997</v>
      </c>
      <c r="AO20" s="675">
        <f t="shared" si="52"/>
        <v>446.85685799999993</v>
      </c>
      <c r="AP20" s="675">
        <f t="shared" si="53"/>
        <v>6181.5198689999988</v>
      </c>
      <c r="AQ20" s="675">
        <f>IFERROR(AH20*U20,"")</f>
        <v>27.1262355</v>
      </c>
      <c r="AR20" s="675">
        <v>11</v>
      </c>
      <c r="AS20" s="1031">
        <f t="shared" si="21"/>
        <v>0.66621133108969655</v>
      </c>
      <c r="AT20" s="1031">
        <f>IFERROR((AL20-AO20)/AL20,"")</f>
        <v>3.3248081841432325E-2</v>
      </c>
      <c r="AU20" s="1031">
        <f t="shared" ref="AU20" si="57">IFERROR((AM20-AP20)/AM20,"")</f>
        <v>2.3873829051130946E-2</v>
      </c>
      <c r="AV20" s="1032">
        <v>2</v>
      </c>
      <c r="AW20" s="1032"/>
      <c r="AX20" s="453">
        <v>1.5</v>
      </c>
      <c r="AY20" s="675">
        <f>(BC10+BC12+BC14++BC16+BC18+BC20)/$AX$20</f>
        <v>697.63076261752769</v>
      </c>
      <c r="AZ20" s="675">
        <f t="shared" ref="AZ20:BA20" si="58">(BD10+BD12+BD14++BD16+BD18+BD20)/$AX$20</f>
        <v>409.04049919966224</v>
      </c>
      <c r="BA20" s="675">
        <f t="shared" si="58"/>
        <v>878.62626462091021</v>
      </c>
      <c r="BB20" s="1133">
        <v>11</v>
      </c>
      <c r="BC20" s="675">
        <f>IFERROR((AK20-AN20-AQ20),"")</f>
        <v>172.3516116399999</v>
      </c>
      <c r="BD20" s="675">
        <f t="shared" ref="BD20:BD59" si="59">(AL20-AO20)</f>
        <v>15.368093000000044</v>
      </c>
      <c r="BE20" s="675">
        <f t="shared" ref="BE20:BE59" si="60">(AM20-AP20)</f>
        <v>151.1859358152642</v>
      </c>
      <c r="BH20" s="1034"/>
      <c r="BI20" s="1034"/>
      <c r="BJ20" s="1034"/>
    </row>
    <row r="21" spans="1:65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5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1"/>
        <v/>
      </c>
      <c r="AT21" s="39" t="str">
        <f t="shared" si="22"/>
        <v/>
      </c>
      <c r="AU21" s="39" t="str">
        <f t="shared" si="23"/>
        <v/>
      </c>
      <c r="AV21" s="985">
        <v>3</v>
      </c>
      <c r="AW21" s="985"/>
      <c r="AX21" s="14">
        <v>1.5</v>
      </c>
      <c r="AY21" s="6"/>
      <c r="AZ21" s="6"/>
      <c r="BA21" s="216"/>
      <c r="BB21" s="941">
        <v>12</v>
      </c>
      <c r="BC21" s="40">
        <f t="shared" ref="BC21:BC59" si="61">IFERROR((AK21-AN21-AQ21),"")</f>
        <v>0</v>
      </c>
      <c r="BD21" s="40">
        <f t="shared" si="59"/>
        <v>0</v>
      </c>
      <c r="BE21" s="40">
        <f t="shared" si="60"/>
        <v>0</v>
      </c>
    </row>
    <row r="22" spans="1:65" s="957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4"/>
      <c r="N22" s="454"/>
      <c r="O22" s="453"/>
      <c r="P22" s="453">
        <v>2</v>
      </c>
      <c r="Q22" s="453"/>
      <c r="R22" s="453"/>
      <c r="S22" s="454"/>
      <c r="T22" s="454"/>
      <c r="U22" s="675" t="str">
        <f t="shared" si="35"/>
        <v/>
      </c>
      <c r="V22" s="454"/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675">
        <v>13</v>
      </c>
      <c r="AS22" s="1031" t="str">
        <f t="shared" si="21"/>
        <v/>
      </c>
      <c r="AT22" s="1031" t="str">
        <f t="shared" si="22"/>
        <v/>
      </c>
      <c r="AU22" s="1031" t="str">
        <f t="shared" si="23"/>
        <v/>
      </c>
      <c r="AV22" s="1032">
        <v>2</v>
      </c>
      <c r="AW22" s="1032"/>
      <c r="AX22" s="453">
        <v>1.5</v>
      </c>
      <c r="AY22" s="454"/>
      <c r="AZ22" s="454"/>
      <c r="BA22" s="1033"/>
      <c r="BB22" s="1033"/>
      <c r="BC22" s="675">
        <f t="shared" si="61"/>
        <v>0</v>
      </c>
      <c r="BD22" s="675">
        <f t="shared" si="59"/>
        <v>0</v>
      </c>
      <c r="BE22" s="675">
        <f t="shared" si="60"/>
        <v>0</v>
      </c>
      <c r="BH22" s="1035"/>
    </row>
    <row r="23" spans="1:65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5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1"/>
        <v/>
      </c>
      <c r="AT23" s="39" t="str">
        <f t="shared" si="22"/>
        <v/>
      </c>
      <c r="AU23" s="39" t="str">
        <f t="shared" si="23"/>
        <v/>
      </c>
      <c r="AV23" s="985">
        <v>3</v>
      </c>
      <c r="AW23" s="985"/>
      <c r="AX23" s="14">
        <v>1.5</v>
      </c>
      <c r="AY23" s="6"/>
      <c r="AZ23" s="6"/>
      <c r="BA23" s="216"/>
      <c r="BB23" s="216"/>
      <c r="BC23" s="40">
        <f t="shared" si="61"/>
        <v>0</v>
      </c>
      <c r="BD23" s="40">
        <f t="shared" si="59"/>
        <v>0</v>
      </c>
      <c r="BE23" s="40">
        <f t="shared" si="60"/>
        <v>0</v>
      </c>
    </row>
    <row r="24" spans="1:65" s="957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4"/>
      <c r="N24" s="454"/>
      <c r="O24" s="453"/>
      <c r="P24" s="453">
        <v>2</v>
      </c>
      <c r="Q24" s="453"/>
      <c r="R24" s="453"/>
      <c r="S24" s="454"/>
      <c r="T24" s="454"/>
      <c r="U24" s="675" t="str">
        <f t="shared" si="35"/>
        <v/>
      </c>
      <c r="V24" s="454"/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L24" s="454"/>
      <c r="AM24" s="454"/>
      <c r="AN24" s="454"/>
      <c r="AO24" s="454"/>
      <c r="AP24" s="454"/>
      <c r="AQ24" s="454"/>
      <c r="AR24" s="675">
        <v>15</v>
      </c>
      <c r="AS24" s="1031" t="str">
        <f t="shared" si="21"/>
        <v/>
      </c>
      <c r="AT24" s="1031" t="str">
        <f t="shared" si="22"/>
        <v/>
      </c>
      <c r="AU24" s="1031" t="str">
        <f t="shared" si="23"/>
        <v/>
      </c>
      <c r="AV24" s="1036"/>
      <c r="AW24" s="1036"/>
      <c r="AX24" s="453"/>
      <c r="AY24" s="454"/>
      <c r="AZ24" s="454"/>
      <c r="BA24" s="1033"/>
      <c r="BB24" s="1033"/>
      <c r="BC24" s="675">
        <f t="shared" si="61"/>
        <v>0</v>
      </c>
      <c r="BD24" s="675">
        <f t="shared" si="59"/>
        <v>0</v>
      </c>
      <c r="BE24" s="675">
        <f t="shared" si="60"/>
        <v>0</v>
      </c>
    </row>
    <row r="25" spans="1:65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5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1"/>
        <v/>
      </c>
      <c r="AT25" s="39" t="str">
        <f t="shared" si="22"/>
        <v/>
      </c>
      <c r="AU25" s="39" t="str">
        <f t="shared" si="23"/>
        <v/>
      </c>
      <c r="AV25" s="228"/>
      <c r="AW25" s="228"/>
      <c r="AX25" s="14"/>
      <c r="AY25" s="6"/>
      <c r="AZ25" s="6"/>
      <c r="BA25" s="216"/>
      <c r="BB25" s="216"/>
      <c r="BC25" s="40">
        <f t="shared" si="61"/>
        <v>0</v>
      </c>
      <c r="BD25" s="40">
        <f t="shared" si="59"/>
        <v>0</v>
      </c>
      <c r="BE25" s="40">
        <f t="shared" si="60"/>
        <v>0</v>
      </c>
    </row>
    <row r="26" spans="1:65" s="957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4"/>
      <c r="N26" s="454"/>
      <c r="O26" s="453"/>
      <c r="P26" s="453">
        <v>2</v>
      </c>
      <c r="Q26" s="453"/>
      <c r="R26" s="453"/>
      <c r="S26" s="454"/>
      <c r="T26" s="454"/>
      <c r="U26" s="675" t="str">
        <f t="shared" si="35"/>
        <v/>
      </c>
      <c r="V26" s="454"/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675">
        <v>17</v>
      </c>
      <c r="AS26" s="1031" t="str">
        <f t="shared" si="21"/>
        <v/>
      </c>
      <c r="AT26" s="1031" t="str">
        <f t="shared" si="22"/>
        <v/>
      </c>
      <c r="AU26" s="1031" t="str">
        <f t="shared" si="23"/>
        <v/>
      </c>
      <c r="AV26" s="1036"/>
      <c r="AW26" s="1036"/>
      <c r="AX26" s="453"/>
      <c r="AY26" s="454"/>
      <c r="AZ26" s="454"/>
      <c r="BA26" s="1033"/>
      <c r="BB26" s="1033"/>
      <c r="BC26" s="675">
        <f t="shared" si="61"/>
        <v>0</v>
      </c>
      <c r="BD26" s="675">
        <f t="shared" si="59"/>
        <v>0</v>
      </c>
      <c r="BE26" s="675">
        <f t="shared" si="60"/>
        <v>0</v>
      </c>
    </row>
    <row r="27" spans="1:65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5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1"/>
        <v/>
      </c>
      <c r="AT27" s="39" t="str">
        <f t="shared" si="22"/>
        <v/>
      </c>
      <c r="AU27" s="39" t="str">
        <f t="shared" si="23"/>
        <v/>
      </c>
      <c r="AV27" s="228"/>
      <c r="AW27" s="228"/>
      <c r="AX27" s="14"/>
      <c r="AY27" s="6"/>
      <c r="AZ27" s="6"/>
      <c r="BA27" s="216"/>
      <c r="BB27" s="216"/>
      <c r="BC27" s="40">
        <f t="shared" si="61"/>
        <v>0</v>
      </c>
      <c r="BD27" s="40">
        <f t="shared" si="59"/>
        <v>0</v>
      </c>
      <c r="BE27" s="40">
        <f t="shared" si="60"/>
        <v>0</v>
      </c>
    </row>
    <row r="28" spans="1:65" s="957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4"/>
      <c r="N28" s="454"/>
      <c r="O28" s="453"/>
      <c r="P28" s="453">
        <v>2</v>
      </c>
      <c r="Q28" s="453"/>
      <c r="R28" s="453"/>
      <c r="S28" s="454"/>
      <c r="T28" s="454"/>
      <c r="U28" s="675" t="str">
        <f t="shared" si="35"/>
        <v/>
      </c>
      <c r="V28" s="454"/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675">
        <v>19</v>
      </c>
      <c r="AS28" s="1031" t="str">
        <f t="shared" si="21"/>
        <v/>
      </c>
      <c r="AT28" s="1031" t="str">
        <f t="shared" si="22"/>
        <v/>
      </c>
      <c r="AU28" s="1031" t="str">
        <f t="shared" si="23"/>
        <v/>
      </c>
      <c r="AV28" s="1036"/>
      <c r="AW28" s="1036"/>
      <c r="AX28" s="453"/>
      <c r="AY28" s="454"/>
      <c r="AZ28" s="454"/>
      <c r="BA28" s="1033"/>
      <c r="BB28" s="1033"/>
      <c r="BC28" s="675">
        <f t="shared" si="61"/>
        <v>0</v>
      </c>
      <c r="BD28" s="675">
        <f t="shared" si="59"/>
        <v>0</v>
      </c>
      <c r="BE28" s="675">
        <f t="shared" si="60"/>
        <v>0</v>
      </c>
    </row>
    <row r="29" spans="1:65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5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1"/>
        <v/>
      </c>
      <c r="AT29" s="39" t="str">
        <f t="shared" si="22"/>
        <v/>
      </c>
      <c r="AU29" s="39" t="str">
        <f t="shared" si="23"/>
        <v/>
      </c>
      <c r="AV29" s="228"/>
      <c r="AW29" s="228"/>
      <c r="AX29" s="14"/>
      <c r="AY29" s="6"/>
      <c r="AZ29" s="6"/>
      <c r="BA29" s="216"/>
      <c r="BB29" s="216"/>
      <c r="BC29" s="40">
        <f t="shared" si="61"/>
        <v>0</v>
      </c>
      <c r="BD29" s="40">
        <f t="shared" si="59"/>
        <v>0</v>
      </c>
      <c r="BE29" s="40">
        <f t="shared" si="60"/>
        <v>0</v>
      </c>
    </row>
    <row r="30" spans="1:65" s="957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4"/>
      <c r="N30" s="454"/>
      <c r="O30" s="453"/>
      <c r="P30" s="453">
        <v>2</v>
      </c>
      <c r="Q30" s="453"/>
      <c r="R30" s="453"/>
      <c r="S30" s="454"/>
      <c r="T30" s="454"/>
      <c r="U30" s="675" t="str">
        <f t="shared" si="35"/>
        <v/>
      </c>
      <c r="V30" s="454"/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675">
        <v>21</v>
      </c>
      <c r="AS30" s="1031" t="str">
        <f t="shared" si="21"/>
        <v/>
      </c>
      <c r="AT30" s="1031" t="str">
        <f t="shared" si="22"/>
        <v/>
      </c>
      <c r="AU30" s="1031" t="str">
        <f t="shared" si="23"/>
        <v/>
      </c>
      <c r="AV30" s="1036"/>
      <c r="AW30" s="1036"/>
      <c r="AX30" s="453"/>
      <c r="AY30" s="454"/>
      <c r="AZ30" s="454"/>
      <c r="BA30" s="1033"/>
      <c r="BB30" s="1033"/>
      <c r="BC30" s="675">
        <f t="shared" si="61"/>
        <v>0</v>
      </c>
      <c r="BD30" s="675">
        <f t="shared" si="59"/>
        <v>0</v>
      </c>
      <c r="BE30" s="675">
        <f t="shared" si="60"/>
        <v>0</v>
      </c>
    </row>
    <row r="31" spans="1:65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5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1"/>
        <v/>
      </c>
      <c r="AT31" s="39" t="str">
        <f t="shared" si="22"/>
        <v/>
      </c>
      <c r="AU31" s="39" t="str">
        <f t="shared" si="23"/>
        <v/>
      </c>
      <c r="AV31" s="228"/>
      <c r="AW31" s="228"/>
      <c r="AX31" s="14"/>
      <c r="AY31" s="6"/>
      <c r="AZ31" s="6"/>
      <c r="BA31" s="216"/>
      <c r="BB31" s="216"/>
      <c r="BC31" s="40">
        <f t="shared" si="61"/>
        <v>0</v>
      </c>
      <c r="BD31" s="40">
        <f t="shared" si="59"/>
        <v>0</v>
      </c>
      <c r="BE31" s="40">
        <f t="shared" si="60"/>
        <v>0</v>
      </c>
    </row>
    <row r="32" spans="1:65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3">
        <v>2</v>
      </c>
      <c r="Q32" s="14"/>
      <c r="R32" s="14"/>
      <c r="S32" s="6"/>
      <c r="T32" s="6"/>
      <c r="U32" s="40" t="str">
        <f t="shared" si="35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1">
        <v>23</v>
      </c>
      <c r="AS32" s="39" t="str">
        <f t="shared" si="21"/>
        <v/>
      </c>
      <c r="AT32" s="39" t="str">
        <f t="shared" si="22"/>
        <v/>
      </c>
      <c r="AU32" s="39" t="str">
        <f t="shared" si="23"/>
        <v/>
      </c>
      <c r="AV32" s="228"/>
      <c r="AW32" s="228"/>
      <c r="AX32" s="14"/>
      <c r="AY32" s="6"/>
      <c r="AZ32" s="6"/>
      <c r="BA32" s="216"/>
      <c r="BB32" s="216"/>
      <c r="BC32" s="675">
        <f t="shared" si="61"/>
        <v>0</v>
      </c>
      <c r="BD32" s="675">
        <f t="shared" si="59"/>
        <v>0</v>
      </c>
      <c r="BE32" s="675">
        <f t="shared" si="60"/>
        <v>0</v>
      </c>
    </row>
    <row r="33" spans="2:57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5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1"/>
        <v/>
      </c>
      <c r="AT33" s="39" t="str">
        <f t="shared" si="22"/>
        <v/>
      </c>
      <c r="AU33" s="39" t="str">
        <f t="shared" si="23"/>
        <v/>
      </c>
      <c r="AV33" s="228"/>
      <c r="AW33" s="228"/>
      <c r="AX33" s="14"/>
      <c r="AY33" s="6"/>
      <c r="AZ33" s="6"/>
      <c r="BA33" s="216"/>
      <c r="BB33" s="216"/>
      <c r="BC33" s="40">
        <f t="shared" si="61"/>
        <v>0</v>
      </c>
      <c r="BD33" s="40">
        <f t="shared" si="59"/>
        <v>0</v>
      </c>
      <c r="BE33" s="40">
        <f t="shared" si="60"/>
        <v>0</v>
      </c>
    </row>
    <row r="34" spans="2:57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3">
        <v>2</v>
      </c>
      <c r="Q34" s="14"/>
      <c r="R34" s="14"/>
      <c r="S34" s="6"/>
      <c r="T34" s="6"/>
      <c r="U34" s="40" t="str">
        <f t="shared" si="35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1"/>
        <v/>
      </c>
      <c r="AT34" s="39" t="str">
        <f t="shared" si="22"/>
        <v/>
      </c>
      <c r="AU34" s="39" t="str">
        <f t="shared" si="23"/>
        <v/>
      </c>
      <c r="AV34" s="228"/>
      <c r="AW34" s="228"/>
      <c r="AX34" s="14"/>
      <c r="AY34" s="6"/>
      <c r="AZ34" s="6"/>
      <c r="BA34" s="216"/>
      <c r="BB34" s="216"/>
      <c r="BC34" s="675">
        <f t="shared" si="61"/>
        <v>0</v>
      </c>
      <c r="BD34" s="675">
        <f t="shared" si="59"/>
        <v>0</v>
      </c>
      <c r="BE34" s="675">
        <f t="shared" si="60"/>
        <v>0</v>
      </c>
    </row>
    <row r="35" spans="2:57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5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1"/>
        <v/>
      </c>
      <c r="AT35" s="39" t="str">
        <f t="shared" si="22"/>
        <v/>
      </c>
      <c r="AU35" s="39" t="str">
        <f t="shared" si="23"/>
        <v/>
      </c>
      <c r="AV35" s="228"/>
      <c r="AW35" s="228"/>
      <c r="AX35" s="14"/>
      <c r="AY35" s="6"/>
      <c r="AZ35" s="6"/>
      <c r="BA35" s="216"/>
      <c r="BB35" s="216"/>
      <c r="BC35" s="40">
        <f t="shared" si="61"/>
        <v>0</v>
      </c>
      <c r="BD35" s="40">
        <f t="shared" si="59"/>
        <v>0</v>
      </c>
      <c r="BE35" s="40">
        <f t="shared" si="60"/>
        <v>0</v>
      </c>
    </row>
    <row r="36" spans="2:57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3">
        <v>2</v>
      </c>
      <c r="Q36" s="14"/>
      <c r="R36" s="14"/>
      <c r="S36" s="6"/>
      <c r="T36" s="6"/>
      <c r="U36" s="40" t="str">
        <f t="shared" si="35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1"/>
        <v/>
      </c>
      <c r="AT36" s="39" t="str">
        <f t="shared" si="22"/>
        <v/>
      </c>
      <c r="AU36" s="39" t="str">
        <f t="shared" si="23"/>
        <v/>
      </c>
      <c r="AV36" s="228"/>
      <c r="AW36" s="228"/>
      <c r="AX36" s="14"/>
      <c r="AY36" s="6"/>
      <c r="AZ36" s="6"/>
      <c r="BA36" s="216"/>
      <c r="BB36" s="216"/>
      <c r="BC36" s="675">
        <f t="shared" si="61"/>
        <v>0</v>
      </c>
      <c r="BD36" s="675">
        <f t="shared" si="59"/>
        <v>0</v>
      </c>
      <c r="BE36" s="675">
        <f t="shared" si="60"/>
        <v>0</v>
      </c>
    </row>
    <row r="37" spans="2:57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5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1"/>
        <v/>
      </c>
      <c r="AT37" s="39" t="str">
        <f t="shared" si="22"/>
        <v/>
      </c>
      <c r="AU37" s="39" t="str">
        <f t="shared" si="23"/>
        <v/>
      </c>
      <c r="AV37" s="228"/>
      <c r="AW37" s="228"/>
      <c r="AX37" s="14"/>
      <c r="AY37" s="6"/>
      <c r="AZ37" s="6"/>
      <c r="BA37" s="216"/>
      <c r="BB37" s="216"/>
      <c r="BC37" s="40">
        <f t="shared" si="61"/>
        <v>0</v>
      </c>
      <c r="BD37" s="40">
        <f t="shared" si="59"/>
        <v>0</v>
      </c>
      <c r="BE37" s="40">
        <f t="shared" si="60"/>
        <v>0</v>
      </c>
    </row>
    <row r="38" spans="2:57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3">
        <v>2</v>
      </c>
      <c r="Q38" s="14"/>
      <c r="R38" s="14"/>
      <c r="S38" s="6"/>
      <c r="T38" s="6"/>
      <c r="U38" s="40" t="str">
        <f t="shared" si="35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1">
        <v>29</v>
      </c>
      <c r="AS38" s="39" t="str">
        <f t="shared" si="21"/>
        <v/>
      </c>
      <c r="AT38" s="39" t="str">
        <f t="shared" si="22"/>
        <v/>
      </c>
      <c r="AU38" s="39" t="str">
        <f t="shared" si="23"/>
        <v/>
      </c>
      <c r="AV38" s="228"/>
      <c r="AW38" s="228"/>
      <c r="AX38" s="14"/>
      <c r="AY38" s="6"/>
      <c r="AZ38" s="6"/>
      <c r="BA38" s="216"/>
      <c r="BB38" s="216"/>
      <c r="BC38" s="675">
        <f t="shared" si="61"/>
        <v>0</v>
      </c>
      <c r="BD38" s="675">
        <f t="shared" si="59"/>
        <v>0</v>
      </c>
      <c r="BE38" s="675">
        <f t="shared" si="60"/>
        <v>0</v>
      </c>
    </row>
    <row r="39" spans="2:57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5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1"/>
        <v/>
      </c>
      <c r="AT39" s="39" t="str">
        <f t="shared" si="22"/>
        <v/>
      </c>
      <c r="AU39" s="39" t="str">
        <f t="shared" si="23"/>
        <v/>
      </c>
      <c r="AV39" s="228"/>
      <c r="AW39" s="228"/>
      <c r="AX39" s="14"/>
      <c r="AY39" s="6"/>
      <c r="AZ39" s="6"/>
      <c r="BA39" s="216"/>
      <c r="BB39" s="216"/>
      <c r="BC39" s="40">
        <f t="shared" si="61"/>
        <v>0</v>
      </c>
      <c r="BD39" s="40">
        <f t="shared" si="59"/>
        <v>0</v>
      </c>
      <c r="BE39" s="40">
        <f t="shared" si="60"/>
        <v>0</v>
      </c>
    </row>
    <row r="40" spans="2:57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3">
        <v>2</v>
      </c>
      <c r="Q40" s="14"/>
      <c r="R40" s="14"/>
      <c r="S40" s="6"/>
      <c r="T40" s="6"/>
      <c r="U40" s="40" t="str">
        <f t="shared" si="35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1"/>
        <v/>
      </c>
      <c r="AT40" s="39" t="str">
        <f t="shared" si="22"/>
        <v/>
      </c>
      <c r="AU40" s="39" t="str">
        <f t="shared" si="23"/>
        <v/>
      </c>
      <c r="AV40" s="228"/>
      <c r="AW40" s="228"/>
      <c r="AX40" s="14"/>
      <c r="AY40" s="6"/>
      <c r="AZ40" s="6"/>
      <c r="BA40" s="216"/>
      <c r="BB40" s="216"/>
      <c r="BC40" s="675">
        <f t="shared" si="61"/>
        <v>0</v>
      </c>
      <c r="BD40" s="675">
        <f t="shared" si="59"/>
        <v>0</v>
      </c>
      <c r="BE40" s="675">
        <f t="shared" si="60"/>
        <v>0</v>
      </c>
    </row>
    <row r="41" spans="2:57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5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1"/>
        <v/>
      </c>
      <c r="AT41" s="39" t="str">
        <f t="shared" si="22"/>
        <v/>
      </c>
      <c r="AU41" s="39" t="str">
        <f t="shared" si="23"/>
        <v/>
      </c>
      <c r="AV41" s="228"/>
      <c r="AW41" s="228"/>
      <c r="AX41" s="14"/>
      <c r="AY41" s="6"/>
      <c r="AZ41" s="6"/>
      <c r="BA41" s="216"/>
      <c r="BB41" s="216"/>
      <c r="BC41" s="40">
        <f t="shared" si="61"/>
        <v>0</v>
      </c>
      <c r="BD41" s="40">
        <f t="shared" si="59"/>
        <v>0</v>
      </c>
      <c r="BE41" s="40">
        <f t="shared" si="60"/>
        <v>0</v>
      </c>
    </row>
    <row r="42" spans="2:57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3">
        <v>2</v>
      </c>
      <c r="Q42" s="14"/>
      <c r="R42" s="14"/>
      <c r="S42" s="6"/>
      <c r="T42" s="6"/>
      <c r="U42" s="40" t="str">
        <f t="shared" si="35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1"/>
        <v/>
      </c>
      <c r="AT42" s="39" t="str">
        <f t="shared" si="22"/>
        <v/>
      </c>
      <c r="AU42" s="39" t="str">
        <f t="shared" si="23"/>
        <v/>
      </c>
      <c r="AV42" s="228"/>
      <c r="AW42" s="228"/>
      <c r="AX42" s="14"/>
      <c r="AY42" s="6"/>
      <c r="AZ42" s="6"/>
      <c r="BA42" s="216"/>
      <c r="BB42" s="216"/>
      <c r="BC42" s="675">
        <f t="shared" si="61"/>
        <v>0</v>
      </c>
      <c r="BD42" s="675">
        <f t="shared" si="59"/>
        <v>0</v>
      </c>
      <c r="BE42" s="675">
        <f t="shared" si="60"/>
        <v>0</v>
      </c>
    </row>
    <row r="43" spans="2:57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5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1"/>
        <v/>
      </c>
      <c r="AT43" s="39" t="str">
        <f t="shared" si="22"/>
        <v/>
      </c>
      <c r="AU43" s="39" t="str">
        <f t="shared" si="23"/>
        <v/>
      </c>
      <c r="AV43" s="228"/>
      <c r="AW43" s="228"/>
      <c r="AX43" s="14"/>
      <c r="AY43" s="6"/>
      <c r="AZ43" s="6"/>
      <c r="BA43" s="216"/>
      <c r="BB43" s="216"/>
      <c r="BC43" s="40">
        <f t="shared" si="61"/>
        <v>0</v>
      </c>
      <c r="BD43" s="40">
        <f t="shared" si="59"/>
        <v>0</v>
      </c>
      <c r="BE43" s="40">
        <f t="shared" si="60"/>
        <v>0</v>
      </c>
    </row>
    <row r="44" spans="2:57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3">
        <v>2</v>
      </c>
      <c r="Q44" s="14"/>
      <c r="R44" s="14"/>
      <c r="S44" s="6"/>
      <c r="T44" s="6"/>
      <c r="U44" s="40" t="str">
        <f t="shared" si="35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1">
        <v>35</v>
      </c>
      <c r="AS44" s="39" t="str">
        <f t="shared" si="21"/>
        <v/>
      </c>
      <c r="AT44" s="39" t="str">
        <f t="shared" si="22"/>
        <v/>
      </c>
      <c r="AU44" s="39" t="str">
        <f t="shared" si="23"/>
        <v/>
      </c>
      <c r="AV44" s="228"/>
      <c r="AW44" s="228"/>
      <c r="AX44" s="14"/>
      <c r="AY44" s="6"/>
      <c r="AZ44" s="6"/>
      <c r="BA44" s="216"/>
      <c r="BB44" s="216"/>
      <c r="BC44" s="675">
        <f t="shared" si="61"/>
        <v>0</v>
      </c>
      <c r="BD44" s="675">
        <f t="shared" si="59"/>
        <v>0</v>
      </c>
      <c r="BE44" s="675">
        <f t="shared" si="60"/>
        <v>0</v>
      </c>
    </row>
    <row r="45" spans="2:57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5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1"/>
        <v/>
      </c>
      <c r="AT45" s="39" t="str">
        <f t="shared" si="22"/>
        <v/>
      </c>
      <c r="AU45" s="39" t="str">
        <f t="shared" si="23"/>
        <v/>
      </c>
      <c r="AV45" s="228"/>
      <c r="AW45" s="228"/>
      <c r="AX45" s="14"/>
      <c r="AY45" s="6"/>
      <c r="AZ45" s="6"/>
      <c r="BA45" s="216"/>
      <c r="BB45" s="216"/>
      <c r="BC45" s="40">
        <f t="shared" si="61"/>
        <v>0</v>
      </c>
      <c r="BD45" s="40">
        <f t="shared" si="59"/>
        <v>0</v>
      </c>
      <c r="BE45" s="40">
        <f t="shared" si="60"/>
        <v>0</v>
      </c>
    </row>
    <row r="46" spans="2:57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3">
        <v>2</v>
      </c>
      <c r="Q46" s="14"/>
      <c r="R46" s="14"/>
      <c r="S46" s="6"/>
      <c r="T46" s="6"/>
      <c r="U46" s="40" t="str">
        <f t="shared" si="35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1"/>
        <v/>
      </c>
      <c r="AT46" s="39" t="str">
        <f t="shared" si="22"/>
        <v/>
      </c>
      <c r="AU46" s="39" t="str">
        <f t="shared" si="23"/>
        <v/>
      </c>
      <c r="AV46" s="228"/>
      <c r="AW46" s="228"/>
      <c r="AX46" s="14"/>
      <c r="AY46" s="6"/>
      <c r="AZ46" s="6"/>
      <c r="BA46" s="216"/>
      <c r="BB46" s="216"/>
      <c r="BC46" s="675">
        <f t="shared" si="61"/>
        <v>0</v>
      </c>
      <c r="BD46" s="675">
        <f t="shared" si="59"/>
        <v>0</v>
      </c>
      <c r="BE46" s="675">
        <f t="shared" si="60"/>
        <v>0</v>
      </c>
    </row>
    <row r="47" spans="2:57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5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1"/>
        <v/>
      </c>
      <c r="AT47" s="39" t="str">
        <f t="shared" si="22"/>
        <v/>
      </c>
      <c r="AU47" s="39" t="str">
        <f t="shared" si="23"/>
        <v/>
      </c>
      <c r="AV47" s="228"/>
      <c r="AW47" s="228"/>
      <c r="AX47" s="14"/>
      <c r="AY47" s="6"/>
      <c r="AZ47" s="6"/>
      <c r="BA47" s="216"/>
      <c r="BB47" s="216"/>
      <c r="BC47" s="40">
        <f t="shared" si="61"/>
        <v>0</v>
      </c>
      <c r="BD47" s="40">
        <f t="shared" si="59"/>
        <v>0</v>
      </c>
      <c r="BE47" s="40">
        <f t="shared" si="60"/>
        <v>0</v>
      </c>
    </row>
    <row r="48" spans="2:57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3">
        <v>2</v>
      </c>
      <c r="Q48" s="14"/>
      <c r="R48" s="14"/>
      <c r="S48" s="6"/>
      <c r="T48" s="6"/>
      <c r="U48" s="40" t="str">
        <f t="shared" si="35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1"/>
        <v/>
      </c>
      <c r="AT48" s="39" t="str">
        <f t="shared" si="22"/>
        <v/>
      </c>
      <c r="AU48" s="39" t="str">
        <f t="shared" si="23"/>
        <v/>
      </c>
      <c r="AV48" s="228"/>
      <c r="AW48" s="228"/>
      <c r="AX48" s="14"/>
      <c r="AY48" s="6"/>
      <c r="AZ48" s="6"/>
      <c r="BA48" s="216"/>
      <c r="BB48" s="216"/>
      <c r="BC48" s="675">
        <f t="shared" si="61"/>
        <v>0</v>
      </c>
      <c r="BD48" s="675">
        <f t="shared" si="59"/>
        <v>0</v>
      </c>
      <c r="BE48" s="675">
        <f t="shared" si="60"/>
        <v>0</v>
      </c>
    </row>
    <row r="49" spans="2:60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5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1"/>
        <v/>
      </c>
      <c r="AT49" s="39" t="str">
        <f t="shared" si="22"/>
        <v/>
      </c>
      <c r="AU49" s="39" t="str">
        <f t="shared" si="23"/>
        <v/>
      </c>
      <c r="AV49" s="228"/>
      <c r="AW49" s="228"/>
      <c r="AX49" s="14"/>
      <c r="AY49" s="6"/>
      <c r="AZ49" s="6"/>
      <c r="BA49" s="216"/>
      <c r="BB49" s="216"/>
      <c r="BC49" s="40">
        <f t="shared" si="61"/>
        <v>0</v>
      </c>
      <c r="BD49" s="40">
        <f t="shared" si="59"/>
        <v>0</v>
      </c>
      <c r="BE49" s="40">
        <f t="shared" si="60"/>
        <v>0</v>
      </c>
    </row>
    <row r="50" spans="2:60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3">
        <v>2</v>
      </c>
      <c r="Q50" s="14"/>
      <c r="R50" s="14"/>
      <c r="S50" s="6"/>
      <c r="T50" s="6"/>
      <c r="U50" s="40" t="str">
        <f t="shared" si="35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1">
        <v>41</v>
      </c>
      <c r="AS50" s="39" t="str">
        <f t="shared" si="21"/>
        <v/>
      </c>
      <c r="AT50" s="39" t="str">
        <f t="shared" si="22"/>
        <v/>
      </c>
      <c r="AU50" s="39" t="str">
        <f t="shared" si="23"/>
        <v/>
      </c>
      <c r="AV50" s="228"/>
      <c r="AW50" s="228"/>
      <c r="AX50" s="14"/>
      <c r="AY50" s="6"/>
      <c r="AZ50" s="6"/>
      <c r="BA50" s="216"/>
      <c r="BB50" s="216"/>
      <c r="BC50" s="675">
        <f t="shared" si="61"/>
        <v>0</v>
      </c>
      <c r="BD50" s="675">
        <f t="shared" si="59"/>
        <v>0</v>
      </c>
      <c r="BE50" s="675">
        <f t="shared" si="60"/>
        <v>0</v>
      </c>
    </row>
    <row r="51" spans="2:60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5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1"/>
        <v/>
      </c>
      <c r="AT51" s="39" t="str">
        <f t="shared" si="22"/>
        <v/>
      </c>
      <c r="AU51" s="39" t="str">
        <f t="shared" si="23"/>
        <v/>
      </c>
      <c r="AV51" s="228"/>
      <c r="AW51" s="228"/>
      <c r="AX51" s="14"/>
      <c r="AY51" s="6"/>
      <c r="AZ51" s="6"/>
      <c r="BA51" s="216"/>
      <c r="BB51" s="216"/>
      <c r="BC51" s="40">
        <f t="shared" si="61"/>
        <v>0</v>
      </c>
      <c r="BD51" s="40">
        <f t="shared" si="59"/>
        <v>0</v>
      </c>
      <c r="BE51" s="40">
        <f t="shared" si="60"/>
        <v>0</v>
      </c>
    </row>
    <row r="52" spans="2:60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3">
        <v>2</v>
      </c>
      <c r="Q52" s="14"/>
      <c r="R52" s="14"/>
      <c r="S52" s="6"/>
      <c r="T52" s="6"/>
      <c r="U52" s="40" t="str">
        <f t="shared" si="35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1"/>
        <v/>
      </c>
      <c r="AT52" s="39" t="str">
        <f t="shared" si="22"/>
        <v/>
      </c>
      <c r="AU52" s="39" t="str">
        <f t="shared" si="23"/>
        <v/>
      </c>
      <c r="AV52" s="228"/>
      <c r="AW52" s="228"/>
      <c r="AX52" s="14"/>
      <c r="AY52" s="6"/>
      <c r="AZ52" s="6"/>
      <c r="BA52" s="216"/>
      <c r="BB52" s="216"/>
      <c r="BC52" s="675">
        <f t="shared" si="61"/>
        <v>0</v>
      </c>
      <c r="BD52" s="675">
        <f t="shared" si="59"/>
        <v>0</v>
      </c>
      <c r="BE52" s="675">
        <f t="shared" si="60"/>
        <v>0</v>
      </c>
    </row>
    <row r="53" spans="2:60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5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1"/>
        <v/>
      </c>
      <c r="AT53" s="39" t="str">
        <f t="shared" si="22"/>
        <v/>
      </c>
      <c r="AU53" s="39" t="str">
        <f t="shared" si="23"/>
        <v/>
      </c>
      <c r="AV53" s="228"/>
      <c r="AW53" s="228"/>
      <c r="AX53" s="14"/>
      <c r="AY53" s="6"/>
      <c r="AZ53" s="6"/>
      <c r="BA53" s="216"/>
      <c r="BB53" s="216"/>
      <c r="BC53" s="40">
        <f t="shared" si="61"/>
        <v>0</v>
      </c>
      <c r="BD53" s="40">
        <f t="shared" si="59"/>
        <v>0</v>
      </c>
      <c r="BE53" s="40">
        <f t="shared" si="60"/>
        <v>0</v>
      </c>
    </row>
    <row r="54" spans="2:60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3">
        <v>2</v>
      </c>
      <c r="Q54" s="14"/>
      <c r="R54" s="14"/>
      <c r="S54" s="6"/>
      <c r="T54" s="6"/>
      <c r="U54" s="40" t="str">
        <f t="shared" si="35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1"/>
        <v/>
      </c>
      <c r="AT54" s="39" t="str">
        <f t="shared" si="22"/>
        <v/>
      </c>
      <c r="AU54" s="39" t="str">
        <f t="shared" si="23"/>
        <v/>
      </c>
      <c r="AV54" s="228"/>
      <c r="AW54" s="228"/>
      <c r="AX54" s="14"/>
      <c r="AY54" s="6"/>
      <c r="AZ54" s="6"/>
      <c r="BA54" s="216"/>
      <c r="BB54" s="216"/>
      <c r="BC54" s="675">
        <f t="shared" si="61"/>
        <v>0</v>
      </c>
      <c r="BD54" s="675">
        <f t="shared" si="59"/>
        <v>0</v>
      </c>
      <c r="BE54" s="675">
        <f t="shared" si="60"/>
        <v>0</v>
      </c>
    </row>
    <row r="55" spans="2:60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5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1"/>
        <v/>
      </c>
      <c r="AT55" s="39" t="str">
        <f t="shared" si="22"/>
        <v/>
      </c>
      <c r="AU55" s="39" t="str">
        <f t="shared" si="23"/>
        <v/>
      </c>
      <c r="AV55" s="228"/>
      <c r="AW55" s="228"/>
      <c r="AX55" s="14"/>
      <c r="AY55" s="6"/>
      <c r="AZ55" s="6"/>
      <c r="BA55" s="216"/>
      <c r="BB55" s="216"/>
      <c r="BC55" s="40">
        <f t="shared" si="61"/>
        <v>0</v>
      </c>
      <c r="BD55" s="40">
        <f t="shared" si="59"/>
        <v>0</v>
      </c>
      <c r="BE55" s="40">
        <f t="shared" si="60"/>
        <v>0</v>
      </c>
    </row>
    <row r="56" spans="2:60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3">
        <v>2</v>
      </c>
      <c r="Q56" s="14"/>
      <c r="R56" s="14"/>
      <c r="S56" s="6"/>
      <c r="T56" s="6"/>
      <c r="U56" s="40" t="str">
        <f t="shared" si="35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1">
        <v>47</v>
      </c>
      <c r="AS56" s="39" t="str">
        <f t="shared" si="21"/>
        <v/>
      </c>
      <c r="AT56" s="39" t="str">
        <f t="shared" si="22"/>
        <v/>
      </c>
      <c r="AU56" s="39" t="str">
        <f t="shared" si="23"/>
        <v/>
      </c>
      <c r="AV56" s="228"/>
      <c r="AW56" s="228"/>
      <c r="AX56" s="14"/>
      <c r="AY56" s="6"/>
      <c r="AZ56" s="6"/>
      <c r="BA56" s="216"/>
      <c r="BB56" s="216"/>
      <c r="BC56" s="675">
        <f t="shared" si="61"/>
        <v>0</v>
      </c>
      <c r="BD56" s="675">
        <f t="shared" si="59"/>
        <v>0</v>
      </c>
      <c r="BE56" s="675">
        <f t="shared" si="60"/>
        <v>0</v>
      </c>
    </row>
    <row r="57" spans="2:60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5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1"/>
        <v/>
      </c>
      <c r="AT57" s="39" t="str">
        <f t="shared" si="22"/>
        <v/>
      </c>
      <c r="AU57" s="39" t="str">
        <f t="shared" si="23"/>
        <v/>
      </c>
      <c r="AV57" s="228"/>
      <c r="AW57" s="228"/>
      <c r="AX57" s="14"/>
      <c r="AY57" s="6"/>
      <c r="AZ57" s="6"/>
      <c r="BA57" s="216"/>
      <c r="BB57" s="216"/>
      <c r="BC57" s="40">
        <f t="shared" si="61"/>
        <v>0</v>
      </c>
      <c r="BD57" s="40">
        <f t="shared" si="59"/>
        <v>0</v>
      </c>
      <c r="BE57" s="40">
        <f t="shared" si="60"/>
        <v>0</v>
      </c>
    </row>
    <row r="58" spans="2:60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3">
        <v>2</v>
      </c>
      <c r="Q58" s="14"/>
      <c r="R58" s="14"/>
      <c r="S58" s="6"/>
      <c r="T58" s="6"/>
      <c r="U58" s="40" t="str">
        <f t="shared" si="35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1"/>
        <v/>
      </c>
      <c r="AT58" s="39" t="str">
        <f t="shared" si="22"/>
        <v/>
      </c>
      <c r="AU58" s="39" t="str">
        <f t="shared" si="23"/>
        <v/>
      </c>
      <c r="AV58" s="228"/>
      <c r="AW58" s="228"/>
      <c r="AX58" s="14"/>
      <c r="AY58" s="6"/>
      <c r="AZ58" s="6"/>
      <c r="BA58" s="216"/>
      <c r="BB58" s="216"/>
      <c r="BC58" s="675">
        <f t="shared" si="61"/>
        <v>0</v>
      </c>
      <c r="BD58" s="675">
        <f t="shared" si="59"/>
        <v>0</v>
      </c>
      <c r="BE58" s="675">
        <f t="shared" si="60"/>
        <v>0</v>
      </c>
    </row>
    <row r="59" spans="2:60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5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1"/>
        <v/>
      </c>
      <c r="AT59" s="39" t="str">
        <f t="shared" si="22"/>
        <v/>
      </c>
      <c r="AU59" s="39" t="str">
        <f t="shared" si="23"/>
        <v/>
      </c>
      <c r="AV59" s="228"/>
      <c r="AW59" s="228"/>
      <c r="AX59" s="14"/>
      <c r="AY59" s="6"/>
      <c r="AZ59" s="6"/>
      <c r="BA59" s="216"/>
      <c r="BB59" s="216"/>
      <c r="BC59" s="40">
        <f t="shared" si="61"/>
        <v>0</v>
      </c>
      <c r="BD59" s="40">
        <f t="shared" si="59"/>
        <v>0</v>
      </c>
      <c r="BE59" s="40">
        <f t="shared" si="60"/>
        <v>0</v>
      </c>
    </row>
    <row r="60" spans="2:60" x14ac:dyDescent="0.3">
      <c r="B60" s="453">
        <v>51</v>
      </c>
      <c r="C60" s="136">
        <f>AVERAGE(C10:C59)</f>
        <v>36.384848484848483</v>
      </c>
      <c r="D60" s="136">
        <f>AVERAGE(D10:D59)</f>
        <v>8.810684966029406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369.00898227272734</v>
      </c>
      <c r="N60" s="136"/>
      <c r="O60" s="135"/>
      <c r="P60" s="135"/>
      <c r="Q60" s="135"/>
      <c r="R60" s="135"/>
      <c r="S60" s="135"/>
      <c r="T60" s="135"/>
      <c r="U60" s="136" t="str">
        <f t="shared" si="35"/>
        <v/>
      </c>
      <c r="V60" s="135"/>
      <c r="W60" s="208">
        <f>AVERAGE(W10:W59)</f>
        <v>0.70003629148629143</v>
      </c>
      <c r="X60" s="208">
        <f>AVERAGE(X10:X59)</f>
        <v>0.75587049062049061</v>
      </c>
      <c r="Y60" s="208">
        <f>AVERAGE(Y10:Y59)</f>
        <v>11.159588383838383</v>
      </c>
      <c r="Z60" s="208">
        <f>AVERAGE(Z10:Z59)</f>
        <v>0.67915431675199367</v>
      </c>
      <c r="AA60" s="208">
        <f t="shared" ref="AA60:AB60" si="62">AVERAGE(AA10:AA59)</f>
        <v>0.75181828778752158</v>
      </c>
      <c r="AB60" s="208">
        <f t="shared" si="62"/>
        <v>10.826816900965493</v>
      </c>
      <c r="AC60" s="135"/>
      <c r="AD60" s="135"/>
      <c r="AE60" s="208">
        <f>AVERAGE(AE10:AE59)</f>
        <v>9.5249494949494945E-2</v>
      </c>
      <c r="AF60" s="208">
        <f t="shared" ref="AF60:AH60" si="63">AVERAGE(AF10:AF59)</f>
        <v>0.38000000000000006</v>
      </c>
      <c r="AG60" s="208">
        <f t="shared" si="63"/>
        <v>10.180055555555555</v>
      </c>
      <c r="AH60" s="208">
        <f t="shared" si="63"/>
        <v>2.4818181818181816E-2</v>
      </c>
      <c r="AI60" s="135"/>
      <c r="AJ60" s="135"/>
      <c r="AK60" s="136">
        <f>SUM(AK10:AK59)</f>
        <v>2541.080731547042</v>
      </c>
      <c r="AL60" s="136">
        <f t="shared" ref="AL60:AM60" si="64">SUM(AL10:AL59)</f>
        <v>2830.09090124366</v>
      </c>
      <c r="AM60" s="136">
        <f t="shared" si="64"/>
        <v>41812.398816667985</v>
      </c>
      <c r="AN60" s="136">
        <f>SUM(AN10:AN59)</f>
        <v>350.45444368956942</v>
      </c>
      <c r="AO60" s="136">
        <f t="shared" ref="AO60:AQ60" si="65">SUM(AO10:AO59)</f>
        <v>1443.8461711372222</v>
      </c>
      <c r="AP60" s="136">
        <f t="shared" si="65"/>
        <v>38753.1360149225</v>
      </c>
      <c r="AQ60" s="136">
        <f t="shared" si="65"/>
        <v>162.44090603999999</v>
      </c>
      <c r="AR60" s="135"/>
      <c r="AS60" s="233">
        <f>AVERAGE(AS10:AS59)</f>
        <v>0.79433859127776796</v>
      </c>
      <c r="AT60" s="233">
        <f t="shared" ref="AT60:AU60" si="66">AVERAGE(AT10:AT59)</f>
        <v>0.52430226423871273</v>
      </c>
      <c r="AU60" s="233">
        <f t="shared" si="66"/>
        <v>9.7229993811892484E-2</v>
      </c>
      <c r="AV60" s="229"/>
      <c r="AW60" s="229"/>
      <c r="AX60" s="135"/>
      <c r="AY60" s="207"/>
      <c r="AZ60" s="207"/>
      <c r="BA60" s="217"/>
      <c r="BB60" s="217"/>
      <c r="BC60" s="220"/>
      <c r="BD60" s="220"/>
      <c r="BE60" s="220"/>
    </row>
    <row r="61" spans="2:60" x14ac:dyDescent="0.3">
      <c r="B61" s="14">
        <v>52</v>
      </c>
      <c r="C61" s="136">
        <f>SUM(C10:C59)</f>
        <v>400.23333333333329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SUM(M10:M11)+SUM(N12:N59)</f>
        <v>3609.0909052500001</v>
      </c>
      <c r="N61" s="136"/>
      <c r="O61" s="135"/>
      <c r="P61" s="135"/>
      <c r="Q61" s="135"/>
      <c r="R61" s="135"/>
      <c r="S61" s="135"/>
      <c r="T61" s="135"/>
      <c r="U61" s="136" t="str">
        <f t="shared" si="35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29"/>
      <c r="AX61" s="135"/>
      <c r="AY61" s="207"/>
      <c r="AZ61" s="207"/>
      <c r="BA61" s="217"/>
      <c r="BB61" s="217"/>
      <c r="BC61" s="987">
        <f>SUM(BC10:BC59)</f>
        <v>2028.1853818174723</v>
      </c>
      <c r="BD61" s="987">
        <f>SUM(BD10:BD59)</f>
        <v>1386.2447301064381</v>
      </c>
      <c r="BE61" s="987">
        <f>SUM(BE10:BE59)</f>
        <v>3059.262801745489</v>
      </c>
      <c r="BF61" s="44"/>
      <c r="BG61" s="13"/>
      <c r="BH61" s="13"/>
    </row>
    <row r="62" spans="2:60" x14ac:dyDescent="0.3">
      <c r="M62" s="11"/>
      <c r="U62" s="40" t="str">
        <f t="shared" si="35"/>
        <v/>
      </c>
      <c r="V62" s="1" t="s">
        <v>205</v>
      </c>
      <c r="W62" s="245">
        <f>MEDIAN(W10:W59)</f>
        <v>0.68400000000000005</v>
      </c>
      <c r="X62" s="245">
        <f t="shared" ref="X62:Y62" si="67">MEDIAN(X10:X59)</f>
        <v>0.66833333333333333</v>
      </c>
      <c r="Y62" s="245">
        <f t="shared" si="67"/>
        <v>9.1508333333333347</v>
      </c>
      <c r="Z62" s="245">
        <f>MEDIAN(Z10:Z59)</f>
        <v>0.65897435796966009</v>
      </c>
      <c r="AA62" s="245">
        <f t="shared" ref="AA62:AB62" si="68">MEDIAN(AA10:AA59)</f>
        <v>0.65241771617708166</v>
      </c>
      <c r="AB62" s="245">
        <f t="shared" si="68"/>
        <v>9.3504057987626368</v>
      </c>
      <c r="BC62" s="6"/>
      <c r="BD62" s="6"/>
      <c r="BE62" s="6"/>
      <c r="BF62" s="10"/>
      <c r="BG62" s="10"/>
      <c r="BH62" s="10"/>
    </row>
    <row r="63" spans="2:60" x14ac:dyDescent="0.3">
      <c r="E63" s="11">
        <f>N14+N15</f>
        <v>544.02271250000013</v>
      </c>
      <c r="N63" s="11"/>
      <c r="U63" s="40" t="str">
        <f t="shared" si="35"/>
        <v/>
      </c>
      <c r="AK63" s="44">
        <f>AK60-(AN60+AQ60)</f>
        <v>2028.1853818174727</v>
      </c>
      <c r="BC63" s="11">
        <f>BC61*0.8</f>
        <v>1622.5483054539779</v>
      </c>
    </row>
    <row r="64" spans="2:60" x14ac:dyDescent="0.3">
      <c r="E64" s="11">
        <f>E63/SUM(C14:C15)</f>
        <v>19.417824360499708</v>
      </c>
      <c r="F64" s="13" t="s">
        <v>36</v>
      </c>
      <c r="M64" s="11"/>
      <c r="N64" s="11"/>
      <c r="X64" s="137"/>
    </row>
    <row r="65" spans="5:58" x14ac:dyDescent="0.3">
      <c r="E65" s="11">
        <f>(N19+N20)/SUM(C19:C20)</f>
        <v>8.5546918470971463</v>
      </c>
      <c r="AN65" s="1202" t="s">
        <v>310</v>
      </c>
      <c r="AO65" s="1202"/>
      <c r="AP65" s="1202"/>
      <c r="AQ65" s="1202"/>
      <c r="AR65" s="250"/>
      <c r="AS65" s="132" t="s">
        <v>331</v>
      </c>
      <c r="AT65" s="1181" t="s">
        <v>260</v>
      </c>
      <c r="AU65" s="1181"/>
      <c r="AV65" s="1181"/>
      <c r="AW65" s="431"/>
      <c r="AX65" s="1178" t="s">
        <v>256</v>
      </c>
      <c r="AY65" s="1179"/>
      <c r="AZ65" s="1179"/>
      <c r="BA65" s="1179"/>
      <c r="BB65" s="1179"/>
      <c r="BC65" s="1180"/>
      <c r="BD65" s="1203" t="s">
        <v>277</v>
      </c>
      <c r="BE65" s="1204"/>
      <c r="BF65" s="1205"/>
    </row>
    <row r="66" spans="5:58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  <c r="AS66" s="132" t="s">
        <v>294</v>
      </c>
      <c r="AT66" s="1181" t="s">
        <v>261</v>
      </c>
      <c r="AU66" s="1181"/>
      <c r="AV66" s="1181"/>
      <c r="AW66" s="431"/>
      <c r="AX66" s="1178" t="s">
        <v>263</v>
      </c>
      <c r="AY66" s="1179"/>
      <c r="AZ66" s="1180"/>
      <c r="BA66" s="1178" t="s">
        <v>264</v>
      </c>
      <c r="BB66" s="1179"/>
      <c r="BC66" s="1180"/>
      <c r="BD66" s="1178" t="s">
        <v>40</v>
      </c>
      <c r="BE66" s="1179"/>
      <c r="BF66" s="1180"/>
    </row>
    <row r="67" spans="5:58" x14ac:dyDescent="0.3">
      <c r="F67" s="44"/>
      <c r="J67" s="40">
        <f>SUM(C10:C59)</f>
        <v>400.23333333333329</v>
      </c>
      <c r="K67" s="40"/>
      <c r="L67" s="40">
        <f>'Milling Down Time Hours'!P60</f>
        <v>233.13333333333333</v>
      </c>
      <c r="M67" s="40">
        <f>M61/J67</f>
        <v>9.0174670739985014</v>
      </c>
      <c r="N67" s="40"/>
      <c r="O67" s="40">
        <f>(M61/J68)</f>
        <v>216.41920977596405</v>
      </c>
      <c r="P67" s="40"/>
      <c r="Q67" s="40"/>
      <c r="R67" s="40"/>
      <c r="S67" s="40"/>
      <c r="T67" s="40">
        <f>(J67+L67)/24</f>
        <v>26.390277777777772</v>
      </c>
      <c r="AN67" s="14" t="s">
        <v>330</v>
      </c>
      <c r="AO67" s="134">
        <f>AVERAGE(W10:W15)</f>
        <v>0.7364814814814814</v>
      </c>
      <c r="AP67" s="134">
        <f t="shared" ref="AP67:AQ67" si="69">AVERAGE(X10:X15)</f>
        <v>0.64749537037037042</v>
      </c>
      <c r="AQ67" s="134">
        <f t="shared" si="69"/>
        <v>8.5190601851851842</v>
      </c>
      <c r="AR67" s="245"/>
      <c r="AS67" s="132" t="s">
        <v>70</v>
      </c>
      <c r="AT67" s="132" t="s">
        <v>253</v>
      </c>
      <c r="AU67" s="132" t="s">
        <v>254</v>
      </c>
      <c r="AV67" s="227" t="s">
        <v>255</v>
      </c>
      <c r="AW67" s="227"/>
      <c r="AX67" s="132" t="s">
        <v>253</v>
      </c>
      <c r="AY67" s="132" t="s">
        <v>254</v>
      </c>
      <c r="AZ67" s="132" t="s">
        <v>255</v>
      </c>
      <c r="BA67" s="132" t="s">
        <v>253</v>
      </c>
      <c r="BB67" s="132" t="s">
        <v>254</v>
      </c>
      <c r="BC67" s="132" t="s">
        <v>255</v>
      </c>
      <c r="BD67" s="132" t="s">
        <v>253</v>
      </c>
      <c r="BE67" s="132" t="s">
        <v>254</v>
      </c>
      <c r="BF67" s="132" t="s">
        <v>255</v>
      </c>
    </row>
    <row r="68" spans="5:58" x14ac:dyDescent="0.3">
      <c r="F68" s="44"/>
      <c r="J68" s="44">
        <f>J67/24</f>
        <v>16.676388888888887</v>
      </c>
      <c r="K68" s="44"/>
      <c r="L68" s="44">
        <f>L67/24</f>
        <v>9.7138888888888886</v>
      </c>
      <c r="AC68" s="1181" t="s">
        <v>260</v>
      </c>
      <c r="AD68" s="1181"/>
      <c r="AE68" s="1181"/>
      <c r="AF68" s="1181"/>
      <c r="AG68" s="1181"/>
      <c r="AN68" s="14" t="s">
        <v>201</v>
      </c>
      <c r="AO68" s="134">
        <f>MEDIAN(W10:W15)</f>
        <v>0.69599999999999995</v>
      </c>
      <c r="AP68" s="134">
        <f t="shared" ref="AP68:AQ68" si="70">MEDIAN(X10:X15)</f>
        <v>0.66361111111111115</v>
      </c>
      <c r="AQ68" s="134">
        <f t="shared" si="70"/>
        <v>9.0461111111111094</v>
      </c>
      <c r="AR68" s="245"/>
      <c r="AS68" s="14">
        <v>1</v>
      </c>
      <c r="AT68" s="134">
        <v>0.70799999999999996</v>
      </c>
      <c r="AU68" s="134">
        <v>0.53525</v>
      </c>
      <c r="AV68" s="1157">
        <v>7.2224166666666676</v>
      </c>
      <c r="AW68" s="1160"/>
      <c r="AX68" s="134">
        <v>5.5750000000000001E-2</v>
      </c>
      <c r="AY68" s="134">
        <v>0.17</v>
      </c>
      <c r="AZ68" s="134">
        <v>6.55</v>
      </c>
      <c r="BA68" s="134">
        <v>0.02</v>
      </c>
      <c r="BB68" s="6"/>
      <c r="BC68" s="6"/>
      <c r="BD68" s="40">
        <v>182.24861759999996</v>
      </c>
      <c r="BE68" s="40">
        <v>115.88364543032668</v>
      </c>
      <c r="BF68" s="40">
        <v>259.10087657468716</v>
      </c>
    </row>
    <row r="69" spans="5:58" x14ac:dyDescent="0.3">
      <c r="F69" s="44"/>
      <c r="AC69" s="1182" t="s">
        <v>259</v>
      </c>
      <c r="AD69" s="1182" t="s">
        <v>487</v>
      </c>
      <c r="AE69" s="1181" t="s">
        <v>261</v>
      </c>
      <c r="AF69" s="1181"/>
      <c r="AG69" s="1181"/>
      <c r="AN69" s="14" t="s">
        <v>203</v>
      </c>
      <c r="AO69" s="134">
        <f>MIN(W10:W15)</f>
        <v>0.57608333333333328</v>
      </c>
      <c r="AP69" s="134">
        <f t="shared" ref="AP69:AQ69" si="71">MIN(X10:X15)</f>
        <v>0.49666666666666665</v>
      </c>
      <c r="AQ69" s="134">
        <f t="shared" si="71"/>
        <v>7.2224166666666676</v>
      </c>
      <c r="AR69" s="245"/>
      <c r="AS69" s="14">
        <v>2</v>
      </c>
      <c r="AT69" s="134">
        <v>0.68400000000000005</v>
      </c>
      <c r="AU69" s="134">
        <v>0.79333333333333333</v>
      </c>
      <c r="AV69" s="1157">
        <v>9.051111111111112</v>
      </c>
      <c r="AW69" s="1160"/>
      <c r="AX69" s="134">
        <v>5.5749999999999994E-2</v>
      </c>
      <c r="AY69" s="134">
        <v>0.25</v>
      </c>
      <c r="AZ69" s="134">
        <v>8.3524999999999991</v>
      </c>
      <c r="BA69" s="134">
        <v>2.9000000000000001E-2</v>
      </c>
      <c r="BB69" s="6"/>
      <c r="BC69" s="6"/>
      <c r="BD69" s="40">
        <v>177.02628308750002</v>
      </c>
      <c r="BE69" s="40">
        <v>163.07723483333334</v>
      </c>
      <c r="BF69" s="40">
        <v>209.68264090277808</v>
      </c>
    </row>
    <row r="70" spans="5:58" x14ac:dyDescent="0.3">
      <c r="F70" s="44"/>
      <c r="J70" s="224" t="s">
        <v>305</v>
      </c>
      <c r="K70" s="224"/>
      <c r="L70" s="40">
        <f>J67</f>
        <v>400.23333333333329</v>
      </c>
      <c r="N70" s="11"/>
      <c r="AC70" s="1182"/>
      <c r="AD70" s="1182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72">MAX(X10:X15)</f>
        <v>0.79333333333333333</v>
      </c>
      <c r="AQ70" s="134">
        <f t="shared" si="72"/>
        <v>9.1508333333333347</v>
      </c>
      <c r="AR70" s="245"/>
      <c r="AS70" s="14">
        <v>3</v>
      </c>
      <c r="AT70" s="134">
        <v>0.93455555555555547</v>
      </c>
      <c r="AU70" s="134">
        <v>0.65888888888888886</v>
      </c>
      <c r="AV70" s="1157">
        <v>9.0688888888888908</v>
      </c>
      <c r="AW70" s="1160"/>
      <c r="AX70" s="134">
        <v>9.816666666666668E-2</v>
      </c>
      <c r="AY70" s="134">
        <v>0.23333333333333331</v>
      </c>
      <c r="AZ70" s="134">
        <v>8.9633333333333329</v>
      </c>
      <c r="BA70" s="134">
        <v>2.3E-2</v>
      </c>
      <c r="BB70" s="6"/>
      <c r="BC70" s="6"/>
      <c r="BD70" s="40">
        <v>262.75300891187504</v>
      </c>
      <c r="BE70" s="40">
        <v>139.14425331750002</v>
      </c>
      <c r="BF70" s="40">
        <v>34.513587637501132</v>
      </c>
    </row>
    <row r="71" spans="5:58" x14ac:dyDescent="0.3">
      <c r="F71" s="44"/>
      <c r="J71" s="224" t="s">
        <v>306</v>
      </c>
      <c r="K71" s="224"/>
      <c r="L71" s="40">
        <f>L67</f>
        <v>233.13333333333333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  <c r="AS71" s="14">
        <v>4</v>
      </c>
      <c r="AT71" s="134">
        <v>0.92891666666666661</v>
      </c>
      <c r="AU71" s="134">
        <v>0.73249999999999993</v>
      </c>
      <c r="AV71" s="1157">
        <v>9.1508333333333347</v>
      </c>
      <c r="AW71" s="1160"/>
      <c r="AX71" s="134">
        <v>0.10916666666666668</v>
      </c>
      <c r="AY71" s="134">
        <v>0.24</v>
      </c>
      <c r="AZ71" s="134">
        <v>5.1633333333333331</v>
      </c>
      <c r="BA71" s="134">
        <v>3.3000000000000002E-2</v>
      </c>
      <c r="BB71" s="6"/>
      <c r="BC71" s="6"/>
      <c r="BD71" s="40">
        <v>244.204401375</v>
      </c>
      <c r="BE71" s="40">
        <v>156.09063524999999</v>
      </c>
      <c r="BF71" s="40">
        <v>1263.7795087500006</v>
      </c>
    </row>
    <row r="72" spans="5:58" x14ac:dyDescent="0.3">
      <c r="F72" s="44"/>
      <c r="J72" s="224" t="s">
        <v>313</v>
      </c>
      <c r="K72" s="224"/>
      <c r="L72" s="40">
        <f>SUM(L70:L71)</f>
        <v>633.36666666666656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  <c r="AS72" s="14">
        <v>5</v>
      </c>
      <c r="AT72" s="134">
        <v>0.58733333333333337</v>
      </c>
      <c r="AU72" s="134">
        <v>0.49666666666666665</v>
      </c>
      <c r="AV72" s="1157">
        <v>9.0411111111111087</v>
      </c>
      <c r="AW72" s="1160"/>
      <c r="AX72" s="134">
        <v>0.12466666666666666</v>
      </c>
      <c r="AY72" s="134">
        <v>0.37833333333333335</v>
      </c>
      <c r="AZ72" s="134">
        <v>7.5183333333333335</v>
      </c>
      <c r="BA72" s="134">
        <v>2.5999999999999999E-2</v>
      </c>
      <c r="BB72" s="6"/>
      <c r="BC72" s="6"/>
      <c r="BD72" s="40">
        <v>110.70706613333334</v>
      </c>
      <c r="BE72" s="40">
        <v>31.593319666666673</v>
      </c>
      <c r="BF72" s="40">
        <v>406.56004322222157</v>
      </c>
    </row>
    <row r="73" spans="5:58" x14ac:dyDescent="0.3">
      <c r="F73" s="44"/>
      <c r="J73" s="224" t="s">
        <v>314</v>
      </c>
      <c r="K73" s="224"/>
      <c r="L73" s="39">
        <f>L70/L72</f>
        <v>0.63191410978369567</v>
      </c>
      <c r="AC73" s="13"/>
      <c r="AS73" s="14">
        <v>6</v>
      </c>
      <c r="AT73" s="134">
        <v>0.57608333333333328</v>
      </c>
      <c r="AU73" s="134">
        <v>0.66833333333333333</v>
      </c>
      <c r="AV73" s="1157">
        <v>7.58</v>
      </c>
      <c r="AW73" s="1160"/>
      <c r="AX73" s="134">
        <v>4.3500000000000004E-2</v>
      </c>
      <c r="AY73" s="134">
        <v>0.23799999999999999</v>
      </c>
      <c r="AZ73" s="134">
        <v>7.3999999999999995</v>
      </c>
      <c r="BA73" s="134">
        <v>1.7999999999999999E-2</v>
      </c>
      <c r="BB73" s="6"/>
      <c r="BC73" s="6"/>
      <c r="BD73" s="40">
        <v>135.36042131562499</v>
      </c>
      <c r="BE73" s="40">
        <v>119.21821801250002</v>
      </c>
      <c r="BF73" s="40">
        <v>49.866644250000263</v>
      </c>
    </row>
    <row r="74" spans="5:58" x14ac:dyDescent="0.3">
      <c r="F74" s="44"/>
      <c r="J74" s="224" t="s">
        <v>36</v>
      </c>
      <c r="K74" s="224"/>
      <c r="L74" s="421">
        <f>M67</f>
        <v>9.0174670739985014</v>
      </c>
      <c r="AC74" s="13"/>
      <c r="AS74" s="14">
        <v>7</v>
      </c>
      <c r="AT74" s="134">
        <v>0.53555555555555556</v>
      </c>
      <c r="AU74" s="134">
        <v>0.53555555555555556</v>
      </c>
      <c r="AV74" s="1157">
        <v>9.8144444444444439</v>
      </c>
      <c r="AW74" s="1160"/>
      <c r="AX74" s="134">
        <v>0.10016666666666667</v>
      </c>
      <c r="AY74" s="134">
        <v>0.1466666666666667</v>
      </c>
      <c r="AZ74" s="134">
        <v>8.1666666666666661</v>
      </c>
      <c r="BA74" s="134">
        <v>2.1999999999999999E-2</v>
      </c>
      <c r="BB74" s="6"/>
      <c r="BC74" s="6"/>
      <c r="BD74" s="40">
        <v>93.619818830833353</v>
      </c>
      <c r="BE74" s="40">
        <v>95.69679583333334</v>
      </c>
      <c r="BF74" s="40">
        <v>405.48099491666676</v>
      </c>
    </row>
    <row r="75" spans="5:58" x14ac:dyDescent="0.3">
      <c r="J75" s="224" t="s">
        <v>81</v>
      </c>
      <c r="K75" s="224"/>
      <c r="L75" s="40">
        <f>O67</f>
        <v>216.41920977596405</v>
      </c>
      <c r="AC75" s="13"/>
      <c r="AS75" s="14">
        <v>8</v>
      </c>
      <c r="AT75" s="134">
        <v>0.58483333333333321</v>
      </c>
      <c r="AU75" s="134">
        <v>0.58833333333333337</v>
      </c>
      <c r="AV75" s="1157">
        <v>10.3775</v>
      </c>
      <c r="AW75" s="1160"/>
      <c r="AX75" s="134">
        <v>5.8888888888888893E-2</v>
      </c>
      <c r="AY75" s="134">
        <v>0.38777777777777778</v>
      </c>
      <c r="AZ75" s="134">
        <v>10.200000000000001</v>
      </c>
      <c r="BA75" s="134">
        <v>2.7E-2</v>
      </c>
      <c r="BB75" s="6"/>
      <c r="BC75" s="6"/>
      <c r="BD75" s="40">
        <v>171.11806721722218</v>
      </c>
      <c r="BE75" s="40">
        <v>73.292973627777798</v>
      </c>
      <c r="BF75" s="40">
        <v>64.867327074999594</v>
      </c>
    </row>
    <row r="76" spans="5:58" x14ac:dyDescent="0.3">
      <c r="J76" s="224" t="s">
        <v>309</v>
      </c>
      <c r="K76" s="224"/>
      <c r="L76" s="40">
        <f>T67</f>
        <v>26.390277777777772</v>
      </c>
      <c r="AC76" s="13"/>
      <c r="AS76" s="14">
        <v>9</v>
      </c>
      <c r="AT76" s="134">
        <v>0.60575000000000001</v>
      </c>
      <c r="AU76" s="134">
        <v>0.86333333333333329</v>
      </c>
      <c r="AV76" s="1157">
        <v>14.675833333333332</v>
      </c>
      <c r="AW76" s="1160"/>
      <c r="AX76" s="134">
        <v>0.1028</v>
      </c>
      <c r="AY76" s="134">
        <v>0.40700000000000003</v>
      </c>
      <c r="AZ76" s="134">
        <v>14.752000000000001</v>
      </c>
      <c r="BA76" s="134">
        <v>1.7000000000000001E-2</v>
      </c>
      <c r="BB76" s="6"/>
      <c r="BC76" s="6"/>
      <c r="BD76" s="40">
        <v>224.76602081025004</v>
      </c>
      <c r="BE76" s="40">
        <v>215.87464155166666</v>
      </c>
      <c r="BF76" s="40">
        <v>61.097958765024487</v>
      </c>
    </row>
    <row r="77" spans="5:58" x14ac:dyDescent="0.3">
      <c r="J77" s="224" t="s">
        <v>329</v>
      </c>
      <c r="K77" s="224"/>
      <c r="L77" s="39">
        <f>L67/(J67+L67)</f>
        <v>0.36808589021630445</v>
      </c>
      <c r="AS77" s="14">
        <v>10</v>
      </c>
      <c r="AT77" s="134">
        <v>0.82590476190476192</v>
      </c>
      <c r="AU77" s="134">
        <v>1.1390476190476191</v>
      </c>
      <c r="AV77" s="1157">
        <v>17.893333333333334</v>
      </c>
      <c r="AW77" s="1160"/>
      <c r="AX77" s="134">
        <v>0.14399999999999999</v>
      </c>
      <c r="AY77" s="134">
        <v>0.49833333333333329</v>
      </c>
      <c r="AZ77" s="134">
        <v>17.63</v>
      </c>
      <c r="BA77" s="134">
        <v>3.1E-2</v>
      </c>
      <c r="BB77" s="6"/>
      <c r="BC77" s="6"/>
      <c r="BD77" s="40">
        <v>249.31318300000004</v>
      </c>
      <c r="BE77" s="40">
        <v>249.53727093750007</v>
      </c>
      <c r="BF77" s="40">
        <v>96.438152794678899</v>
      </c>
    </row>
    <row r="78" spans="5:58" x14ac:dyDescent="0.3">
      <c r="AS78" s="14">
        <v>11</v>
      </c>
      <c r="AT78" s="134">
        <v>0.7294666666666666</v>
      </c>
      <c r="AU78" s="134">
        <v>1.3033333333333335</v>
      </c>
      <c r="AV78" s="1157">
        <v>18.880000000000003</v>
      </c>
      <c r="AW78" s="1160"/>
      <c r="AX78" s="1156">
        <v>0.16700000000000001</v>
      </c>
      <c r="AY78" s="1156">
        <v>1.26</v>
      </c>
      <c r="AZ78" s="1156">
        <v>17.43</v>
      </c>
      <c r="BA78" s="1156">
        <v>3.6999999999999998E-2</v>
      </c>
      <c r="BB78" s="6"/>
      <c r="BC78" s="6"/>
      <c r="BD78" s="40">
        <v>172.3516116399999</v>
      </c>
      <c r="BE78" s="40">
        <v>15.368093000000044</v>
      </c>
      <c r="BF78" s="40">
        <v>151.1859358152642</v>
      </c>
    </row>
    <row r="79" spans="5:58" x14ac:dyDescent="0.3">
      <c r="AQ79" s="11"/>
      <c r="AS79" s="14" t="s">
        <v>322</v>
      </c>
      <c r="AT79" s="134">
        <f>AVERAGE(AT68:AT78)</f>
        <v>0.70003629148629143</v>
      </c>
      <c r="AU79" s="134">
        <f t="shared" ref="AU79:AV79" si="73">AVERAGE(AU68:AU78)</f>
        <v>0.75587049062049061</v>
      </c>
      <c r="AV79" s="134">
        <f t="shared" si="73"/>
        <v>11.159588383838383</v>
      </c>
      <c r="AW79" s="208"/>
      <c r="AX79" s="134">
        <f>AVERAGE(AX68:AX78)</f>
        <v>9.6350505050505048E-2</v>
      </c>
      <c r="AY79" s="134">
        <f t="shared" ref="AY79:BA79" si="74">AVERAGE(AY68:AY78)</f>
        <v>0.38267676767676767</v>
      </c>
      <c r="AZ79" s="134">
        <f t="shared" si="74"/>
        <v>10.193287878787878</v>
      </c>
      <c r="BA79" s="134">
        <f t="shared" si="74"/>
        <v>2.5727272727272724E-2</v>
      </c>
      <c r="BB79" s="6"/>
      <c r="BC79" s="6"/>
      <c r="BD79" s="6"/>
      <c r="BE79" s="6"/>
      <c r="BF79" s="6"/>
    </row>
    <row r="80" spans="5:58" x14ac:dyDescent="0.3">
      <c r="AQ80" s="11"/>
      <c r="AR80" s="11"/>
      <c r="AS80" s="1161" t="s">
        <v>17</v>
      </c>
      <c r="AT80" s="1206"/>
      <c r="AU80" s="1207"/>
      <c r="AV80" s="1207"/>
      <c r="AW80" s="1207"/>
      <c r="AX80" s="1207"/>
      <c r="AY80" s="1207"/>
      <c r="AZ80" s="1207"/>
      <c r="BA80" s="1207"/>
      <c r="BB80" s="1207"/>
      <c r="BC80" s="1208"/>
      <c r="BD80" s="1162">
        <f>SUM(BD68:BD79)</f>
        <v>2023.4684999216388</v>
      </c>
      <c r="BE80" s="1162">
        <f t="shared" ref="BE80:BF80" si="75">SUM(BE68:BE79)</f>
        <v>1374.7770814606047</v>
      </c>
      <c r="BF80" s="1162">
        <f t="shared" si="75"/>
        <v>3002.5736707038232</v>
      </c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176" t="s">
        <v>318</v>
      </c>
      <c r="N92" s="1181" t="s">
        <v>633</v>
      </c>
      <c r="O92" s="1181"/>
      <c r="P92" s="1181"/>
      <c r="Q92" s="431"/>
      <c r="R92" s="431"/>
      <c r="S92" s="431"/>
      <c r="T92" s="1178" t="s">
        <v>324</v>
      </c>
      <c r="U92" s="1179"/>
      <c r="V92" s="1180"/>
    </row>
    <row r="93" spans="10:44" x14ac:dyDescent="0.3">
      <c r="J93" s="132" t="s">
        <v>321</v>
      </c>
      <c r="K93" s="132"/>
      <c r="L93" s="132" t="s">
        <v>634</v>
      </c>
      <c r="M93" s="1177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76">X10</f>
        <v>0.53525</v>
      </c>
      <c r="P94" s="134">
        <f t="shared" si="76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77">AF10</f>
        <v>0.17</v>
      </c>
      <c r="V94" s="134">
        <f t="shared" si="77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78">W11</f>
        <v>0.68400000000000005</v>
      </c>
      <c r="O95" s="134">
        <f t="shared" si="76"/>
        <v>0.79333333333333333</v>
      </c>
      <c r="P95" s="134">
        <f t="shared" si="76"/>
        <v>9.051111111111112</v>
      </c>
      <c r="Q95" s="134"/>
      <c r="R95" s="134"/>
      <c r="S95" s="134"/>
      <c r="T95" s="134">
        <f t="shared" ref="T95:T98" si="79">AE11</f>
        <v>5.5749999999999994E-2</v>
      </c>
      <c r="U95" s="134">
        <f t="shared" si="77"/>
        <v>0.25</v>
      </c>
      <c r="V95" s="134">
        <f t="shared" si="77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78"/>
        <v>0.93455555555555547</v>
      </c>
      <c r="O96" s="134">
        <f t="shared" si="76"/>
        <v>0.65888888888888886</v>
      </c>
      <c r="P96" s="134">
        <f t="shared" si="76"/>
        <v>9.0688888888888908</v>
      </c>
      <c r="Q96" s="134"/>
      <c r="R96" s="134"/>
      <c r="S96" s="134"/>
      <c r="T96" s="134">
        <f t="shared" si="79"/>
        <v>9.816666666666668E-2</v>
      </c>
      <c r="U96" s="134">
        <f t="shared" si="77"/>
        <v>0.23333333333333331</v>
      </c>
      <c r="V96" s="134">
        <f t="shared" si="77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80">N13</f>
        <v>316.93530000000004</v>
      </c>
      <c r="N97" s="134">
        <f t="shared" si="78"/>
        <v>0.92891666666666661</v>
      </c>
      <c r="O97" s="134">
        <f t="shared" si="76"/>
        <v>0.73249999999999993</v>
      </c>
      <c r="P97" s="134">
        <f t="shared" si="76"/>
        <v>9.1508333333333347</v>
      </c>
      <c r="Q97" s="134"/>
      <c r="R97" s="134"/>
      <c r="S97" s="134"/>
      <c r="T97" s="134">
        <f t="shared" si="79"/>
        <v>0.10916666666666668</v>
      </c>
      <c r="U97" s="134">
        <f t="shared" si="77"/>
        <v>0.24</v>
      </c>
      <c r="V97" s="134">
        <f t="shared" si="77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80"/>
        <v>266.98580000000004</v>
      </c>
      <c r="N98" s="134">
        <f t="shared" si="78"/>
        <v>0.58733333333333337</v>
      </c>
      <c r="O98" s="134">
        <f t="shared" si="76"/>
        <v>0.49666666666666665</v>
      </c>
      <c r="P98" s="134">
        <f t="shared" si="76"/>
        <v>9.0411111111111087</v>
      </c>
      <c r="Q98" s="134"/>
      <c r="R98" s="134"/>
      <c r="S98" s="134"/>
      <c r="T98" s="134">
        <f t="shared" si="79"/>
        <v>0.12466666666666666</v>
      </c>
      <c r="U98" s="134">
        <f t="shared" si="77"/>
        <v>0.37833333333333335</v>
      </c>
      <c r="V98" s="134">
        <f t="shared" si="77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76"/>
        <v>0.66833333333333333</v>
      </c>
      <c r="P99" s="134">
        <f t="shared" si="76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76"/>
        <v>0.53555555555555556</v>
      </c>
      <c r="P100" s="134">
        <f t="shared" si="76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81">AVERAGE(O94:O100)</f>
        <v>0.63150396825396826</v>
      </c>
      <c r="P101" s="243">
        <f t="shared" si="81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82">AVERAGE(U94:U98)</f>
        <v>0.25433333333333336</v>
      </c>
      <c r="V101" s="243">
        <f t="shared" si="82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50">
    <mergeCell ref="BD66:BF66"/>
    <mergeCell ref="BD65:BF65"/>
    <mergeCell ref="AT80:BC80"/>
    <mergeCell ref="AT65:AV65"/>
    <mergeCell ref="AT66:AV66"/>
    <mergeCell ref="AX65:BC65"/>
    <mergeCell ref="AX66:AZ66"/>
    <mergeCell ref="BA66:BC66"/>
    <mergeCell ref="AE69:AG69"/>
    <mergeCell ref="AC68:AG68"/>
    <mergeCell ref="AC69:AC70"/>
    <mergeCell ref="AD69:AD70"/>
    <mergeCell ref="AN65:AQ65"/>
    <mergeCell ref="AH8:AJ8"/>
    <mergeCell ref="AE7:AJ7"/>
    <mergeCell ref="BC7:BE7"/>
    <mergeCell ref="BC8:BE8"/>
    <mergeCell ref="AN7:AP7"/>
    <mergeCell ref="AN8:AP8"/>
    <mergeCell ref="AY7:BA7"/>
    <mergeCell ref="AY8:BA8"/>
    <mergeCell ref="AK7:AM7"/>
    <mergeCell ref="AK8:AM8"/>
    <mergeCell ref="AS7:AU8"/>
    <mergeCell ref="AX7:AX8"/>
    <mergeCell ref="AE8:AG8"/>
    <mergeCell ref="Z8:AB8"/>
    <mergeCell ref="AD7:AD9"/>
    <mergeCell ref="B7:B9"/>
    <mergeCell ref="E7:E9"/>
    <mergeCell ref="F7:F9"/>
    <mergeCell ref="G7:G9"/>
    <mergeCell ref="H7:H9"/>
    <mergeCell ref="K7:K9"/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73" t="s">
        <v>473</v>
      </c>
      <c r="R4" s="1474"/>
      <c r="S4" s="1474"/>
      <c r="T4" s="1475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76"/>
      <c r="R5" s="1477"/>
      <c r="S5" s="1477"/>
      <c r="T5" s="1478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03" t="s">
        <v>0</v>
      </c>
      <c r="B4" s="1506" t="s">
        <v>50</v>
      </c>
      <c r="C4" s="1506"/>
      <c r="D4" s="1506"/>
      <c r="E4" s="1506"/>
      <c r="F4" s="100"/>
      <c r="G4" s="55"/>
      <c r="H4" s="55"/>
      <c r="I4" s="105"/>
      <c r="J4" s="105"/>
      <c r="K4" s="105"/>
      <c r="L4" s="1517" t="s">
        <v>239</v>
      </c>
      <c r="M4" s="1518"/>
      <c r="N4" s="1519"/>
      <c r="O4" s="1517" t="s">
        <v>235</v>
      </c>
      <c r="P4" s="1518"/>
      <c r="Q4" s="1519"/>
      <c r="R4" s="1517" t="s">
        <v>236</v>
      </c>
      <c r="S4" s="1518"/>
      <c r="T4" s="1519"/>
      <c r="U4" s="1517" t="s">
        <v>237</v>
      </c>
      <c r="V4" s="1518"/>
      <c r="W4" s="1519"/>
      <c r="X4" s="1517" t="s">
        <v>238</v>
      </c>
      <c r="Y4" s="1518"/>
      <c r="Z4" s="1519"/>
      <c r="AA4" s="1517" t="s">
        <v>51</v>
      </c>
      <c r="AB4" s="1518"/>
      <c r="AC4" s="1519"/>
      <c r="AD4" s="1517" t="s">
        <v>52</v>
      </c>
      <c r="AE4" s="1518"/>
      <c r="AF4" s="1519"/>
      <c r="AG4" s="1520">
        <v>0.83333333333333337</v>
      </c>
      <c r="AH4" s="1518"/>
      <c r="AI4" s="1519"/>
      <c r="AJ4" s="1520">
        <v>0.91666666666666663</v>
      </c>
      <c r="AK4" s="1521"/>
      <c r="AL4" s="1522"/>
      <c r="AM4" s="1523">
        <v>0</v>
      </c>
      <c r="AN4" s="1524"/>
      <c r="AO4" s="1525"/>
      <c r="AP4" s="1520">
        <v>8.3333333333333329E-2</v>
      </c>
      <c r="AQ4" s="1521"/>
      <c r="AR4" s="1522"/>
      <c r="AS4" s="1520">
        <v>0.16666666666666666</v>
      </c>
      <c r="AT4" s="1521"/>
      <c r="AU4" s="1522"/>
      <c r="AV4" s="60" t="s">
        <v>53</v>
      </c>
      <c r="AW4" s="45"/>
    </row>
    <row r="5" spans="1:49" x14ac:dyDescent="0.3">
      <c r="A5" s="1503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01">
        <v>46147</v>
      </c>
      <c r="B6" s="1504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79" t="s">
        <v>231</v>
      </c>
      <c r="AW6" s="1480"/>
    </row>
    <row r="7" spans="1:49" x14ac:dyDescent="0.3">
      <c r="A7" s="1501"/>
      <c r="B7" s="1505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79"/>
      <c r="AW7" s="1481"/>
    </row>
    <row r="8" spans="1:49" x14ac:dyDescent="0.3">
      <c r="A8" s="1501"/>
      <c r="B8" s="1505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79"/>
      <c r="AW8" s="1481"/>
    </row>
    <row r="9" spans="1:49" ht="15" thickBot="1" x14ac:dyDescent="0.35">
      <c r="A9" s="1504"/>
      <c r="B9" s="1505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80"/>
      <c r="AW9" s="1482"/>
    </row>
    <row r="10" spans="1:49" x14ac:dyDescent="0.3">
      <c r="A10" s="1507">
        <v>46148</v>
      </c>
      <c r="B10" s="1526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89" t="s">
        <v>240</v>
      </c>
      <c r="AW10" s="1492" t="s">
        <v>230</v>
      </c>
    </row>
    <row r="11" spans="1:49" x14ac:dyDescent="0.3">
      <c r="A11" s="1508"/>
      <c r="B11" s="1505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90"/>
      <c r="AW11" s="1493"/>
    </row>
    <row r="12" spans="1:49" x14ac:dyDescent="0.3">
      <c r="A12" s="1508"/>
      <c r="B12" s="1505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90"/>
      <c r="AW12" s="1493"/>
    </row>
    <row r="13" spans="1:49" ht="15" thickBot="1" x14ac:dyDescent="0.35">
      <c r="A13" s="1509"/>
      <c r="B13" s="1505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91"/>
      <c r="AW13" s="1494"/>
    </row>
    <row r="14" spans="1:49" ht="15" thickBot="1" x14ac:dyDescent="0.35">
      <c r="A14" s="1507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89" t="s">
        <v>241</v>
      </c>
      <c r="AW14" s="1495"/>
    </row>
    <row r="15" spans="1:49" x14ac:dyDescent="0.3">
      <c r="A15" s="1508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90"/>
      <c r="AW15" s="1496"/>
    </row>
    <row r="16" spans="1:49" x14ac:dyDescent="0.3">
      <c r="A16" s="1508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90"/>
      <c r="AW16" s="1496"/>
    </row>
    <row r="17" spans="1:49" ht="15" thickBot="1" x14ac:dyDescent="0.35">
      <c r="A17" s="1509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90"/>
      <c r="AW17" s="1497"/>
    </row>
    <row r="18" spans="1:49" x14ac:dyDescent="0.3">
      <c r="A18" s="1510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98"/>
    </row>
    <row r="19" spans="1:49" x14ac:dyDescent="0.3">
      <c r="A19" s="1501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99"/>
    </row>
    <row r="20" spans="1:49" x14ac:dyDescent="0.3">
      <c r="A20" s="1501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99"/>
    </row>
    <row r="21" spans="1:49" x14ac:dyDescent="0.3">
      <c r="A21" s="1501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99"/>
    </row>
    <row r="22" spans="1:49" x14ac:dyDescent="0.3">
      <c r="A22" s="1501">
        <v>46151</v>
      </c>
      <c r="B22" s="52"/>
      <c r="C22" s="50"/>
      <c r="D22" s="1486"/>
      <c r="E22" s="1483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99"/>
    </row>
    <row r="23" spans="1:49" x14ac:dyDescent="0.3">
      <c r="A23" s="1501"/>
      <c r="B23" s="53"/>
      <c r="C23" s="50"/>
      <c r="D23" s="1487"/>
      <c r="E23" s="1484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99"/>
    </row>
    <row r="24" spans="1:49" x14ac:dyDescent="0.3">
      <c r="A24" s="1501"/>
      <c r="B24" s="53"/>
      <c r="C24" s="50"/>
      <c r="D24" s="1487"/>
      <c r="E24" s="1484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99"/>
    </row>
    <row r="25" spans="1:49" ht="15" thickBot="1" x14ac:dyDescent="0.35">
      <c r="A25" s="1501"/>
      <c r="B25" s="54"/>
      <c r="C25" s="50"/>
      <c r="D25" s="1488"/>
      <c r="E25" s="1485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00"/>
    </row>
    <row r="26" spans="1:49" x14ac:dyDescent="0.3">
      <c r="A26" s="1501">
        <v>46152</v>
      </c>
      <c r="B26" s="52"/>
      <c r="C26" s="50"/>
      <c r="D26" s="1486"/>
      <c r="E26" s="1483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98"/>
      <c r="AW26" s="1498"/>
    </row>
    <row r="27" spans="1:49" x14ac:dyDescent="0.3">
      <c r="A27" s="1501"/>
      <c r="B27" s="53"/>
      <c r="C27" s="50"/>
      <c r="D27" s="1487"/>
      <c r="E27" s="1484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99"/>
      <c r="AW27" s="1499"/>
    </row>
    <row r="28" spans="1:49" x14ac:dyDescent="0.3">
      <c r="A28" s="1501"/>
      <c r="B28" s="53"/>
      <c r="C28" s="50"/>
      <c r="D28" s="1487"/>
      <c r="E28" s="1484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99"/>
      <c r="AW28" s="1499"/>
    </row>
    <row r="29" spans="1:49" x14ac:dyDescent="0.3">
      <c r="A29" s="1501"/>
      <c r="B29" s="54"/>
      <c r="C29" s="50"/>
      <c r="D29" s="1488"/>
      <c r="E29" s="1485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99"/>
      <c r="AW29" s="1499"/>
    </row>
    <row r="30" spans="1:49" x14ac:dyDescent="0.3">
      <c r="A30" s="1501">
        <v>46153</v>
      </c>
      <c r="B30" s="52"/>
      <c r="C30" s="50"/>
      <c r="D30" s="1486"/>
      <c r="E30" s="1483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99"/>
      <c r="AW30" s="1499"/>
    </row>
    <row r="31" spans="1:49" x14ac:dyDescent="0.3">
      <c r="A31" s="1501"/>
      <c r="B31" s="53"/>
      <c r="C31" s="50"/>
      <c r="D31" s="1487"/>
      <c r="E31" s="1484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99"/>
      <c r="AW31" s="1499"/>
    </row>
    <row r="32" spans="1:49" x14ac:dyDescent="0.3">
      <c r="A32" s="1501"/>
      <c r="B32" s="53"/>
      <c r="C32" s="50"/>
      <c r="D32" s="1487"/>
      <c r="E32" s="1484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99"/>
      <c r="AW32" s="1499"/>
    </row>
    <row r="33" spans="1:49" x14ac:dyDescent="0.3">
      <c r="A33" s="1501"/>
      <c r="B33" s="54"/>
      <c r="C33" s="50"/>
      <c r="D33" s="1488"/>
      <c r="E33" s="1485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00"/>
      <c r="AW33" s="1500"/>
    </row>
    <row r="34" spans="1:49" x14ac:dyDescent="0.3">
      <c r="A34" s="1501">
        <v>46154</v>
      </c>
      <c r="B34" s="52"/>
      <c r="C34" s="50"/>
      <c r="D34" s="1486"/>
      <c r="E34" s="1483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98"/>
      <c r="AW34" s="1498"/>
    </row>
    <row r="35" spans="1:49" x14ac:dyDescent="0.3">
      <c r="A35" s="1501"/>
      <c r="B35" s="53"/>
      <c r="C35" s="50"/>
      <c r="D35" s="1487"/>
      <c r="E35" s="1484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99"/>
      <c r="AW35" s="1499"/>
    </row>
    <row r="36" spans="1:49" x14ac:dyDescent="0.3">
      <c r="A36" s="1501"/>
      <c r="B36" s="53"/>
      <c r="C36" s="50"/>
      <c r="D36" s="1487"/>
      <c r="E36" s="1484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99"/>
      <c r="AW36" s="1499"/>
    </row>
    <row r="37" spans="1:49" x14ac:dyDescent="0.3">
      <c r="A37" s="1501"/>
      <c r="B37" s="54"/>
      <c r="C37" s="50"/>
      <c r="D37" s="1488"/>
      <c r="E37" s="1485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99"/>
      <c r="AW37" s="1499"/>
    </row>
    <row r="38" spans="1:49" x14ac:dyDescent="0.3">
      <c r="A38" s="1501">
        <v>46155</v>
      </c>
      <c r="B38" s="52"/>
      <c r="C38" s="50"/>
      <c r="D38" s="1486"/>
      <c r="E38" s="1483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99"/>
      <c r="AW38" s="1499"/>
    </row>
    <row r="39" spans="1:49" x14ac:dyDescent="0.3">
      <c r="A39" s="1501"/>
      <c r="B39" s="53"/>
      <c r="C39" s="50"/>
      <c r="D39" s="1487"/>
      <c r="E39" s="1484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99"/>
      <c r="AW39" s="1499"/>
    </row>
    <row r="40" spans="1:49" x14ac:dyDescent="0.3">
      <c r="A40" s="1501"/>
      <c r="B40" s="53"/>
      <c r="C40" s="50"/>
      <c r="D40" s="1487"/>
      <c r="E40" s="1484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99"/>
      <c r="AW40" s="1499"/>
    </row>
    <row r="41" spans="1:49" x14ac:dyDescent="0.3">
      <c r="A41" s="1501"/>
      <c r="B41" s="54"/>
      <c r="C41" s="50"/>
      <c r="D41" s="1488"/>
      <c r="E41" s="1485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00"/>
      <c r="AW41" s="1500"/>
    </row>
    <row r="42" spans="1:49" x14ac:dyDescent="0.3">
      <c r="A42" s="1501">
        <v>46156</v>
      </c>
      <c r="B42" s="52"/>
      <c r="C42" s="50"/>
      <c r="D42" s="1486"/>
      <c r="E42" s="1483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98"/>
      <c r="AW42" s="1498"/>
    </row>
    <row r="43" spans="1:49" x14ac:dyDescent="0.3">
      <c r="A43" s="1501"/>
      <c r="B43" s="53"/>
      <c r="C43" s="50"/>
      <c r="D43" s="1487"/>
      <c r="E43" s="1484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99"/>
      <c r="AW43" s="1499"/>
    </row>
    <row r="44" spans="1:49" x14ac:dyDescent="0.3">
      <c r="A44" s="1501"/>
      <c r="B44" s="53"/>
      <c r="C44" s="50"/>
      <c r="D44" s="1487"/>
      <c r="E44" s="1484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99"/>
      <c r="AW44" s="1499"/>
    </row>
    <row r="45" spans="1:49" x14ac:dyDescent="0.3">
      <c r="A45" s="1501"/>
      <c r="B45" s="54"/>
      <c r="C45" s="50"/>
      <c r="D45" s="1488"/>
      <c r="E45" s="1485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99"/>
      <c r="AW45" s="1499"/>
    </row>
    <row r="46" spans="1:49" x14ac:dyDescent="0.3">
      <c r="A46" s="1501">
        <v>46157</v>
      </c>
      <c r="B46" s="52"/>
      <c r="C46" s="50"/>
      <c r="D46" s="1514" t="s">
        <v>157</v>
      </c>
      <c r="E46" s="1483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99"/>
      <c r="AW46" s="1499"/>
    </row>
    <row r="47" spans="1:49" x14ac:dyDescent="0.3">
      <c r="A47" s="1501"/>
      <c r="B47" s="53"/>
      <c r="C47" s="50"/>
      <c r="D47" s="1515"/>
      <c r="E47" s="1484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99"/>
      <c r="AW47" s="1499"/>
    </row>
    <row r="48" spans="1:49" x14ac:dyDescent="0.3">
      <c r="A48" s="1501"/>
      <c r="B48" s="53"/>
      <c r="C48" s="50"/>
      <c r="D48" s="1515"/>
      <c r="E48" s="1484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99"/>
      <c r="AW48" s="1499"/>
    </row>
    <row r="49" spans="1:49" x14ac:dyDescent="0.3">
      <c r="A49" s="1501"/>
      <c r="B49" s="54"/>
      <c r="C49" s="50"/>
      <c r="D49" s="1516"/>
      <c r="E49" s="1485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00"/>
      <c r="AW49" s="1500"/>
    </row>
    <row r="50" spans="1:49" x14ac:dyDescent="0.3">
      <c r="A50" s="1501">
        <v>46158</v>
      </c>
      <c r="B50" s="52"/>
      <c r="C50" s="50"/>
      <c r="D50" s="1486"/>
      <c r="E50" s="1483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98"/>
      <c r="AW50" s="1498"/>
    </row>
    <row r="51" spans="1:49" x14ac:dyDescent="0.3">
      <c r="A51" s="1501"/>
      <c r="B51" s="53"/>
      <c r="C51" s="50"/>
      <c r="D51" s="1487"/>
      <c r="E51" s="1484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99"/>
      <c r="AW51" s="1499"/>
    </row>
    <row r="52" spans="1:49" x14ac:dyDescent="0.3">
      <c r="A52" s="1501"/>
      <c r="B52" s="53"/>
      <c r="C52" s="50"/>
      <c r="D52" s="1487"/>
      <c r="E52" s="1484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99"/>
      <c r="AW52" s="1499"/>
    </row>
    <row r="53" spans="1:49" x14ac:dyDescent="0.3">
      <c r="A53" s="1501"/>
      <c r="B53" s="54"/>
      <c r="C53" s="50"/>
      <c r="D53" s="1488"/>
      <c r="E53" s="1485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99"/>
      <c r="AW53" s="1499"/>
    </row>
    <row r="54" spans="1:49" x14ac:dyDescent="0.3">
      <c r="A54" s="1501">
        <v>46159</v>
      </c>
      <c r="B54" s="52"/>
      <c r="C54" s="50"/>
      <c r="D54" s="98"/>
      <c r="E54" s="1511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99"/>
      <c r="AW54" s="1499"/>
    </row>
    <row r="55" spans="1:49" x14ac:dyDescent="0.3">
      <c r="A55" s="1501"/>
      <c r="B55" s="53"/>
      <c r="C55" s="50"/>
      <c r="D55" s="98"/>
      <c r="E55" s="1512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99"/>
      <c r="AW55" s="1499"/>
    </row>
    <row r="56" spans="1:49" x14ac:dyDescent="0.3">
      <c r="A56" s="1501"/>
      <c r="B56" s="53"/>
      <c r="C56" s="50"/>
      <c r="D56" s="98"/>
      <c r="E56" s="1512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99"/>
      <c r="AW56" s="1499"/>
    </row>
    <row r="57" spans="1:49" x14ac:dyDescent="0.3">
      <c r="A57" s="1501"/>
      <c r="B57" s="54"/>
      <c r="C57" s="50"/>
      <c r="D57" s="98"/>
      <c r="E57" s="1513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00"/>
      <c r="AW57" s="1500"/>
    </row>
    <row r="58" spans="1:49" x14ac:dyDescent="0.3">
      <c r="A58" s="1501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98"/>
      <c r="AW58" s="1498"/>
    </row>
    <row r="59" spans="1:49" x14ac:dyDescent="0.3">
      <c r="A59" s="1501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99"/>
      <c r="AW59" s="1499"/>
    </row>
    <row r="60" spans="1:49" x14ac:dyDescent="0.3">
      <c r="A60" s="1501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99"/>
      <c r="AW60" s="1499"/>
    </row>
    <row r="61" spans="1:49" x14ac:dyDescent="0.3">
      <c r="A61" s="1501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99"/>
      <c r="AW61" s="1499"/>
    </row>
    <row r="62" spans="1:49" x14ac:dyDescent="0.3">
      <c r="A62" s="1501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99"/>
      <c r="AW62" s="1499"/>
    </row>
    <row r="63" spans="1:49" x14ac:dyDescent="0.3">
      <c r="A63" s="1501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99"/>
      <c r="AW63" s="1499"/>
    </row>
    <row r="64" spans="1:49" x14ac:dyDescent="0.3">
      <c r="A64" s="1501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99"/>
      <c r="AW64" s="1499"/>
    </row>
    <row r="65" spans="1:49" x14ac:dyDescent="0.3">
      <c r="A65" s="1501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00"/>
      <c r="AW65" s="1500"/>
    </row>
    <row r="66" spans="1:49" x14ac:dyDescent="0.3">
      <c r="A66" s="1501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98"/>
      <c r="AW66" s="1498"/>
    </row>
    <row r="67" spans="1:49" x14ac:dyDescent="0.3">
      <c r="A67" s="1501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99"/>
      <c r="AW67" s="1499"/>
    </row>
    <row r="68" spans="1:49" x14ac:dyDescent="0.3">
      <c r="A68" s="1501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99"/>
      <c r="AW68" s="1499"/>
    </row>
    <row r="69" spans="1:49" x14ac:dyDescent="0.3">
      <c r="A69" s="1501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99"/>
      <c r="AW69" s="1499"/>
    </row>
    <row r="70" spans="1:49" x14ac:dyDescent="0.3">
      <c r="A70" s="1501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99"/>
      <c r="AW70" s="1499"/>
    </row>
    <row r="71" spans="1:49" x14ac:dyDescent="0.3">
      <c r="A71" s="1501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99"/>
      <c r="AW71" s="1499"/>
    </row>
    <row r="72" spans="1:49" x14ac:dyDescent="0.3">
      <c r="A72" s="1501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99"/>
      <c r="AW72" s="1499"/>
    </row>
    <row r="73" spans="1:49" x14ac:dyDescent="0.3">
      <c r="A73" s="1501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00"/>
      <c r="AW73" s="1500"/>
    </row>
    <row r="74" spans="1:49" x14ac:dyDescent="0.3">
      <c r="A74" s="1501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98"/>
      <c r="AW74" s="1498"/>
    </row>
    <row r="75" spans="1:49" x14ac:dyDescent="0.3">
      <c r="A75" s="1501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99"/>
      <c r="AW75" s="1499"/>
    </row>
    <row r="76" spans="1:49" x14ac:dyDescent="0.3">
      <c r="A76" s="1501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99"/>
      <c r="AW76" s="1499"/>
    </row>
    <row r="77" spans="1:49" x14ac:dyDescent="0.3">
      <c r="A77" s="1501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99"/>
      <c r="AW77" s="1499"/>
    </row>
    <row r="78" spans="1:49" x14ac:dyDescent="0.3">
      <c r="A78" s="1501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99"/>
      <c r="AW78" s="1499"/>
    </row>
    <row r="79" spans="1:49" x14ac:dyDescent="0.3">
      <c r="A79" s="1501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99"/>
      <c r="AW79" s="1499"/>
    </row>
    <row r="80" spans="1:49" x14ac:dyDescent="0.3">
      <c r="A80" s="1501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99"/>
      <c r="AW80" s="1499"/>
    </row>
    <row r="81" spans="1:49" x14ac:dyDescent="0.3">
      <c r="A81" s="1501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00"/>
      <c r="AW81" s="1500"/>
    </row>
    <row r="82" spans="1:49" x14ac:dyDescent="0.3">
      <c r="A82" s="1501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98"/>
      <c r="AW82" s="1498"/>
    </row>
    <row r="83" spans="1:49" x14ac:dyDescent="0.3">
      <c r="A83" s="1501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99"/>
      <c r="AW83" s="1499"/>
    </row>
    <row r="84" spans="1:49" x14ac:dyDescent="0.3">
      <c r="A84" s="1501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99"/>
      <c r="AW84" s="1499"/>
    </row>
    <row r="85" spans="1:49" x14ac:dyDescent="0.3">
      <c r="A85" s="1501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99"/>
      <c r="AW85" s="1499"/>
    </row>
    <row r="86" spans="1:49" x14ac:dyDescent="0.3">
      <c r="A86" s="1501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99"/>
      <c r="AW86" s="1499"/>
    </row>
    <row r="87" spans="1:49" x14ac:dyDescent="0.3">
      <c r="A87" s="1501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99"/>
      <c r="AW87" s="1499"/>
    </row>
    <row r="88" spans="1:49" x14ac:dyDescent="0.3">
      <c r="A88" s="1501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99"/>
      <c r="AW88" s="1499"/>
    </row>
    <row r="89" spans="1:49" x14ac:dyDescent="0.3">
      <c r="A89" s="1501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00"/>
      <c r="AW89" s="1500"/>
    </row>
    <row r="90" spans="1:49" x14ac:dyDescent="0.3">
      <c r="A90" s="1501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98"/>
      <c r="AW90" s="1498"/>
    </row>
    <row r="91" spans="1:49" x14ac:dyDescent="0.3">
      <c r="A91" s="1501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99"/>
      <c r="AW91" s="1499"/>
    </row>
    <row r="92" spans="1:49" x14ac:dyDescent="0.3">
      <c r="A92" s="1501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99"/>
      <c r="AW92" s="1499"/>
    </row>
    <row r="93" spans="1:49" x14ac:dyDescent="0.3">
      <c r="A93" s="1501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99"/>
      <c r="AW93" s="1499"/>
    </row>
    <row r="94" spans="1:49" x14ac:dyDescent="0.3">
      <c r="A94" s="1501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99"/>
      <c r="AW94" s="1499"/>
    </row>
    <row r="95" spans="1:49" x14ac:dyDescent="0.3">
      <c r="A95" s="1501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99"/>
      <c r="AW95" s="1499"/>
    </row>
    <row r="96" spans="1:49" x14ac:dyDescent="0.3">
      <c r="A96" s="1501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99"/>
      <c r="AW96" s="1499"/>
    </row>
    <row r="97" spans="1:49" x14ac:dyDescent="0.3">
      <c r="A97" s="1501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00"/>
      <c r="AW97" s="1500"/>
    </row>
    <row r="98" spans="1:49" x14ac:dyDescent="0.3">
      <c r="A98" s="1501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98"/>
      <c r="AW98" s="1498"/>
    </row>
    <row r="99" spans="1:49" x14ac:dyDescent="0.3">
      <c r="A99" s="1501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99"/>
      <c r="AW99" s="1499"/>
    </row>
    <row r="100" spans="1:49" x14ac:dyDescent="0.3">
      <c r="A100" s="1501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99"/>
      <c r="AW100" s="1499"/>
    </row>
    <row r="101" spans="1:49" x14ac:dyDescent="0.3">
      <c r="A101" s="1501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99"/>
      <c r="AW101" s="1499"/>
    </row>
    <row r="102" spans="1:49" x14ac:dyDescent="0.3">
      <c r="A102" s="1501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99"/>
      <c r="AW102" s="1499"/>
    </row>
    <row r="103" spans="1:49" x14ac:dyDescent="0.3">
      <c r="A103" s="1501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99"/>
      <c r="AW103" s="1499"/>
    </row>
    <row r="104" spans="1:49" x14ac:dyDescent="0.3">
      <c r="A104" s="1501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99"/>
      <c r="AW104" s="1499"/>
    </row>
    <row r="105" spans="1:49" x14ac:dyDescent="0.3">
      <c r="A105" s="1501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00"/>
      <c r="AW105" s="1500"/>
    </row>
    <row r="106" spans="1:49" x14ac:dyDescent="0.3">
      <c r="A106" s="1501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98"/>
      <c r="AW106" s="1498"/>
    </row>
    <row r="107" spans="1:49" x14ac:dyDescent="0.3">
      <c r="A107" s="1501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99"/>
      <c r="AW107" s="1499"/>
    </row>
    <row r="108" spans="1:49" x14ac:dyDescent="0.3">
      <c r="A108" s="1501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99"/>
      <c r="AW108" s="1499"/>
    </row>
    <row r="109" spans="1:49" x14ac:dyDescent="0.3">
      <c r="A109" s="1501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99"/>
      <c r="AW109" s="1499"/>
    </row>
    <row r="110" spans="1:49" x14ac:dyDescent="0.3">
      <c r="A110" s="1501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99"/>
      <c r="AW110" s="1499"/>
    </row>
    <row r="111" spans="1:49" x14ac:dyDescent="0.3">
      <c r="A111" s="1501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99"/>
      <c r="AW111" s="1499"/>
    </row>
    <row r="112" spans="1:49" x14ac:dyDescent="0.3">
      <c r="A112" s="1501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99"/>
      <c r="AW112" s="1499"/>
    </row>
    <row r="113" spans="1:49" x14ac:dyDescent="0.3">
      <c r="A113" s="1501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00"/>
      <c r="AW113" s="1500"/>
    </row>
    <row r="114" spans="1:49" x14ac:dyDescent="0.3">
      <c r="A114" s="1501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98"/>
      <c r="AW114" s="1498"/>
    </row>
    <row r="115" spans="1:49" x14ac:dyDescent="0.3">
      <c r="A115" s="1501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99"/>
      <c r="AW115" s="1499"/>
    </row>
    <row r="116" spans="1:49" x14ac:dyDescent="0.3">
      <c r="A116" s="1501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99"/>
      <c r="AW116" s="1499"/>
    </row>
    <row r="117" spans="1:49" x14ac:dyDescent="0.3">
      <c r="A117" s="1501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99"/>
      <c r="AW117" s="1499"/>
    </row>
    <row r="118" spans="1:49" x14ac:dyDescent="0.3">
      <c r="A118" s="1501">
        <v>46175</v>
      </c>
      <c r="B118" s="52"/>
      <c r="C118" s="50"/>
      <c r="D118" s="1486"/>
      <c r="E118" s="1483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99"/>
      <c r="AW118" s="1499"/>
    </row>
    <row r="119" spans="1:49" x14ac:dyDescent="0.3">
      <c r="A119" s="1501"/>
      <c r="B119" s="53"/>
      <c r="C119" s="50"/>
      <c r="D119" s="1487"/>
      <c r="E119" s="1484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99"/>
      <c r="AW119" s="1499"/>
    </row>
    <row r="120" spans="1:49" x14ac:dyDescent="0.3">
      <c r="A120" s="1501"/>
      <c r="B120" s="53"/>
      <c r="C120" s="50"/>
      <c r="D120" s="1487"/>
      <c r="E120" s="1484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99"/>
      <c r="AW120" s="1499"/>
    </row>
    <row r="121" spans="1:49" x14ac:dyDescent="0.3">
      <c r="A121" s="1501"/>
      <c r="B121" s="54"/>
      <c r="C121" s="50"/>
      <c r="D121" s="1488"/>
      <c r="E121" s="1485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00"/>
      <c r="AW121" s="1500"/>
    </row>
    <row r="122" spans="1:49" x14ac:dyDescent="0.3">
      <c r="A122" s="1501">
        <v>46176</v>
      </c>
      <c r="B122" s="52"/>
      <c r="C122" s="50"/>
      <c r="D122" s="1486"/>
      <c r="E122" s="1483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98"/>
      <c r="AW122" s="1498"/>
    </row>
    <row r="123" spans="1:49" x14ac:dyDescent="0.3">
      <c r="A123" s="1501"/>
      <c r="B123" s="53"/>
      <c r="C123" s="50"/>
      <c r="D123" s="1487"/>
      <c r="E123" s="1484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99"/>
      <c r="AW123" s="1499"/>
    </row>
    <row r="124" spans="1:49" x14ac:dyDescent="0.3">
      <c r="A124" s="1501"/>
      <c r="B124" s="53"/>
      <c r="C124" s="50"/>
      <c r="D124" s="1487"/>
      <c r="E124" s="1484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99"/>
      <c r="AW124" s="1499"/>
    </row>
    <row r="125" spans="1:49" x14ac:dyDescent="0.3">
      <c r="A125" s="1501"/>
      <c r="B125" s="54"/>
      <c r="C125" s="50"/>
      <c r="D125" s="1488"/>
      <c r="E125" s="1485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99"/>
      <c r="AW125" s="1499"/>
    </row>
    <row r="126" spans="1:49" x14ac:dyDescent="0.3">
      <c r="A126" s="1501">
        <v>46177</v>
      </c>
      <c r="B126" s="52"/>
      <c r="C126" s="50"/>
      <c r="D126" s="1486"/>
      <c r="E126" s="1483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99"/>
      <c r="AW126" s="1499"/>
    </row>
    <row r="127" spans="1:49" x14ac:dyDescent="0.3">
      <c r="A127" s="1501"/>
      <c r="B127" s="53"/>
      <c r="C127" s="50"/>
      <c r="D127" s="1487"/>
      <c r="E127" s="1484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99"/>
      <c r="AW127" s="1499"/>
    </row>
    <row r="128" spans="1:49" x14ac:dyDescent="0.3">
      <c r="A128" s="1501"/>
      <c r="B128" s="53"/>
      <c r="C128" s="50"/>
      <c r="D128" s="1487"/>
      <c r="E128" s="1484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99"/>
      <c r="AW128" s="1499"/>
    </row>
    <row r="129" spans="1:49" x14ac:dyDescent="0.3">
      <c r="A129" s="1501"/>
      <c r="B129" s="54"/>
      <c r="C129" s="50"/>
      <c r="D129" s="1488"/>
      <c r="E129" s="1485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00"/>
      <c r="AW129" s="1500"/>
    </row>
    <row r="130" spans="1:49" x14ac:dyDescent="0.3">
      <c r="A130" s="19"/>
      <c r="B130" s="19"/>
      <c r="C130" s="19"/>
      <c r="D130" s="1501"/>
      <c r="E130" s="1502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98"/>
      <c r="AW130" s="1498"/>
    </row>
    <row r="131" spans="1:49" x14ac:dyDescent="0.3">
      <c r="A131" s="19"/>
      <c r="B131" s="19"/>
      <c r="C131" s="19"/>
      <c r="D131" s="1500"/>
      <c r="E131" s="1499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99"/>
      <c r="AW131" s="1499"/>
    </row>
    <row r="132" spans="1:49" x14ac:dyDescent="0.3">
      <c r="A132" s="19"/>
      <c r="B132" s="19"/>
      <c r="C132" s="19"/>
      <c r="D132" s="1500"/>
      <c r="E132" s="1499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99"/>
      <c r="AW132" s="1499"/>
    </row>
    <row r="133" spans="1:49" x14ac:dyDescent="0.3">
      <c r="A133" s="19"/>
      <c r="B133" s="19"/>
      <c r="C133" s="19"/>
      <c r="D133" s="1500"/>
      <c r="E133" s="1499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99"/>
      <c r="AW133" s="1499"/>
    </row>
    <row r="134" spans="1:49" x14ac:dyDescent="0.3">
      <c r="A134" s="19"/>
      <c r="B134" s="19"/>
      <c r="C134" s="19"/>
      <c r="D134" s="1500"/>
      <c r="E134" s="1499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99"/>
      <c r="AW134" s="1499"/>
    </row>
    <row r="135" spans="1:49" x14ac:dyDescent="0.3">
      <c r="A135" s="19"/>
      <c r="B135" s="19"/>
      <c r="C135" s="19"/>
      <c r="D135" s="1500"/>
      <c r="E135" s="1499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99"/>
      <c r="AW135" s="1499"/>
    </row>
    <row r="136" spans="1:49" x14ac:dyDescent="0.3">
      <c r="A136" s="19"/>
      <c r="B136" s="19"/>
      <c r="C136" s="19"/>
      <c r="D136" s="1500"/>
      <c r="E136" s="1499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99"/>
      <c r="AW136" s="1499"/>
    </row>
    <row r="137" spans="1:49" x14ac:dyDescent="0.3">
      <c r="A137" s="19"/>
      <c r="B137" s="19"/>
      <c r="C137" s="19"/>
      <c r="D137" s="1500"/>
      <c r="E137" s="1500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00"/>
      <c r="AW137" s="1500"/>
    </row>
    <row r="138" spans="1:49" x14ac:dyDescent="0.3">
      <c r="A138" s="19"/>
      <c r="B138" s="19"/>
      <c r="C138" s="19"/>
      <c r="D138" s="1501"/>
      <c r="E138" s="1502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98"/>
      <c r="AW138" s="1498"/>
    </row>
    <row r="139" spans="1:49" x14ac:dyDescent="0.3">
      <c r="A139" s="19"/>
      <c r="B139" s="19"/>
      <c r="C139" s="19"/>
      <c r="D139" s="1500"/>
      <c r="E139" s="1499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99"/>
      <c r="AW139" s="1499"/>
    </row>
    <row r="140" spans="1:49" x14ac:dyDescent="0.3">
      <c r="A140" s="19"/>
      <c r="B140" s="19"/>
      <c r="C140" s="19"/>
      <c r="D140" s="1500"/>
      <c r="E140" s="1499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99"/>
      <c r="AW140" s="1499"/>
    </row>
    <row r="141" spans="1:49" x14ac:dyDescent="0.3">
      <c r="A141" s="19"/>
      <c r="B141" s="19"/>
      <c r="C141" s="19"/>
      <c r="D141" s="1500"/>
      <c r="E141" s="1499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99"/>
      <c r="AW141" s="1499"/>
    </row>
    <row r="142" spans="1:49" x14ac:dyDescent="0.3">
      <c r="A142" s="19"/>
      <c r="B142" s="19"/>
      <c r="C142" s="19"/>
      <c r="D142" s="1500"/>
      <c r="E142" s="1499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99"/>
      <c r="AW142" s="1499"/>
    </row>
    <row r="143" spans="1:49" x14ac:dyDescent="0.3">
      <c r="A143" s="19"/>
      <c r="B143" s="19"/>
      <c r="C143" s="19"/>
      <c r="D143" s="1500"/>
      <c r="E143" s="1499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99"/>
      <c r="AW143" s="1499"/>
    </row>
    <row r="144" spans="1:49" x14ac:dyDescent="0.3">
      <c r="A144" s="19"/>
      <c r="B144" s="19"/>
      <c r="C144" s="19"/>
      <c r="D144" s="1500"/>
      <c r="E144" s="1499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99"/>
      <c r="AW144" s="1499"/>
    </row>
    <row r="145" spans="1:49" x14ac:dyDescent="0.3">
      <c r="A145" s="19"/>
      <c r="B145" s="19"/>
      <c r="C145" s="19"/>
      <c r="D145" s="1500"/>
      <c r="E145" s="1500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00"/>
      <c r="AW145" s="1500"/>
    </row>
    <row r="146" spans="1:49" x14ac:dyDescent="0.3">
      <c r="A146" s="19"/>
      <c r="B146" s="19"/>
      <c r="C146" s="19"/>
      <c r="D146" s="1501"/>
      <c r="E146" s="1502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98"/>
      <c r="AW146" s="1498"/>
    </row>
    <row r="147" spans="1:49" x14ac:dyDescent="0.3">
      <c r="A147" s="19"/>
      <c r="B147" s="19"/>
      <c r="C147" s="19"/>
      <c r="D147" s="1500"/>
      <c r="E147" s="1499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99"/>
      <c r="AW147" s="1499"/>
    </row>
    <row r="148" spans="1:49" x14ac:dyDescent="0.3">
      <c r="A148" s="19"/>
      <c r="B148" s="19"/>
      <c r="C148" s="19"/>
      <c r="D148" s="1500"/>
      <c r="E148" s="1499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99"/>
      <c r="AW148" s="1499"/>
    </row>
    <row r="149" spans="1:49" x14ac:dyDescent="0.3">
      <c r="A149" s="19"/>
      <c r="B149" s="19"/>
      <c r="C149" s="19"/>
      <c r="D149" s="1500"/>
      <c r="E149" s="1499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99"/>
      <c r="AW149" s="1499"/>
    </row>
    <row r="150" spans="1:49" x14ac:dyDescent="0.3">
      <c r="A150" s="19"/>
      <c r="B150" s="19"/>
      <c r="C150" s="19"/>
      <c r="D150" s="1500"/>
      <c r="E150" s="1499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99"/>
      <c r="AW150" s="1499"/>
    </row>
    <row r="151" spans="1:49" x14ac:dyDescent="0.3">
      <c r="A151" s="19"/>
      <c r="B151" s="19"/>
      <c r="C151" s="19"/>
      <c r="D151" s="1500"/>
      <c r="E151" s="1499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99"/>
      <c r="AW151" s="1499"/>
    </row>
    <row r="152" spans="1:49" x14ac:dyDescent="0.3">
      <c r="A152" s="19"/>
      <c r="B152" s="19"/>
      <c r="C152" s="19"/>
      <c r="D152" s="1500"/>
      <c r="E152" s="1499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99"/>
      <c r="AW152" s="1499"/>
    </row>
    <row r="153" spans="1:49" x14ac:dyDescent="0.3">
      <c r="A153" s="19"/>
      <c r="B153" s="19"/>
      <c r="C153" s="19"/>
      <c r="D153" s="1500"/>
      <c r="E153" s="1500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00"/>
      <c r="AW153" s="1500"/>
    </row>
    <row r="154" spans="1:49" x14ac:dyDescent="0.3">
      <c r="A154" s="19"/>
      <c r="B154" s="19"/>
      <c r="C154" s="19"/>
      <c r="D154" s="1501"/>
      <c r="E154" s="1502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98"/>
      <c r="AW154" s="1498"/>
    </row>
    <row r="155" spans="1:49" x14ac:dyDescent="0.3">
      <c r="A155" s="19"/>
      <c r="B155" s="19"/>
      <c r="C155" s="19"/>
      <c r="D155" s="1500"/>
      <c r="E155" s="1499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99"/>
      <c r="AW155" s="1499"/>
    </row>
    <row r="156" spans="1:49" x14ac:dyDescent="0.3">
      <c r="A156" s="19"/>
      <c r="B156" s="19"/>
      <c r="C156" s="19"/>
      <c r="D156" s="1500"/>
      <c r="E156" s="1499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99"/>
      <c r="AW156" s="1499"/>
    </row>
    <row r="157" spans="1:49" x14ac:dyDescent="0.3">
      <c r="A157" s="19"/>
      <c r="B157" s="19"/>
      <c r="C157" s="19"/>
      <c r="D157" s="1500"/>
      <c r="E157" s="1499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99"/>
      <c r="AW157" s="1499"/>
    </row>
    <row r="158" spans="1:49" x14ac:dyDescent="0.3">
      <c r="A158" s="19"/>
      <c r="B158" s="19"/>
      <c r="C158" s="19"/>
      <c r="D158" s="1500"/>
      <c r="E158" s="1499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99"/>
      <c r="AW158" s="1499"/>
    </row>
    <row r="159" spans="1:49" x14ac:dyDescent="0.3">
      <c r="A159" s="19"/>
      <c r="B159" s="19"/>
      <c r="C159" s="19"/>
      <c r="D159" s="1500"/>
      <c r="E159" s="1499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99"/>
      <c r="AW159" s="1499"/>
    </row>
    <row r="160" spans="1:49" x14ac:dyDescent="0.3">
      <c r="A160" s="19"/>
      <c r="B160" s="19"/>
      <c r="C160" s="19"/>
      <c r="D160" s="1500"/>
      <c r="E160" s="1499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99"/>
      <c r="AW160" s="1499"/>
    </row>
    <row r="161" spans="1:49" x14ac:dyDescent="0.3">
      <c r="A161" s="19"/>
      <c r="B161" s="19"/>
      <c r="C161" s="19"/>
      <c r="D161" s="1500"/>
      <c r="E161" s="1500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00"/>
      <c r="AW161" s="1500"/>
    </row>
    <row r="162" spans="1:49" x14ac:dyDescent="0.3">
      <c r="A162" s="19"/>
      <c r="B162" s="19"/>
      <c r="C162" s="19"/>
      <c r="D162" s="1501"/>
      <c r="E162" s="1502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98"/>
      <c r="AW162" s="1498"/>
    </row>
    <row r="163" spans="1:49" x14ac:dyDescent="0.3">
      <c r="A163" s="19"/>
      <c r="B163" s="19"/>
      <c r="C163" s="19"/>
      <c r="D163" s="1500"/>
      <c r="E163" s="1499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99"/>
      <c r="AW163" s="1499"/>
    </row>
    <row r="164" spans="1:49" x14ac:dyDescent="0.3">
      <c r="A164" s="19"/>
      <c r="B164" s="19"/>
      <c r="C164" s="19"/>
      <c r="D164" s="1500"/>
      <c r="E164" s="1499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99"/>
      <c r="AW164" s="1499"/>
    </row>
    <row r="165" spans="1:49" x14ac:dyDescent="0.3">
      <c r="A165" s="19"/>
      <c r="B165" s="19"/>
      <c r="C165" s="19"/>
      <c r="D165" s="1500"/>
      <c r="E165" s="1499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99"/>
      <c r="AW165" s="1499"/>
    </row>
    <row r="166" spans="1:49" x14ac:dyDescent="0.3">
      <c r="A166" s="19"/>
      <c r="B166" s="19"/>
      <c r="C166" s="19"/>
      <c r="D166" s="1500"/>
      <c r="E166" s="1499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99"/>
      <c r="AW166" s="1499"/>
    </row>
    <row r="167" spans="1:49" x14ac:dyDescent="0.3">
      <c r="A167" s="19"/>
      <c r="B167" s="19"/>
      <c r="C167" s="19"/>
      <c r="D167" s="1500"/>
      <c r="E167" s="1499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99"/>
      <c r="AW167" s="1499"/>
    </row>
    <row r="168" spans="1:49" x14ac:dyDescent="0.3">
      <c r="A168" s="19"/>
      <c r="B168" s="19"/>
      <c r="C168" s="19"/>
      <c r="D168" s="1500"/>
      <c r="E168" s="1499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99"/>
      <c r="AW168" s="1499"/>
    </row>
    <row r="169" spans="1:49" x14ac:dyDescent="0.3">
      <c r="A169" s="19"/>
      <c r="B169" s="19"/>
      <c r="C169" s="19"/>
      <c r="D169" s="1500"/>
      <c r="E169" s="1500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00"/>
      <c r="AW169" s="1500"/>
    </row>
    <row r="170" spans="1:49" x14ac:dyDescent="0.3">
      <c r="A170" s="19"/>
      <c r="B170" s="19"/>
      <c r="C170" s="19"/>
      <c r="D170" s="1501"/>
      <c r="E170" s="1502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98"/>
      <c r="AW170" s="1498"/>
    </row>
    <row r="171" spans="1:49" x14ac:dyDescent="0.3">
      <c r="A171" s="19"/>
      <c r="B171" s="19"/>
      <c r="C171" s="19"/>
      <c r="D171" s="1500"/>
      <c r="E171" s="1499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99"/>
      <c r="AW171" s="1499"/>
    </row>
    <row r="172" spans="1:49" x14ac:dyDescent="0.3">
      <c r="A172" s="19"/>
      <c r="B172" s="19"/>
      <c r="C172" s="19"/>
      <c r="D172" s="1500"/>
      <c r="E172" s="1499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99"/>
      <c r="AW172" s="1499"/>
    </row>
    <row r="173" spans="1:49" x14ac:dyDescent="0.3">
      <c r="A173" s="19"/>
      <c r="B173" s="19"/>
      <c r="C173" s="19"/>
      <c r="D173" s="1500"/>
      <c r="E173" s="1499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99"/>
      <c r="AW173" s="1499"/>
    </row>
    <row r="174" spans="1:49" x14ac:dyDescent="0.3">
      <c r="A174" s="19"/>
      <c r="B174" s="19"/>
      <c r="C174" s="19"/>
      <c r="D174" s="1500"/>
      <c r="E174" s="1499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99"/>
      <c r="AW174" s="1499"/>
    </row>
    <row r="175" spans="1:49" x14ac:dyDescent="0.3">
      <c r="A175" s="19"/>
      <c r="B175" s="19"/>
      <c r="C175" s="19"/>
      <c r="D175" s="1500"/>
      <c r="E175" s="1499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99"/>
      <c r="AW175" s="1499"/>
    </row>
    <row r="176" spans="1:49" x14ac:dyDescent="0.3">
      <c r="A176" s="19"/>
      <c r="B176" s="19"/>
      <c r="C176" s="19"/>
      <c r="D176" s="1500"/>
      <c r="E176" s="1499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99"/>
      <c r="AW176" s="1499"/>
    </row>
    <row r="177" spans="1:49" x14ac:dyDescent="0.3">
      <c r="A177" s="19"/>
      <c r="B177" s="19"/>
      <c r="C177" s="19"/>
      <c r="D177" s="1500"/>
      <c r="E177" s="1500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00"/>
      <c r="AW177" s="1500"/>
    </row>
    <row r="178" spans="1:49" x14ac:dyDescent="0.3">
      <c r="A178" s="19"/>
      <c r="B178" s="19"/>
      <c r="C178" s="19"/>
      <c r="D178" s="1501"/>
      <c r="E178" s="1502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98"/>
      <c r="AW178" s="1498"/>
    </row>
    <row r="179" spans="1:49" x14ac:dyDescent="0.3">
      <c r="A179" s="19"/>
      <c r="B179" s="19"/>
      <c r="C179" s="19"/>
      <c r="D179" s="1500"/>
      <c r="E179" s="1499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99"/>
      <c r="AW179" s="1499"/>
    </row>
    <row r="180" spans="1:49" x14ac:dyDescent="0.3">
      <c r="A180" s="19"/>
      <c r="B180" s="19"/>
      <c r="C180" s="19"/>
      <c r="D180" s="1500"/>
      <c r="E180" s="1499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99"/>
      <c r="AW180" s="1499"/>
    </row>
    <row r="181" spans="1:49" x14ac:dyDescent="0.3">
      <c r="A181" s="19"/>
      <c r="B181" s="19"/>
      <c r="C181" s="19"/>
      <c r="D181" s="1500"/>
      <c r="E181" s="1499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99"/>
      <c r="AW181" s="1499"/>
    </row>
    <row r="182" spans="1:49" x14ac:dyDescent="0.3">
      <c r="A182" s="19"/>
      <c r="B182" s="19"/>
      <c r="C182" s="19"/>
      <c r="D182" s="1500"/>
      <c r="E182" s="1499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99"/>
      <c r="AW182" s="1499"/>
    </row>
    <row r="183" spans="1:49" x14ac:dyDescent="0.3">
      <c r="A183" s="19"/>
      <c r="B183" s="19"/>
      <c r="C183" s="19"/>
      <c r="D183" s="1500"/>
      <c r="E183" s="1499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99"/>
      <c r="AW183" s="1499"/>
    </row>
    <row r="184" spans="1:49" x14ac:dyDescent="0.3">
      <c r="A184" s="19"/>
      <c r="B184" s="19"/>
      <c r="C184" s="19"/>
      <c r="D184" s="1500"/>
      <c r="E184" s="1499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99"/>
      <c r="AW184" s="1499"/>
    </row>
    <row r="185" spans="1:49" x14ac:dyDescent="0.3">
      <c r="A185" s="19"/>
      <c r="B185" s="19"/>
      <c r="C185" s="19"/>
      <c r="D185" s="1500"/>
      <c r="E185" s="1500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00"/>
      <c r="AW185" s="1500"/>
    </row>
    <row r="186" spans="1:49" x14ac:dyDescent="0.3">
      <c r="A186" s="19"/>
      <c r="B186" s="19"/>
      <c r="C186" s="19"/>
      <c r="D186" s="1501"/>
      <c r="E186" s="1502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98"/>
      <c r="AW186" s="1498"/>
    </row>
    <row r="187" spans="1:49" x14ac:dyDescent="0.3">
      <c r="A187" s="19"/>
      <c r="B187" s="19"/>
      <c r="C187" s="19"/>
      <c r="D187" s="1500"/>
      <c r="E187" s="1499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99"/>
      <c r="AW187" s="1499"/>
    </row>
    <row r="188" spans="1:49" x14ac:dyDescent="0.3">
      <c r="A188" s="19"/>
      <c r="B188" s="19"/>
      <c r="C188" s="19"/>
      <c r="D188" s="1500"/>
      <c r="E188" s="1499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99"/>
      <c r="AW188" s="1499"/>
    </row>
    <row r="189" spans="1:49" x14ac:dyDescent="0.3">
      <c r="A189" s="19"/>
      <c r="B189" s="19"/>
      <c r="C189" s="19"/>
      <c r="D189" s="1500"/>
      <c r="E189" s="1499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99"/>
      <c r="AW189" s="1499"/>
    </row>
    <row r="190" spans="1:49" x14ac:dyDescent="0.3">
      <c r="A190" s="19"/>
      <c r="B190" s="19"/>
      <c r="C190" s="19"/>
      <c r="D190" s="1500"/>
      <c r="E190" s="1499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99"/>
      <c r="AW190" s="1499"/>
    </row>
    <row r="191" spans="1:49" x14ac:dyDescent="0.3">
      <c r="A191" s="19"/>
      <c r="B191" s="19"/>
      <c r="C191" s="19"/>
      <c r="D191" s="1500"/>
      <c r="E191" s="1499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99"/>
      <c r="AW191" s="1499"/>
    </row>
    <row r="192" spans="1:49" x14ac:dyDescent="0.3">
      <c r="A192" s="19"/>
      <c r="B192" s="19"/>
      <c r="C192" s="19"/>
      <c r="D192" s="1500"/>
      <c r="E192" s="1499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99"/>
      <c r="AW192" s="1499"/>
    </row>
    <row r="193" spans="1:49" x14ac:dyDescent="0.3">
      <c r="A193" s="19"/>
      <c r="B193" s="19"/>
      <c r="C193" s="19"/>
      <c r="D193" s="1500"/>
      <c r="E193" s="1500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00"/>
      <c r="AW193" s="1500"/>
    </row>
    <row r="194" spans="1:49" x14ac:dyDescent="0.3">
      <c r="A194" s="19"/>
      <c r="B194" s="19"/>
      <c r="C194" s="19"/>
      <c r="D194" s="1501"/>
      <c r="E194" s="1502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98"/>
      <c r="AW194" s="1498"/>
    </row>
    <row r="195" spans="1:49" x14ac:dyDescent="0.3">
      <c r="A195" s="19"/>
      <c r="B195" s="19"/>
      <c r="C195" s="19"/>
      <c r="D195" s="1500"/>
      <c r="E195" s="1499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99"/>
      <c r="AW195" s="1499"/>
    </row>
    <row r="196" spans="1:49" x14ac:dyDescent="0.3">
      <c r="A196" s="19"/>
      <c r="B196" s="19"/>
      <c r="C196" s="19"/>
      <c r="D196" s="1500"/>
      <c r="E196" s="1499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99"/>
      <c r="AW196" s="1499"/>
    </row>
    <row r="197" spans="1:49" x14ac:dyDescent="0.3">
      <c r="A197" s="19"/>
      <c r="B197" s="19"/>
      <c r="C197" s="19"/>
      <c r="D197" s="1500"/>
      <c r="E197" s="1499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99"/>
      <c r="AW197" s="1499"/>
    </row>
    <row r="198" spans="1:49" x14ac:dyDescent="0.3">
      <c r="A198" s="19"/>
      <c r="B198" s="19"/>
      <c r="C198" s="19"/>
      <c r="D198" s="1500"/>
      <c r="E198" s="1499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99"/>
      <c r="AW198" s="1499"/>
    </row>
    <row r="199" spans="1:49" x14ac:dyDescent="0.3">
      <c r="A199" s="19"/>
      <c r="B199" s="19"/>
      <c r="C199" s="19"/>
      <c r="D199" s="1500"/>
      <c r="E199" s="1499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99"/>
      <c r="AW199" s="1499"/>
    </row>
    <row r="200" spans="1:49" x14ac:dyDescent="0.3">
      <c r="A200" s="19"/>
      <c r="B200" s="19"/>
      <c r="C200" s="19"/>
      <c r="D200" s="1500"/>
      <c r="E200" s="1499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99"/>
      <c r="AW200" s="1499"/>
    </row>
    <row r="201" spans="1:49" x14ac:dyDescent="0.3">
      <c r="A201" s="19"/>
      <c r="B201" s="19"/>
      <c r="C201" s="19"/>
      <c r="D201" s="1500"/>
      <c r="E201" s="1500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00"/>
      <c r="AW201" s="1500"/>
    </row>
    <row r="202" spans="1:49" x14ac:dyDescent="0.3">
      <c r="A202" s="19"/>
      <c r="B202" s="19"/>
      <c r="C202" s="19"/>
      <c r="D202" s="1501"/>
      <c r="E202" s="1502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98"/>
      <c r="AW202" s="1498"/>
    </row>
    <row r="203" spans="1:49" x14ac:dyDescent="0.3">
      <c r="A203" s="19"/>
      <c r="B203" s="19"/>
      <c r="C203" s="19"/>
      <c r="D203" s="1500"/>
      <c r="E203" s="1499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99"/>
      <c r="AW203" s="1499"/>
    </row>
    <row r="204" spans="1:49" x14ac:dyDescent="0.3">
      <c r="A204" s="19"/>
      <c r="B204" s="19"/>
      <c r="C204" s="19"/>
      <c r="D204" s="1500"/>
      <c r="E204" s="1499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99"/>
      <c r="AW204" s="1499"/>
    </row>
    <row r="205" spans="1:49" x14ac:dyDescent="0.3">
      <c r="A205" s="19"/>
      <c r="B205" s="19"/>
      <c r="C205" s="19"/>
      <c r="D205" s="1500"/>
      <c r="E205" s="1499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99"/>
      <c r="AW205" s="1499"/>
    </row>
    <row r="206" spans="1:49" x14ac:dyDescent="0.3">
      <c r="A206" s="19"/>
      <c r="B206" s="19"/>
      <c r="C206" s="19"/>
      <c r="D206" s="1500"/>
      <c r="E206" s="1499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99"/>
      <c r="AW206" s="1499"/>
    </row>
    <row r="207" spans="1:49" x14ac:dyDescent="0.3">
      <c r="A207" s="19"/>
      <c r="B207" s="19"/>
      <c r="C207" s="19"/>
      <c r="D207" s="1500"/>
      <c r="E207" s="1499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99"/>
      <c r="AW207" s="1499"/>
    </row>
    <row r="208" spans="1:49" x14ac:dyDescent="0.3">
      <c r="A208" s="19"/>
      <c r="B208" s="19"/>
      <c r="C208" s="19"/>
      <c r="D208" s="1500"/>
      <c r="E208" s="1499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99"/>
      <c r="AW208" s="1499"/>
    </row>
    <row r="209" spans="1:49" x14ac:dyDescent="0.3">
      <c r="A209" s="19"/>
      <c r="B209" s="19"/>
      <c r="C209" s="19"/>
      <c r="D209" s="1500"/>
      <c r="E209" s="1500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00"/>
      <c r="AW209" s="1500"/>
    </row>
    <row r="210" spans="1:49" x14ac:dyDescent="0.3">
      <c r="A210" s="19"/>
      <c r="B210" s="19"/>
      <c r="C210" s="19"/>
      <c r="D210" s="1501"/>
      <c r="E210" s="1502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98"/>
      <c r="AW210" s="1498"/>
    </row>
    <row r="211" spans="1:49" x14ac:dyDescent="0.3">
      <c r="A211" s="19"/>
      <c r="B211" s="19"/>
      <c r="C211" s="19"/>
      <c r="D211" s="1500"/>
      <c r="E211" s="1499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99"/>
      <c r="AW211" s="1499"/>
    </row>
    <row r="212" spans="1:49" x14ac:dyDescent="0.3">
      <c r="A212" s="19"/>
      <c r="B212" s="19"/>
      <c r="C212" s="19"/>
      <c r="D212" s="1500"/>
      <c r="E212" s="1499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99"/>
      <c r="AW212" s="1499"/>
    </row>
    <row r="213" spans="1:49" x14ac:dyDescent="0.3">
      <c r="A213" s="19"/>
      <c r="B213" s="19"/>
      <c r="C213" s="19"/>
      <c r="D213" s="1500"/>
      <c r="E213" s="1499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99"/>
      <c r="AW213" s="1499"/>
    </row>
    <row r="214" spans="1:49" x14ac:dyDescent="0.3">
      <c r="A214" s="19"/>
      <c r="B214" s="19"/>
      <c r="C214" s="19"/>
      <c r="D214" s="1500"/>
      <c r="E214" s="1499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99"/>
      <c r="AW214" s="1499"/>
    </row>
    <row r="215" spans="1:49" x14ac:dyDescent="0.3">
      <c r="A215" s="19"/>
      <c r="B215" s="19"/>
      <c r="C215" s="19"/>
      <c r="D215" s="1500"/>
      <c r="E215" s="1499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99"/>
      <c r="AW215" s="1499"/>
    </row>
    <row r="216" spans="1:49" x14ac:dyDescent="0.3">
      <c r="A216" s="19"/>
      <c r="B216" s="19"/>
      <c r="C216" s="19"/>
      <c r="D216" s="1500"/>
      <c r="E216" s="1499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99"/>
      <c r="AW216" s="1499"/>
    </row>
    <row r="217" spans="1:49" x14ac:dyDescent="0.3">
      <c r="A217" s="19"/>
      <c r="B217" s="19"/>
      <c r="C217" s="19"/>
      <c r="D217" s="1500"/>
      <c r="E217" s="1500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00"/>
      <c r="AW217" s="1500"/>
    </row>
    <row r="218" spans="1:49" x14ac:dyDescent="0.3">
      <c r="A218" s="19"/>
      <c r="B218" s="19"/>
      <c r="C218" s="19"/>
      <c r="D218" s="1501"/>
      <c r="E218" s="1502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98"/>
      <c r="AW218" s="1498"/>
    </row>
    <row r="219" spans="1:49" x14ac:dyDescent="0.3">
      <c r="A219" s="19"/>
      <c r="B219" s="19"/>
      <c r="C219" s="19"/>
      <c r="D219" s="1500"/>
      <c r="E219" s="1499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99"/>
      <c r="AW219" s="1499"/>
    </row>
    <row r="220" spans="1:49" x14ac:dyDescent="0.3">
      <c r="A220" s="19"/>
      <c r="B220" s="19"/>
      <c r="C220" s="19"/>
      <c r="D220" s="1500"/>
      <c r="E220" s="1499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99"/>
      <c r="AW220" s="1499"/>
    </row>
    <row r="221" spans="1:49" x14ac:dyDescent="0.3">
      <c r="A221" s="19"/>
      <c r="B221" s="19"/>
      <c r="C221" s="19"/>
      <c r="D221" s="1500"/>
      <c r="E221" s="1499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99"/>
      <c r="AW221" s="1499"/>
    </row>
    <row r="222" spans="1:49" x14ac:dyDescent="0.3">
      <c r="A222" s="19"/>
      <c r="B222" s="19"/>
      <c r="C222" s="19"/>
      <c r="D222" s="1500"/>
      <c r="E222" s="1499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99"/>
      <c r="AW222" s="1499"/>
    </row>
    <row r="223" spans="1:49" x14ac:dyDescent="0.3">
      <c r="A223" s="19"/>
      <c r="B223" s="19"/>
      <c r="C223" s="19"/>
      <c r="D223" s="1500"/>
      <c r="E223" s="1499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99"/>
      <c r="AW223" s="1499"/>
    </row>
    <row r="224" spans="1:49" x14ac:dyDescent="0.3">
      <c r="A224" s="19"/>
      <c r="B224" s="19"/>
      <c r="C224" s="19"/>
      <c r="D224" s="1500"/>
      <c r="E224" s="1499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99"/>
      <c r="AW224" s="1499"/>
    </row>
    <row r="225" spans="1:49" x14ac:dyDescent="0.3">
      <c r="A225" s="19"/>
      <c r="B225" s="19"/>
      <c r="C225" s="19"/>
      <c r="D225" s="1500"/>
      <c r="E225" s="1500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00"/>
      <c r="AW225" s="1500"/>
    </row>
    <row r="226" spans="1:49" x14ac:dyDescent="0.3">
      <c r="A226" s="19"/>
      <c r="B226" s="19"/>
      <c r="C226" s="19"/>
      <c r="D226" s="1501"/>
      <c r="E226" s="1502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98"/>
      <c r="AW226" s="1498"/>
    </row>
    <row r="227" spans="1:49" x14ac:dyDescent="0.3">
      <c r="A227" s="19"/>
      <c r="B227" s="19"/>
      <c r="C227" s="19"/>
      <c r="D227" s="1500"/>
      <c r="E227" s="1499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99"/>
      <c r="AW227" s="1499"/>
    </row>
    <row r="228" spans="1:49" x14ac:dyDescent="0.3">
      <c r="A228" s="19"/>
      <c r="B228" s="19"/>
      <c r="C228" s="19"/>
      <c r="D228" s="1500"/>
      <c r="E228" s="1499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99"/>
      <c r="AW228" s="1499"/>
    </row>
    <row r="229" spans="1:49" x14ac:dyDescent="0.3">
      <c r="A229" s="19"/>
      <c r="B229" s="19"/>
      <c r="C229" s="19"/>
      <c r="D229" s="1500"/>
      <c r="E229" s="1499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99"/>
      <c r="AW229" s="1499"/>
    </row>
    <row r="230" spans="1:49" x14ac:dyDescent="0.3">
      <c r="A230" s="19"/>
      <c r="B230" s="19"/>
      <c r="C230" s="19"/>
      <c r="D230" s="1500"/>
      <c r="E230" s="1499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99"/>
      <c r="AW230" s="1499"/>
    </row>
    <row r="231" spans="1:49" x14ac:dyDescent="0.3">
      <c r="A231" s="19"/>
      <c r="B231" s="19"/>
      <c r="C231" s="19"/>
      <c r="D231" s="1500"/>
      <c r="E231" s="1499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99"/>
      <c r="AW231" s="1499"/>
    </row>
    <row r="232" spans="1:49" x14ac:dyDescent="0.3">
      <c r="A232" s="19"/>
      <c r="B232" s="19"/>
      <c r="C232" s="19"/>
      <c r="D232" s="1500"/>
      <c r="E232" s="1499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99"/>
      <c r="AW232" s="1499"/>
    </row>
    <row r="233" spans="1:49" x14ac:dyDescent="0.3">
      <c r="A233" s="19"/>
      <c r="B233" s="19"/>
      <c r="C233" s="19"/>
      <c r="D233" s="1500"/>
      <c r="E233" s="1500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00"/>
      <c r="AW233" s="1500"/>
    </row>
    <row r="234" spans="1:49" x14ac:dyDescent="0.3">
      <c r="A234" s="19"/>
      <c r="B234" s="19"/>
      <c r="C234" s="19"/>
      <c r="D234" s="1501"/>
      <c r="E234" s="1502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98"/>
      <c r="AW234" s="1498"/>
    </row>
    <row r="235" spans="1:49" x14ac:dyDescent="0.3">
      <c r="A235" s="19"/>
      <c r="B235" s="19"/>
      <c r="C235" s="19"/>
      <c r="D235" s="1500"/>
      <c r="E235" s="1499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99"/>
      <c r="AW235" s="1499"/>
    </row>
    <row r="236" spans="1:49" x14ac:dyDescent="0.3">
      <c r="A236" s="19"/>
      <c r="B236" s="19"/>
      <c r="C236" s="19"/>
      <c r="D236" s="1500"/>
      <c r="E236" s="1499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99"/>
      <c r="AW236" s="1499"/>
    </row>
    <row r="237" spans="1:49" x14ac:dyDescent="0.3">
      <c r="A237" s="19"/>
      <c r="B237" s="19"/>
      <c r="C237" s="19"/>
      <c r="D237" s="1500"/>
      <c r="E237" s="1499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99"/>
      <c r="AW237" s="1499"/>
    </row>
    <row r="238" spans="1:49" x14ac:dyDescent="0.3">
      <c r="A238" s="19"/>
      <c r="B238" s="19"/>
      <c r="C238" s="19"/>
      <c r="D238" s="1500"/>
      <c r="E238" s="1499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99"/>
      <c r="AW238" s="1499"/>
    </row>
    <row r="239" spans="1:49" x14ac:dyDescent="0.3">
      <c r="A239" s="19"/>
      <c r="B239" s="19"/>
      <c r="C239" s="19"/>
      <c r="D239" s="1500"/>
      <c r="E239" s="1499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99"/>
      <c r="AW239" s="1499"/>
    </row>
    <row r="240" spans="1:49" x14ac:dyDescent="0.3">
      <c r="A240" s="19"/>
      <c r="B240" s="19"/>
      <c r="C240" s="19"/>
      <c r="D240" s="1500"/>
      <c r="E240" s="1499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99"/>
      <c r="AW240" s="1499"/>
    </row>
    <row r="241" spans="1:49" x14ac:dyDescent="0.3">
      <c r="A241" s="19"/>
      <c r="B241" s="19"/>
      <c r="C241" s="19"/>
      <c r="D241" s="1500"/>
      <c r="E241" s="1500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00"/>
      <c r="AW241" s="1500"/>
    </row>
    <row r="242" spans="1:49" x14ac:dyDescent="0.3">
      <c r="A242" s="19"/>
      <c r="B242" s="19"/>
      <c r="C242" s="19"/>
      <c r="D242" s="1501"/>
      <c r="E242" s="1502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98"/>
      <c r="AW242" s="1498"/>
    </row>
    <row r="243" spans="1:49" x14ac:dyDescent="0.3">
      <c r="A243" s="19"/>
      <c r="B243" s="19"/>
      <c r="C243" s="19"/>
      <c r="D243" s="1500"/>
      <c r="E243" s="1499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99"/>
      <c r="AW243" s="1499"/>
    </row>
    <row r="244" spans="1:49" x14ac:dyDescent="0.3">
      <c r="A244" s="19"/>
      <c r="B244" s="19"/>
      <c r="C244" s="19"/>
      <c r="D244" s="1500"/>
      <c r="E244" s="1499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99"/>
      <c r="AW244" s="1499"/>
    </row>
    <row r="245" spans="1:49" x14ac:dyDescent="0.3">
      <c r="A245" s="19"/>
      <c r="B245" s="19"/>
      <c r="C245" s="19"/>
      <c r="D245" s="1500"/>
      <c r="E245" s="1499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99"/>
      <c r="AW245" s="1499"/>
    </row>
    <row r="246" spans="1:49" x14ac:dyDescent="0.3">
      <c r="A246" s="19"/>
      <c r="B246" s="19"/>
      <c r="C246" s="19"/>
      <c r="D246" s="1500"/>
      <c r="E246" s="1499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99"/>
      <c r="AW246" s="1499"/>
    </row>
    <row r="247" spans="1:49" x14ac:dyDescent="0.3">
      <c r="A247" s="19"/>
      <c r="B247" s="19"/>
      <c r="C247" s="19"/>
      <c r="D247" s="1500"/>
      <c r="E247" s="1499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99"/>
      <c r="AW247" s="1499"/>
    </row>
    <row r="248" spans="1:49" x14ac:dyDescent="0.3">
      <c r="A248" s="19"/>
      <c r="B248" s="19"/>
      <c r="C248" s="19"/>
      <c r="D248" s="1500"/>
      <c r="E248" s="1499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99"/>
      <c r="AW248" s="1499"/>
    </row>
    <row r="249" spans="1:49" x14ac:dyDescent="0.3">
      <c r="A249" s="19"/>
      <c r="B249" s="19"/>
      <c r="C249" s="19"/>
      <c r="D249" s="1500"/>
      <c r="E249" s="1500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00"/>
      <c r="AW249" s="1500"/>
    </row>
    <row r="250" spans="1:49" x14ac:dyDescent="0.3">
      <c r="A250" s="19"/>
      <c r="B250" s="19"/>
      <c r="C250" s="19"/>
      <c r="D250" s="1501"/>
      <c r="E250" s="1502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98"/>
      <c r="AW250" s="1498"/>
    </row>
    <row r="251" spans="1:49" x14ac:dyDescent="0.3">
      <c r="A251" s="19"/>
      <c r="B251" s="19"/>
      <c r="C251" s="19"/>
      <c r="D251" s="1500"/>
      <c r="E251" s="1499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99"/>
      <c r="AW251" s="1499"/>
    </row>
    <row r="252" spans="1:49" x14ac:dyDescent="0.3">
      <c r="A252" s="19"/>
      <c r="B252" s="19"/>
      <c r="C252" s="19"/>
      <c r="D252" s="1500"/>
      <c r="E252" s="1499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99"/>
      <c r="AW252" s="1499"/>
    </row>
    <row r="253" spans="1:49" x14ac:dyDescent="0.3">
      <c r="A253" s="19"/>
      <c r="B253" s="19"/>
      <c r="C253" s="19"/>
      <c r="D253" s="1500"/>
      <c r="E253" s="1499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99"/>
      <c r="AW253" s="1499"/>
    </row>
    <row r="254" spans="1:49" x14ac:dyDescent="0.3">
      <c r="A254" s="19"/>
      <c r="B254" s="19"/>
      <c r="C254" s="19"/>
      <c r="D254" s="1500"/>
      <c r="E254" s="1499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99"/>
      <c r="AW254" s="1499"/>
    </row>
    <row r="255" spans="1:49" x14ac:dyDescent="0.3">
      <c r="A255" s="19"/>
      <c r="B255" s="19"/>
      <c r="C255" s="19"/>
      <c r="D255" s="1500"/>
      <c r="E255" s="1499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99"/>
      <c r="AW255" s="1499"/>
    </row>
    <row r="256" spans="1:49" x14ac:dyDescent="0.3">
      <c r="A256" s="19"/>
      <c r="B256" s="19"/>
      <c r="C256" s="19"/>
      <c r="D256" s="1500"/>
      <c r="E256" s="1499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99"/>
      <c r="AW256" s="1499"/>
    </row>
    <row r="257" spans="1:49" x14ac:dyDescent="0.3">
      <c r="A257" s="19"/>
      <c r="B257" s="19"/>
      <c r="C257" s="19"/>
      <c r="D257" s="1500"/>
      <c r="E257" s="1500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00"/>
      <c r="AW257" s="1500"/>
    </row>
    <row r="258" spans="1:49" x14ac:dyDescent="0.3">
      <c r="A258" s="19"/>
      <c r="B258" s="19"/>
      <c r="C258" s="19"/>
      <c r="D258" s="1501"/>
      <c r="E258" s="1502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98"/>
      <c r="AW258" s="1498"/>
    </row>
    <row r="259" spans="1:49" x14ac:dyDescent="0.3">
      <c r="A259" s="19"/>
      <c r="B259" s="19"/>
      <c r="C259" s="19"/>
      <c r="D259" s="1500"/>
      <c r="E259" s="1499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99"/>
      <c r="AW259" s="1499"/>
    </row>
    <row r="260" spans="1:49" x14ac:dyDescent="0.3">
      <c r="A260" s="19"/>
      <c r="B260" s="19"/>
      <c r="C260" s="19"/>
      <c r="D260" s="1500"/>
      <c r="E260" s="1499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99"/>
      <c r="AW260" s="1499"/>
    </row>
    <row r="261" spans="1:49" x14ac:dyDescent="0.3">
      <c r="A261" s="19"/>
      <c r="B261" s="19"/>
      <c r="C261" s="19"/>
      <c r="D261" s="1500"/>
      <c r="E261" s="1499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99"/>
      <c r="AW261" s="1499"/>
    </row>
    <row r="262" spans="1:49" x14ac:dyDescent="0.3">
      <c r="A262" s="19"/>
      <c r="B262" s="19"/>
      <c r="C262" s="19"/>
      <c r="D262" s="1500"/>
      <c r="E262" s="1499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99"/>
      <c r="AW262" s="1499"/>
    </row>
    <row r="263" spans="1:49" x14ac:dyDescent="0.3">
      <c r="A263" s="19"/>
      <c r="B263" s="19"/>
      <c r="C263" s="19"/>
      <c r="D263" s="1500"/>
      <c r="E263" s="1499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99"/>
      <c r="AW263" s="1499"/>
    </row>
    <row r="264" spans="1:49" x14ac:dyDescent="0.3">
      <c r="A264" s="19"/>
      <c r="B264" s="19"/>
      <c r="C264" s="19"/>
      <c r="D264" s="1500"/>
      <c r="E264" s="1499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99"/>
      <c r="AW264" s="1499"/>
    </row>
    <row r="265" spans="1:49" x14ac:dyDescent="0.3">
      <c r="A265" s="19"/>
      <c r="B265" s="19"/>
      <c r="C265" s="19"/>
      <c r="D265" s="1500"/>
      <c r="E265" s="1500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00"/>
      <c r="AW265" s="1500"/>
    </row>
    <row r="266" spans="1:49" x14ac:dyDescent="0.3">
      <c r="A266" s="19"/>
      <c r="B266" s="19"/>
      <c r="C266" s="19"/>
      <c r="D266" s="1501"/>
      <c r="E266" s="1502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98"/>
      <c r="AW266" s="1498"/>
    </row>
    <row r="267" spans="1:49" x14ac:dyDescent="0.3">
      <c r="A267" s="19"/>
      <c r="B267" s="19"/>
      <c r="C267" s="19"/>
      <c r="D267" s="1500"/>
      <c r="E267" s="1499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99"/>
      <c r="AW267" s="1499"/>
    </row>
    <row r="268" spans="1:49" x14ac:dyDescent="0.3">
      <c r="A268" s="19"/>
      <c r="B268" s="19"/>
      <c r="C268" s="19"/>
      <c r="D268" s="1500"/>
      <c r="E268" s="1499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99"/>
      <c r="AW268" s="1499"/>
    </row>
    <row r="269" spans="1:49" x14ac:dyDescent="0.3">
      <c r="A269" s="19"/>
      <c r="B269" s="19"/>
      <c r="C269" s="19"/>
      <c r="D269" s="1500"/>
      <c r="E269" s="1499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99"/>
      <c r="AW269" s="1499"/>
    </row>
    <row r="270" spans="1:49" x14ac:dyDescent="0.3">
      <c r="A270" s="19"/>
      <c r="B270" s="19"/>
      <c r="C270" s="19"/>
      <c r="D270" s="1500"/>
      <c r="E270" s="1499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99"/>
      <c r="AW270" s="1499"/>
    </row>
    <row r="271" spans="1:49" x14ac:dyDescent="0.3">
      <c r="A271" s="19"/>
      <c r="B271" s="19"/>
      <c r="C271" s="19"/>
      <c r="D271" s="1500"/>
      <c r="E271" s="1499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99"/>
      <c r="AW271" s="1499"/>
    </row>
    <row r="272" spans="1:49" x14ac:dyDescent="0.3">
      <c r="A272" s="19"/>
      <c r="B272" s="19"/>
      <c r="C272" s="19"/>
      <c r="D272" s="1500"/>
      <c r="E272" s="1499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99"/>
      <c r="AW272" s="1499"/>
    </row>
    <row r="273" spans="1:49" x14ac:dyDescent="0.3">
      <c r="A273" s="19"/>
      <c r="B273" s="19"/>
      <c r="C273" s="19"/>
      <c r="D273" s="1500"/>
      <c r="E273" s="1500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00"/>
      <c r="AW273" s="1500"/>
    </row>
    <row r="274" spans="1:49" x14ac:dyDescent="0.3">
      <c r="A274" s="19"/>
      <c r="B274" s="19"/>
      <c r="C274" s="19"/>
      <c r="D274" s="1501"/>
      <c r="E274" s="1502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98"/>
      <c r="AW274" s="1498"/>
    </row>
    <row r="275" spans="1:49" x14ac:dyDescent="0.3">
      <c r="A275" s="19"/>
      <c r="B275" s="19"/>
      <c r="C275" s="19"/>
      <c r="D275" s="1500"/>
      <c r="E275" s="1499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99"/>
      <c r="AW275" s="1499"/>
    </row>
    <row r="276" spans="1:49" x14ac:dyDescent="0.3">
      <c r="A276" s="19"/>
      <c r="B276" s="19"/>
      <c r="C276" s="19"/>
      <c r="D276" s="1500"/>
      <c r="E276" s="1499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99"/>
      <c r="AW276" s="1499"/>
    </row>
    <row r="277" spans="1:49" x14ac:dyDescent="0.3">
      <c r="A277" s="19"/>
      <c r="B277" s="19"/>
      <c r="C277" s="19"/>
      <c r="D277" s="1500"/>
      <c r="E277" s="1499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99"/>
      <c r="AW277" s="1499"/>
    </row>
    <row r="278" spans="1:49" x14ac:dyDescent="0.3">
      <c r="A278" s="19"/>
      <c r="B278" s="19"/>
      <c r="C278" s="19"/>
      <c r="D278" s="1500"/>
      <c r="E278" s="1499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99"/>
      <c r="AW278" s="1499"/>
    </row>
    <row r="279" spans="1:49" x14ac:dyDescent="0.3">
      <c r="A279" s="19"/>
      <c r="B279" s="19"/>
      <c r="C279" s="19"/>
      <c r="D279" s="1500"/>
      <c r="E279" s="1499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99"/>
      <c r="AW279" s="1499"/>
    </row>
    <row r="280" spans="1:49" x14ac:dyDescent="0.3">
      <c r="A280" s="19"/>
      <c r="B280" s="19"/>
      <c r="C280" s="19"/>
      <c r="D280" s="1500"/>
      <c r="E280" s="1499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99"/>
      <c r="AW280" s="1499"/>
    </row>
    <row r="281" spans="1:49" x14ac:dyDescent="0.3">
      <c r="A281" s="19"/>
      <c r="B281" s="19"/>
      <c r="C281" s="19"/>
      <c r="D281" s="1500"/>
      <c r="E281" s="1500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00"/>
      <c r="AW281" s="1500"/>
    </row>
    <row r="282" spans="1:49" x14ac:dyDescent="0.3">
      <c r="A282" s="19"/>
      <c r="B282" s="19"/>
      <c r="C282" s="19"/>
      <c r="D282" s="1501"/>
      <c r="E282" s="1502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98"/>
      <c r="AW282" s="1498"/>
    </row>
    <row r="283" spans="1:49" x14ac:dyDescent="0.3">
      <c r="A283" s="19"/>
      <c r="B283" s="19"/>
      <c r="C283" s="19"/>
      <c r="D283" s="1500"/>
      <c r="E283" s="1499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99"/>
      <c r="AW283" s="1499"/>
    </row>
    <row r="284" spans="1:49" x14ac:dyDescent="0.3">
      <c r="A284" s="19"/>
      <c r="B284" s="19"/>
      <c r="C284" s="19"/>
      <c r="D284" s="1500"/>
      <c r="E284" s="1499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99"/>
      <c r="AW284" s="1499"/>
    </row>
    <row r="285" spans="1:49" x14ac:dyDescent="0.3">
      <c r="A285" s="19"/>
      <c r="B285" s="19"/>
      <c r="C285" s="19"/>
      <c r="D285" s="1500"/>
      <c r="E285" s="1499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99"/>
      <c r="AW285" s="1499"/>
    </row>
    <row r="286" spans="1:49" x14ac:dyDescent="0.3">
      <c r="A286" s="19"/>
      <c r="B286" s="19"/>
      <c r="C286" s="19"/>
      <c r="D286" s="1500"/>
      <c r="E286" s="1499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99"/>
      <c r="AW286" s="1499"/>
    </row>
    <row r="287" spans="1:49" x14ac:dyDescent="0.3">
      <c r="A287" s="19"/>
      <c r="B287" s="19"/>
      <c r="C287" s="19"/>
      <c r="D287" s="1500"/>
      <c r="E287" s="1499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99"/>
      <c r="AW287" s="1499"/>
    </row>
    <row r="288" spans="1:49" x14ac:dyDescent="0.3">
      <c r="A288" s="19"/>
      <c r="B288" s="19"/>
      <c r="C288" s="19"/>
      <c r="D288" s="1500"/>
      <c r="E288" s="1499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99"/>
      <c r="AW288" s="1499"/>
    </row>
    <row r="289" spans="1:49" x14ac:dyDescent="0.3">
      <c r="A289" s="19"/>
      <c r="B289" s="19"/>
      <c r="C289" s="19"/>
      <c r="D289" s="1500"/>
      <c r="E289" s="1500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00"/>
      <c r="AW289" s="1500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27" t="s">
        <v>71</v>
      </c>
      <c r="E1" s="1527"/>
      <c r="F1" s="1527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6"/>
      <c r="O4" s="977"/>
    </row>
    <row r="5" spans="2:15" x14ac:dyDescent="0.3">
      <c r="B5" s="14">
        <v>2</v>
      </c>
      <c r="C5" s="74">
        <v>46253</v>
      </c>
      <c r="D5" s="14">
        <v>320</v>
      </c>
      <c r="N5" s="976"/>
      <c r="O5" s="977"/>
    </row>
    <row r="6" spans="2:15" x14ac:dyDescent="0.3">
      <c r="B6" s="14">
        <v>3</v>
      </c>
      <c r="C6" s="74">
        <v>46254</v>
      </c>
      <c r="D6" s="14">
        <v>388</v>
      </c>
      <c r="N6" s="976"/>
      <c r="O6" s="977"/>
    </row>
    <row r="7" spans="2:15" x14ac:dyDescent="0.3">
      <c r="B7" s="14">
        <v>4</v>
      </c>
      <c r="C7" s="74">
        <v>46255</v>
      </c>
      <c r="D7" s="14">
        <v>425</v>
      </c>
      <c r="N7" s="976"/>
      <c r="O7" s="977"/>
    </row>
    <row r="8" spans="2:15" x14ac:dyDescent="0.3">
      <c r="B8" s="14">
        <v>5</v>
      </c>
      <c r="C8" s="74">
        <v>46256</v>
      </c>
      <c r="D8" s="14">
        <v>452</v>
      </c>
      <c r="N8" s="976"/>
      <c r="O8" s="977"/>
    </row>
    <row r="9" spans="2:15" x14ac:dyDescent="0.3">
      <c r="B9" s="14">
        <v>6</v>
      </c>
      <c r="C9" s="74">
        <v>46257</v>
      </c>
      <c r="D9" s="14">
        <v>397</v>
      </c>
      <c r="N9" s="976"/>
      <c r="O9" s="977"/>
    </row>
    <row r="10" spans="2:15" x14ac:dyDescent="0.3">
      <c r="B10" s="14">
        <v>7</v>
      </c>
      <c r="C10" s="74">
        <v>46258</v>
      </c>
      <c r="D10" s="14">
        <v>283</v>
      </c>
      <c r="N10" s="976"/>
      <c r="O10" s="977"/>
    </row>
    <row r="11" spans="2:15" x14ac:dyDescent="0.3">
      <c r="B11" s="14">
        <v>8</v>
      </c>
      <c r="C11" s="74">
        <v>46259</v>
      </c>
      <c r="D11" s="14">
        <v>347</v>
      </c>
      <c r="N11" s="976"/>
      <c r="O11" s="977"/>
    </row>
    <row r="12" spans="2:15" x14ac:dyDescent="0.3">
      <c r="B12" s="14">
        <v>9</v>
      </c>
      <c r="C12" s="74">
        <v>46260</v>
      </c>
      <c r="D12" s="14">
        <v>346</v>
      </c>
      <c r="N12" s="976"/>
      <c r="O12" s="977"/>
    </row>
    <row r="13" spans="2:15" x14ac:dyDescent="0.3">
      <c r="B13" s="14">
        <v>10</v>
      </c>
      <c r="C13" s="74">
        <v>46261</v>
      </c>
      <c r="D13" s="14">
        <v>297</v>
      </c>
      <c r="N13" s="976"/>
      <c r="O13" s="977"/>
    </row>
    <row r="14" spans="2:15" x14ac:dyDescent="0.3">
      <c r="B14" s="14">
        <v>11</v>
      </c>
      <c r="C14" s="74">
        <v>46262</v>
      </c>
      <c r="D14" s="14">
        <v>304</v>
      </c>
      <c r="N14" s="976"/>
      <c r="O14" s="977"/>
    </row>
    <row r="15" spans="2:15" x14ac:dyDescent="0.3">
      <c r="B15" s="14">
        <v>12</v>
      </c>
      <c r="C15" s="74">
        <v>46263</v>
      </c>
      <c r="D15" s="14">
        <v>510</v>
      </c>
      <c r="N15" s="976"/>
      <c r="O15" s="977"/>
    </row>
    <row r="16" spans="2:15" x14ac:dyDescent="0.3">
      <c r="B16" s="14">
        <v>13</v>
      </c>
      <c r="C16" s="74">
        <v>46264</v>
      </c>
      <c r="D16" s="14">
        <v>524</v>
      </c>
      <c r="N16" s="976"/>
      <c r="O16" s="977"/>
    </row>
    <row r="17" spans="2:15" x14ac:dyDescent="0.3">
      <c r="B17" s="14">
        <v>14</v>
      </c>
      <c r="C17" s="74">
        <v>46265</v>
      </c>
      <c r="D17" s="14">
        <v>300</v>
      </c>
      <c r="N17" s="976"/>
      <c r="O17" s="977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8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11.036020162878383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374" t="s">
        <v>587</v>
      </c>
      <c r="I2" s="1374"/>
      <c r="J2" s="1374"/>
      <c r="K2" s="1374"/>
      <c r="O2" s="1">
        <f>720+180</f>
        <v>900</v>
      </c>
    </row>
    <row r="4" spans="1:33" ht="29.4" thickBot="1" x14ac:dyDescent="0.35">
      <c r="A4" s="587" t="s">
        <v>544</v>
      </c>
      <c r="B4" s="1240" t="s">
        <v>0</v>
      </c>
      <c r="C4" s="1242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450">
        <v>1</v>
      </c>
      <c r="B5" s="1404">
        <v>46265</v>
      </c>
      <c r="C5" s="1405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39">
        <f>SUM(M5:M6)</f>
        <v>74.069659139999999</v>
      </c>
      <c r="O5" s="463">
        <f t="shared" ref="O5:O11" si="1">M5/((720-R5)/60)</f>
        <v>2.8865657961661344</v>
      </c>
      <c r="P5" s="1423">
        <f>'Milling Down Time Hours'!Q5</f>
        <v>22.433333333333334</v>
      </c>
      <c r="Q5" s="485"/>
      <c r="R5" s="468">
        <f>'Milling Down Time Hours'!P5</f>
        <v>94</v>
      </c>
      <c r="S5" s="1539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450"/>
      <c r="B6" s="1406"/>
      <c r="C6" s="1407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40"/>
      <c r="O6" s="463">
        <f t="shared" si="1"/>
        <v>3.6627629999999995</v>
      </c>
      <c r="P6" s="1543"/>
      <c r="Q6" s="526"/>
      <c r="R6" s="468">
        <v>0</v>
      </c>
      <c r="S6" s="1536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450"/>
      <c r="B7" s="1404">
        <v>46266</v>
      </c>
      <c r="C7" s="1405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39">
        <f>SUM(M7:M8)</f>
        <v>218.24394086000001</v>
      </c>
      <c r="O7" s="463">
        <f t="shared" si="1"/>
        <v>8.6932442900719415</v>
      </c>
      <c r="P7" s="1541">
        <f>'Milling Down Time Hours'!Q6</f>
        <v>22.9</v>
      </c>
      <c r="Q7" s="506"/>
      <c r="R7" s="468">
        <v>25</v>
      </c>
      <c r="S7" s="1536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450"/>
      <c r="B8" s="1406"/>
      <c r="C8" s="1407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40"/>
      <c r="O8" s="463">
        <f t="shared" si="1"/>
        <v>10.387086406480119</v>
      </c>
      <c r="P8" s="1542"/>
      <c r="Q8" s="506"/>
      <c r="R8" s="468">
        <v>41</v>
      </c>
      <c r="S8" s="1540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449">
        <v>2</v>
      </c>
      <c r="B9" s="1413">
        <v>46267</v>
      </c>
      <c r="C9" s="1414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37">
        <f>SUM(M9:M10)</f>
        <v>209.804</v>
      </c>
      <c r="O9" s="479">
        <f t="shared" si="1"/>
        <v>10.565099999999999</v>
      </c>
      <c r="P9" s="1551">
        <f>'Milling Down Time Hours'!Q7</f>
        <v>22</v>
      </c>
      <c r="Q9" s="494"/>
      <c r="R9" s="473">
        <f>'Milling Down Time Hours'!P7</f>
        <v>120.00000000000001</v>
      </c>
      <c r="S9" s="1537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449"/>
      <c r="B10" s="1415"/>
      <c r="C10" s="1416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38"/>
      <c r="O10" s="479">
        <f t="shared" si="1"/>
        <v>8.6794166666666666</v>
      </c>
      <c r="P10" s="1552"/>
      <c r="Q10" s="494"/>
      <c r="R10" s="473">
        <v>0</v>
      </c>
      <c r="S10" s="1549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449"/>
      <c r="B11" s="1413">
        <v>46268</v>
      </c>
      <c r="C11" s="1414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37">
        <f>SUM(M11:M12)</f>
        <v>90.338150000000013</v>
      </c>
      <c r="O11" s="479">
        <f t="shared" si="1"/>
        <v>8.2125590909090924</v>
      </c>
      <c r="P11" s="1557">
        <f>'Milling Down Time Hours'!Q8</f>
        <v>23</v>
      </c>
      <c r="Q11" s="531"/>
      <c r="R11" s="494">
        <v>60</v>
      </c>
      <c r="S11" s="1549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449"/>
      <c r="B12" s="1415"/>
      <c r="C12" s="1416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38"/>
      <c r="O12" s="479"/>
      <c r="P12" s="1558"/>
      <c r="Q12" s="533"/>
      <c r="R12" s="492">
        <v>720</v>
      </c>
      <c r="S12" s="1412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449"/>
      <c r="B13" s="1413">
        <v>46269</v>
      </c>
      <c r="C13" s="1414"/>
      <c r="D13" s="1544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51">
        <f>'Milling Down Time Hours'!Q9</f>
        <v>0</v>
      </c>
      <c r="Q13" s="516"/>
      <c r="R13" s="1551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449"/>
      <c r="B14" s="1547"/>
      <c r="C14" s="1548"/>
      <c r="D14" s="1545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59"/>
      <c r="Q14" s="494"/>
      <c r="R14" s="1560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55">
        <v>46270</v>
      </c>
      <c r="C15" s="1556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29">
        <v>3</v>
      </c>
      <c r="B16" s="1317">
        <v>46270</v>
      </c>
      <c r="C16" s="1317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Tank'!$S$10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Tank'!$T$10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23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29"/>
      <c r="B17" s="1317">
        <v>46271</v>
      </c>
      <c r="C17" s="1317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Tank'!$S$10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Tank'!$T$10</f>
        <v>53.646499999999968</v>
      </c>
      <c r="N17" s="1546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371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29"/>
      <c r="B18" s="1317"/>
      <c r="C18" s="1317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Tank'!$S$10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Tank'!$T$10</f>
        <v>119.67800000000005</v>
      </c>
      <c r="N18" s="1546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371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29"/>
      <c r="B19" s="1406">
        <v>46272</v>
      </c>
      <c r="C19" s="1407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Tank'!$S$10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Tank'!$T$10</f>
        <v>127.33200000000005</v>
      </c>
      <c r="N19" s="1454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372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449">
        <v>4</v>
      </c>
      <c r="B20" s="1553">
        <v>46272</v>
      </c>
      <c r="C20" s="1554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Tank'!$S$11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Tank'!$T$11</f>
        <v>58.259900000000002</v>
      </c>
      <c r="N20" s="1372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387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449"/>
      <c r="B21" s="1413">
        <v>46273</v>
      </c>
      <c r="C21" s="1414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Tank'!$S$11-SUM(H20)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Tank'!$T$11-SUM(M20)</f>
        <v>106.05519999999997</v>
      </c>
      <c r="N21" s="1537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387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449"/>
      <c r="B22" s="1415"/>
      <c r="C22" s="1416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Tank'!$S$11-SUM(H20:H21)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Tank'!$T$11-SUM(M20:M21)</f>
        <v>87.771600000000035</v>
      </c>
      <c r="N22" s="1550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387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449"/>
      <c r="B23" s="1413">
        <v>46274</v>
      </c>
      <c r="C23" s="1414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Tank'!$S$11-SUM(H20:H22)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Tank'!$T$11-SUM(M20:M22)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387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429">
        <v>46274</v>
      </c>
      <c r="C24" s="1430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450">
        <v>5</v>
      </c>
      <c r="B25" s="1404">
        <v>46275</v>
      </c>
      <c r="C25" s="1405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Tank'!$S$14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Tank'!$T$12</f>
        <v>123.06580000000004</v>
      </c>
      <c r="N25" s="1378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378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450"/>
      <c r="B26" s="1406"/>
      <c r="C26" s="1407"/>
      <c r="D26" s="579" t="s">
        <v>541</v>
      </c>
      <c r="E26" s="580"/>
      <c r="F26" s="567" t="s">
        <v>13</v>
      </c>
      <c r="G26" s="483">
        <v>0.42</v>
      </c>
      <c r="H26" s="468">
        <f>J26-'Au Cal Leaching Tank'!$S$14-SUM(H25)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Tank'!$T$12)-M25</f>
        <v>139.02199999999993</v>
      </c>
      <c r="N26" s="1391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378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450"/>
      <c r="B27" s="1404">
        <v>46276</v>
      </c>
      <c r="C27" s="1405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Tank'!$S$14-SUM(H25:H26)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Tank'!$T$12)-SUM(M25:M26)</f>
        <v>4.8980000000000814</v>
      </c>
      <c r="N27" s="1423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378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311">
        <v>46276</v>
      </c>
      <c r="C28" s="1311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Tank'!$S$15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Tank'!$T$13</f>
        <v>60.108412500000014</v>
      </c>
      <c r="N28" s="1536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397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449">
        <v>6</v>
      </c>
      <c r="B29" s="1547">
        <v>46276</v>
      </c>
      <c r="C29" s="1548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Tank'!$S$15-SUM(H28)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Tank'!$T$13-SUM(M28)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49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449"/>
      <c r="B30" s="1413">
        <v>46277</v>
      </c>
      <c r="C30" s="1414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Tank'!$S$15-SUM(H28:H29)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Tank'!$T$13-SUM(M28:M29)</f>
        <v>120.49319999999999</v>
      </c>
      <c r="N30" s="1537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49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449"/>
      <c r="B31" s="1415"/>
      <c r="C31" s="1416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Tank'!$S$15-SUM(H28:H30)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Tank'!$T$13-SUM(M28:M30)</f>
        <v>46.31880000000001</v>
      </c>
      <c r="N31" s="1538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412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427">
        <v>46278</v>
      </c>
      <c r="C32" s="1428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431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429"/>
      <c r="C33" s="1430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Tank'!$S$14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Tank'!$T$14</f>
        <v>28.496569999999998</v>
      </c>
      <c r="N33" s="1432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404">
        <v>46279</v>
      </c>
      <c r="C34" s="1405"/>
      <c r="D34" s="502"/>
      <c r="E34" s="502"/>
      <c r="F34" s="561" t="s">
        <v>12</v>
      </c>
      <c r="G34" s="483"/>
      <c r="H34" s="548">
        <f>J34-'Au Cal Leaching Tank'!$S$14-SUM(H33)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Tank'!$T$14-SUM(M33)</f>
        <v>-85.096249999999998</v>
      </c>
      <c r="N34" s="1539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406"/>
      <c r="C35" s="1407"/>
      <c r="D35" s="502"/>
      <c r="E35" s="502"/>
      <c r="F35" s="698" t="s">
        <v>13</v>
      </c>
      <c r="G35" s="483"/>
      <c r="H35" s="548">
        <f>J35-'Au Cal Leaching Tank'!$S$14-SUM(H33:H34)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40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404">
        <v>46280</v>
      </c>
      <c r="C36" s="1405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406"/>
      <c r="C37" s="1407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404">
        <v>46281</v>
      </c>
      <c r="C38" s="1405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406"/>
      <c r="C39" s="1407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30"/>
      <c r="U39" s="1530"/>
      <c r="V39" s="1532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427">
        <v>46282</v>
      </c>
      <c r="C40" s="1428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31"/>
      <c r="U40" s="1531"/>
      <c r="V40" s="1533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429"/>
      <c r="C41" s="1430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427">
        <v>46283</v>
      </c>
      <c r="C42" s="1428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429"/>
      <c r="C43" s="1430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427">
        <v>46284</v>
      </c>
      <c r="C44" s="1428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429"/>
      <c r="C45" s="1430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427">
        <v>46285</v>
      </c>
      <c r="C46" s="1428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429"/>
      <c r="C47" s="1430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435"/>
      <c r="U47" s="1435"/>
      <c r="V47" s="1451"/>
      <c r="W47" s="160"/>
      <c r="X47" s="155"/>
      <c r="Y47" s="155"/>
    </row>
    <row r="48" spans="1:32" ht="15" thickBot="1" x14ac:dyDescent="0.35">
      <c r="B48" s="1427">
        <v>46286</v>
      </c>
      <c r="C48" s="1428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436"/>
      <c r="U48" s="1436"/>
      <c r="V48" s="1452"/>
      <c r="W48" s="160"/>
      <c r="X48" s="155"/>
      <c r="Y48" s="155"/>
    </row>
    <row r="49" spans="2:28" ht="15" thickBot="1" x14ac:dyDescent="0.35">
      <c r="B49" s="1429"/>
      <c r="C49" s="1430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435"/>
      <c r="U49" s="1435"/>
      <c r="V49" s="1451"/>
      <c r="W49" s="160"/>
      <c r="X49" s="155"/>
      <c r="Y49" s="155"/>
    </row>
    <row r="50" spans="2:28" ht="15" thickBot="1" x14ac:dyDescent="0.35">
      <c r="B50" s="1427">
        <v>46287</v>
      </c>
      <c r="C50" s="1428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436"/>
      <c r="U50" s="1436"/>
      <c r="V50" s="1452"/>
      <c r="W50" s="160"/>
      <c r="X50" s="155"/>
      <c r="Y50" s="155"/>
    </row>
    <row r="51" spans="2:28" ht="15" thickBot="1" x14ac:dyDescent="0.35">
      <c r="B51" s="1429"/>
      <c r="C51" s="1430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435"/>
      <c r="U51" s="1435"/>
      <c r="V51" s="1451"/>
      <c r="W51" s="160"/>
      <c r="X51" s="155"/>
      <c r="Y51" s="155"/>
    </row>
    <row r="52" spans="2:28" ht="15" thickBot="1" x14ac:dyDescent="0.35">
      <c r="B52" s="1427">
        <v>46288</v>
      </c>
      <c r="C52" s="1428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436"/>
      <c r="U52" s="1436"/>
      <c r="V52" s="1452"/>
      <c r="W52" s="160"/>
      <c r="X52" s="155"/>
      <c r="Y52" s="155"/>
    </row>
    <row r="53" spans="2:28" ht="15" thickBot="1" x14ac:dyDescent="0.35">
      <c r="B53" s="1429"/>
      <c r="C53" s="1430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435"/>
      <c r="U53" s="1435"/>
      <c r="V53" s="1451"/>
      <c r="W53" s="160"/>
      <c r="X53" s="155"/>
      <c r="Y53" s="155"/>
    </row>
    <row r="54" spans="2:28" ht="15" thickBot="1" x14ac:dyDescent="0.35">
      <c r="B54" s="1427">
        <v>46289</v>
      </c>
      <c r="C54" s="1428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436"/>
      <c r="U54" s="1436"/>
      <c r="V54" s="1452"/>
      <c r="W54" s="160"/>
      <c r="X54" s="155"/>
      <c r="Y54" s="155"/>
      <c r="AB54" s="1">
        <v>9570</v>
      </c>
    </row>
    <row r="55" spans="2:28" ht="15" thickBot="1" x14ac:dyDescent="0.35">
      <c r="B55" s="1429"/>
      <c r="C55" s="1430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435"/>
      <c r="U55" s="1435"/>
      <c r="V55" s="1451"/>
      <c r="W55" s="160"/>
      <c r="X55" s="155"/>
      <c r="Y55" s="155"/>
      <c r="AB55" s="1">
        <v>8795</v>
      </c>
    </row>
    <row r="56" spans="2:28" ht="15" thickBot="1" x14ac:dyDescent="0.35">
      <c r="B56" s="1427">
        <v>46290</v>
      </c>
      <c r="C56" s="1428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436"/>
      <c r="U56" s="1436"/>
      <c r="V56" s="1452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429"/>
      <c r="C57" s="1430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435"/>
      <c r="U57" s="1435"/>
      <c r="V57" s="1451"/>
      <c r="W57" s="160"/>
      <c r="X57" s="155"/>
      <c r="Y57" s="155"/>
    </row>
    <row r="58" spans="2:28" ht="15" thickBot="1" x14ac:dyDescent="0.35">
      <c r="B58" s="1427">
        <v>46291</v>
      </c>
      <c r="C58" s="1428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436"/>
      <c r="U58" s="1436"/>
      <c r="V58" s="1452"/>
      <c r="W58" s="160"/>
      <c r="X58" s="155"/>
      <c r="Y58" s="155"/>
    </row>
    <row r="59" spans="2:28" ht="15" thickBot="1" x14ac:dyDescent="0.35">
      <c r="B59" s="1429"/>
      <c r="C59" s="1430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435"/>
      <c r="U59" s="1435"/>
      <c r="V59" s="1451"/>
      <c r="W59" s="160"/>
      <c r="X59" s="155"/>
      <c r="Y59" s="155"/>
    </row>
    <row r="60" spans="2:28" ht="15" thickBot="1" x14ac:dyDescent="0.35">
      <c r="B60" s="1427">
        <v>46292</v>
      </c>
      <c r="C60" s="1428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436"/>
      <c r="U60" s="1436"/>
      <c r="V60" s="1452"/>
      <c r="W60" s="160"/>
      <c r="X60" s="155"/>
      <c r="Y60" s="155"/>
    </row>
    <row r="61" spans="2:28" ht="15" thickBot="1" x14ac:dyDescent="0.35">
      <c r="B61" s="1429"/>
      <c r="C61" s="1430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435"/>
      <c r="U61" s="1435"/>
      <c r="V61" s="1451"/>
      <c r="W61" s="160"/>
      <c r="X61" s="155"/>
      <c r="Y61" s="155"/>
    </row>
    <row r="62" spans="2:28" ht="15" thickBot="1" x14ac:dyDescent="0.35">
      <c r="B62" s="1427">
        <v>46293</v>
      </c>
      <c r="C62" s="1428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436"/>
      <c r="U62" s="1436"/>
      <c r="V62" s="1452"/>
      <c r="W62" s="160"/>
      <c r="X62" s="155"/>
      <c r="Y62" s="155"/>
    </row>
    <row r="63" spans="2:28" ht="15" thickBot="1" x14ac:dyDescent="0.35">
      <c r="B63" s="1429"/>
      <c r="C63" s="1430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437"/>
      <c r="U63" s="1437"/>
      <c r="V63" s="1439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427">
        <v>46294</v>
      </c>
      <c r="C64" s="1428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438"/>
      <c r="U64" s="1438"/>
      <c r="V64" s="1440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429"/>
      <c r="C65" s="1430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437"/>
      <c r="U65" s="1437"/>
      <c r="V65" s="1534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427">
        <v>46295</v>
      </c>
      <c r="C66" s="1428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438"/>
      <c r="U66" s="1438"/>
      <c r="V66" s="1535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429"/>
      <c r="C67" s="1430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437"/>
      <c r="U67" s="1437"/>
      <c r="V67" s="1534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427">
        <v>46296</v>
      </c>
      <c r="C68" s="1428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438"/>
      <c r="U68" s="1438"/>
      <c r="V68" s="1535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429"/>
      <c r="C69" s="1430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437"/>
      <c r="U69" s="1437"/>
      <c r="V69" s="1439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427">
        <v>46297</v>
      </c>
      <c r="C70" s="1428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438"/>
      <c r="U70" s="1438"/>
      <c r="V70" s="1440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429"/>
      <c r="C71" s="1430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437"/>
      <c r="U71" s="1437"/>
      <c r="V71" s="1439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427">
        <v>46298</v>
      </c>
      <c r="C72" s="1428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438"/>
      <c r="U72" s="1438"/>
      <c r="V72" s="1440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429"/>
      <c r="C73" s="1430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437"/>
      <c r="U73" s="1437"/>
      <c r="V73" s="1439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427">
        <v>46299</v>
      </c>
      <c r="C74" s="1428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438"/>
      <c r="U74" s="1438"/>
      <c r="V74" s="1440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429"/>
      <c r="C75" s="1430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435"/>
      <c r="U75" s="1435"/>
      <c r="V75" s="1451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427">
        <v>46300</v>
      </c>
      <c r="C76" s="1428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436"/>
      <c r="U76" s="1436"/>
      <c r="V76" s="1452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429"/>
      <c r="C77" s="1430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437"/>
      <c r="U77" s="1437"/>
      <c r="V77" s="1439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427">
        <v>46301</v>
      </c>
      <c r="C78" s="1428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438"/>
      <c r="U78" s="1438"/>
      <c r="V78" s="1440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433"/>
      <c r="C79" s="1434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28">
        <f>'Milling Down Time Hours'!Q43</f>
        <v>0</v>
      </c>
      <c r="Q79" s="40"/>
      <c r="R79" s="1528">
        <f>'Milling Down Time Hours'!L85</f>
        <v>0</v>
      </c>
      <c r="S79" s="14"/>
      <c r="T79" s="1437">
        <v>0.35699999999999998</v>
      </c>
      <c r="U79" s="1437">
        <v>1.056</v>
      </c>
      <c r="V79" s="1439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433"/>
      <c r="C80" s="1434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28"/>
      <c r="Q80" s="40"/>
      <c r="R80" s="1528"/>
      <c r="S80" s="14"/>
      <c r="T80" s="1438"/>
      <c r="U80" s="1438"/>
      <c r="V80" s="1440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433"/>
      <c r="C81" s="1434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28">
        <f>'Milling Down Time Hours'!M87</f>
        <v>0</v>
      </c>
      <c r="Q81" s="40"/>
      <c r="R81" s="1528">
        <f>'Milling Down Time Hours'!L87</f>
        <v>0</v>
      </c>
      <c r="S81" s="14"/>
      <c r="T81" s="1435" t="e">
        <f>SUM(#REF!)</f>
        <v>#REF!</v>
      </c>
      <c r="U81" s="1435" t="e">
        <f t="shared" ref="U81" si="26">SUM(T81:T83)</f>
        <v>#REF!</v>
      </c>
      <c r="V81" s="1451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433"/>
      <c r="C82" s="1434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28"/>
      <c r="Q82" s="40"/>
      <c r="R82" s="1528"/>
      <c r="S82" s="14"/>
      <c r="T82" s="1436"/>
      <c r="U82" s="1436"/>
      <c r="V82" s="1452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433"/>
      <c r="C83" s="1434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28">
        <f>'Milling Down Time Hours'!M89</f>
        <v>0</v>
      </c>
      <c r="Q83" s="40"/>
      <c r="R83" s="1528">
        <f>'Milling Down Time Hours'!L89</f>
        <v>0</v>
      </c>
      <c r="S83" s="14"/>
      <c r="T83" s="1435" t="e">
        <f>SUM(#REF!)</f>
        <v>#REF!</v>
      </c>
      <c r="U83" s="1435" t="e">
        <f t="shared" ref="U83" si="28">SUM(T83:T85)</f>
        <v>#REF!</v>
      </c>
      <c r="V83" s="1451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433"/>
      <c r="C84" s="1434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28"/>
      <c r="Q84" s="40"/>
      <c r="R84" s="1528"/>
      <c r="S84" s="14"/>
      <c r="T84" s="1436"/>
      <c r="U84" s="1436"/>
      <c r="V84" s="1452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433"/>
      <c r="C85" s="1434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28">
        <f>'Milling Down Time Hours'!M91</f>
        <v>0</v>
      </c>
      <c r="Q85" s="40"/>
      <c r="R85" s="1528">
        <f>'Milling Down Time Hours'!L91</f>
        <v>0</v>
      </c>
      <c r="S85" s="14"/>
      <c r="T85" s="1435" t="e">
        <f>SUM(#REF!)</f>
        <v>#REF!</v>
      </c>
      <c r="U85" s="1435" t="e">
        <f t="shared" ref="U85" si="30">SUM(T85:T87)</f>
        <v>#REF!</v>
      </c>
      <c r="V85" s="1451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433"/>
      <c r="C86" s="1434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28"/>
      <c r="Q86" s="40"/>
      <c r="R86" s="1528"/>
      <c r="S86" s="14"/>
      <c r="T86" s="1436"/>
      <c r="U86" s="1436"/>
      <c r="V86" s="1452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433"/>
      <c r="C87" s="1434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28">
        <f>'Milling Down Time Hours'!M93</f>
        <v>0</v>
      </c>
      <c r="Q87" s="40"/>
      <c r="R87" s="1528">
        <f>'Milling Down Time Hours'!L93</f>
        <v>0</v>
      </c>
      <c r="S87" s="14"/>
      <c r="T87" s="1435" t="e">
        <f>SUM(#REF!)</f>
        <v>#REF!</v>
      </c>
      <c r="U87" s="1435" t="e">
        <f t="shared" ref="U87" si="32">SUM(T87:T89)</f>
        <v>#REF!</v>
      </c>
      <c r="V87" s="1451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433"/>
      <c r="C88" s="1434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28"/>
      <c r="Q88" s="40"/>
      <c r="R88" s="1528"/>
      <c r="S88" s="14"/>
      <c r="T88" s="1436"/>
      <c r="U88" s="1436"/>
      <c r="V88" s="1452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433"/>
      <c r="C89" s="1434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28">
        <f>'Milling Down Time Hours'!M95</f>
        <v>0</v>
      </c>
      <c r="Q89" s="40"/>
      <c r="R89" s="1528">
        <f>'Milling Down Time Hours'!L95</f>
        <v>0</v>
      </c>
      <c r="S89" s="14"/>
      <c r="T89" s="1435" t="e">
        <f>SUM(#REF!)</f>
        <v>#REF!</v>
      </c>
      <c r="U89" s="1435" t="e">
        <f t="shared" ref="U89" si="34">SUM(T89:T91)</f>
        <v>#REF!</v>
      </c>
      <c r="V89" s="1451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433"/>
      <c r="C90" s="1434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28"/>
      <c r="Q90" s="40"/>
      <c r="R90" s="1528"/>
      <c r="S90" s="14"/>
      <c r="T90" s="1436"/>
      <c r="U90" s="1436"/>
      <c r="V90" s="1452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433"/>
      <c r="C91" s="1434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28">
        <f>'Milling Down Time Hours'!M97</f>
        <v>0</v>
      </c>
      <c r="Q91" s="40"/>
      <c r="R91" s="1528">
        <f>'Milling Down Time Hours'!L97</f>
        <v>0</v>
      </c>
      <c r="S91" s="14"/>
      <c r="T91" s="1435" t="e">
        <f>SUM(#REF!)</f>
        <v>#REF!</v>
      </c>
      <c r="U91" s="1435" t="e">
        <f t="shared" ref="U91" si="36">SUM(T91:T93)</f>
        <v>#REF!</v>
      </c>
      <c r="V91" s="1451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433"/>
      <c r="C92" s="1434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28"/>
      <c r="Q92" s="40"/>
      <c r="R92" s="1528"/>
      <c r="S92" s="14"/>
      <c r="T92" s="1436"/>
      <c r="U92" s="1436"/>
      <c r="V92" s="1452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433"/>
      <c r="C93" s="1434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28">
        <f>'Milling Down Time Hours'!M99</f>
        <v>0</v>
      </c>
      <c r="Q93" s="40"/>
      <c r="R93" s="1528">
        <f>'Milling Down Time Hours'!L99</f>
        <v>0</v>
      </c>
      <c r="S93" s="14"/>
      <c r="T93" s="1435" t="e">
        <f>SUM(#REF!)</f>
        <v>#REF!</v>
      </c>
      <c r="U93" s="1435" t="e">
        <f t="shared" ref="U93" si="38">SUM(T93:T95)</f>
        <v>#REF!</v>
      </c>
      <c r="V93" s="1451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433"/>
      <c r="C94" s="1434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28"/>
      <c r="Q94" s="40"/>
      <c r="R94" s="1528"/>
      <c r="S94" s="14"/>
      <c r="T94" s="1436"/>
      <c r="U94" s="1436"/>
      <c r="V94" s="1452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433"/>
      <c r="C95" s="1434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28">
        <f>'Milling Down Time Hours'!M101</f>
        <v>0</v>
      </c>
      <c r="Q95" s="40"/>
      <c r="R95" s="1528">
        <f>'Milling Down Time Hours'!L101</f>
        <v>0</v>
      </c>
      <c r="S95" s="14"/>
      <c r="T95" s="1435" t="e">
        <f>SUM(#REF!)</f>
        <v>#REF!</v>
      </c>
      <c r="U95" s="1435" t="e">
        <f>SUM(T95:T99)</f>
        <v>#REF!</v>
      </c>
      <c r="V95" s="1451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433"/>
      <c r="C96" s="1434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28"/>
      <c r="Q96" s="40"/>
      <c r="R96" s="1528"/>
      <c r="S96" s="96"/>
      <c r="T96" s="1456"/>
      <c r="U96" s="1456"/>
      <c r="V96" s="1457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429"/>
      <c r="C97" s="1430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 Down Time Hours</vt:lpstr>
      <vt:lpstr>Crushing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Milling and Leach Feed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2026-09-28T11:38:14Z</dcterms:modified>
</cp:coreProperties>
</file>