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414C046-6426-4473-841A-17A58464433E}" xr6:coauthVersionLast="47" xr6:coauthVersionMax="47" xr10:uidLastSave="{00000000-0000-0000-0000-000000000000}"/>
  <bookViews>
    <workbookView xWindow="-108" yWindow="-108" windowWidth="23256" windowHeight="12456" firstSheet="10" activeTab="12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 (2)" sheetId="21" r:id="rId11"/>
    <sheet name="Filter Press Down Time Hours " sheetId="14" r:id="rId12"/>
    <sheet name="Milling and Leach Feed" sheetId="4" r:id="rId13"/>
    <sheet name="Leach Time Process&amp;Down Time" sheetId="11" r:id="rId14"/>
    <sheet name="Leaching" sheetId="3" r:id="rId15"/>
    <sheet name="LT Floculation" sheetId="15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3" i="4" l="1"/>
  <c r="M31" i="4"/>
  <c r="M34" i="4"/>
  <c r="I31" i="4"/>
  <c r="I30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43" i="4"/>
  <c r="I33" i="4"/>
  <c r="I36" i="4"/>
  <c r="I37" i="4"/>
  <c r="I38" i="4"/>
  <c r="I39" i="4"/>
  <c r="I40" i="4"/>
  <c r="I41" i="4"/>
  <c r="I42" i="4"/>
  <c r="H33" i="4"/>
  <c r="H34" i="4" s="1"/>
  <c r="R34" i="4"/>
  <c r="P32" i="4"/>
  <c r="P33" i="4"/>
  <c r="P30" i="4"/>
  <c r="P31" i="4"/>
  <c r="Q32" i="4"/>
  <c r="Q33" i="4"/>
  <c r="R33" i="4"/>
  <c r="H33" i="21"/>
  <c r="M33" i="21"/>
  <c r="Q32" i="21"/>
  <c r="AI8" i="21"/>
  <c r="J33" i="21"/>
  <c r="Q5" i="21"/>
  <c r="Q6" i="21"/>
  <c r="Q7" i="21"/>
  <c r="Q8" i="21"/>
  <c r="Q9" i="21"/>
  <c r="Q10" i="21"/>
  <c r="Q11" i="21"/>
  <c r="Q12" i="21"/>
  <c r="Q15" i="21"/>
  <c r="H6" i="21"/>
  <c r="P99" i="21"/>
  <c r="L99" i="21"/>
  <c r="M98" i="21"/>
  <c r="P97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P79" i="21"/>
  <c r="M79" i="21"/>
  <c r="M78" i="21"/>
  <c r="R77" i="21"/>
  <c r="P77" i="21"/>
  <c r="M77" i="21"/>
  <c r="M76" i="21"/>
  <c r="R75" i="21"/>
  <c r="P75" i="21"/>
  <c r="M75" i="21"/>
  <c r="M74" i="21"/>
  <c r="R73" i="21"/>
  <c r="P73" i="21"/>
  <c r="M73" i="21"/>
  <c r="M72" i="21"/>
  <c r="R71" i="21"/>
  <c r="P71" i="21"/>
  <c r="M71" i="21"/>
  <c r="M70" i="21"/>
  <c r="R69" i="21"/>
  <c r="P69" i="21"/>
  <c r="M69" i="21"/>
  <c r="M68" i="21"/>
  <c r="R67" i="21"/>
  <c r="M67" i="21"/>
  <c r="M66" i="21"/>
  <c r="R65" i="21"/>
  <c r="P65" i="21"/>
  <c r="M65" i="21"/>
  <c r="M64" i="21"/>
  <c r="R63" i="21"/>
  <c r="P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R45" i="21"/>
  <c r="P45" i="21"/>
  <c r="M45" i="21"/>
  <c r="M44" i="21"/>
  <c r="R43" i="21"/>
  <c r="P43" i="21"/>
  <c r="M43" i="21"/>
  <c r="M42" i="21"/>
  <c r="R41" i="21"/>
  <c r="P41" i="21"/>
  <c r="M41" i="21"/>
  <c r="AF40" i="21"/>
  <c r="M40" i="21"/>
  <c r="R39" i="21"/>
  <c r="P39" i="21"/>
  <c r="M39" i="21"/>
  <c r="M38" i="21"/>
  <c r="R37" i="21"/>
  <c r="P37" i="21"/>
  <c r="M37" i="21"/>
  <c r="M36" i="21"/>
  <c r="M35" i="21"/>
  <c r="M34" i="21"/>
  <c r="R32" i="21"/>
  <c r="M32" i="21"/>
  <c r="V31" i="21"/>
  <c r="U31" i="21"/>
  <c r="T31" i="21"/>
  <c r="R31" i="21"/>
  <c r="Q31" i="21"/>
  <c r="P31" i="21"/>
  <c r="V30" i="21"/>
  <c r="U30" i="21"/>
  <c r="T30" i="21"/>
  <c r="R30" i="21"/>
  <c r="Q30" i="21"/>
  <c r="P30" i="21"/>
  <c r="V29" i="21"/>
  <c r="U29" i="21"/>
  <c r="T29" i="21"/>
  <c r="R29" i="21"/>
  <c r="Q29" i="21"/>
  <c r="P29" i="21"/>
  <c r="V28" i="21"/>
  <c r="U28" i="21"/>
  <c r="T28" i="21"/>
  <c r="P28" i="21"/>
  <c r="M28" i="21"/>
  <c r="H28" i="21"/>
  <c r="V27" i="21"/>
  <c r="U27" i="21"/>
  <c r="T27" i="21"/>
  <c r="R27" i="21"/>
  <c r="Q27" i="21"/>
  <c r="P27" i="21"/>
  <c r="V26" i="21"/>
  <c r="U26" i="21"/>
  <c r="T26" i="21"/>
  <c r="R26" i="21"/>
  <c r="Q26" i="21" s="1"/>
  <c r="P26" i="21"/>
  <c r="V25" i="21"/>
  <c r="U25" i="21"/>
  <c r="T25" i="21"/>
  <c r="R25" i="21"/>
  <c r="M25" i="21"/>
  <c r="H25" i="21"/>
  <c r="R24" i="21"/>
  <c r="M24" i="21"/>
  <c r="AM7" i="21"/>
  <c r="AM8" i="21" s="1"/>
  <c r="V23" i="21"/>
  <c r="U23" i="21"/>
  <c r="T23" i="21"/>
  <c r="R23" i="21"/>
  <c r="Q23" i="21"/>
  <c r="P23" i="21"/>
  <c r="V22" i="21"/>
  <c r="U22" i="21"/>
  <c r="T22" i="21"/>
  <c r="R22" i="21"/>
  <c r="V21" i="21"/>
  <c r="U21" i="21"/>
  <c r="T21" i="21"/>
  <c r="R21" i="21"/>
  <c r="V20" i="21"/>
  <c r="U20" i="21"/>
  <c r="T20" i="21"/>
  <c r="R20" i="21"/>
  <c r="M20" i="21"/>
  <c r="H20" i="21"/>
  <c r="V19" i="21"/>
  <c r="U19" i="21"/>
  <c r="T19" i="21"/>
  <c r="R19" i="21"/>
  <c r="V18" i="21"/>
  <c r="U18" i="21"/>
  <c r="T18" i="21"/>
  <c r="Q18" i="21"/>
  <c r="P18" i="21"/>
  <c r="V17" i="21"/>
  <c r="U17" i="21"/>
  <c r="T17" i="21"/>
  <c r="R17" i="21"/>
  <c r="Q17" i="21" s="1"/>
  <c r="P17" i="21"/>
  <c r="V16" i="21"/>
  <c r="U16" i="21"/>
  <c r="T16" i="21"/>
  <c r="Q16" i="21"/>
  <c r="P16" i="21" s="1"/>
  <c r="M16" i="21"/>
  <c r="H16" i="21"/>
  <c r="M15" i="21"/>
  <c r="M14" i="21"/>
  <c r="R13" i="21"/>
  <c r="P13" i="21"/>
  <c r="M13" i="21"/>
  <c r="M12" i="21"/>
  <c r="AI9" i="21"/>
  <c r="V11" i="21"/>
  <c r="U11" i="21"/>
  <c r="T11" i="21"/>
  <c r="P11" i="21"/>
  <c r="V10" i="21"/>
  <c r="U10" i="21"/>
  <c r="T10" i="21"/>
  <c r="V9" i="21"/>
  <c r="U9" i="21"/>
  <c r="T9" i="21"/>
  <c r="R9" i="21"/>
  <c r="P9" i="21"/>
  <c r="H9" i="21"/>
  <c r="V8" i="21"/>
  <c r="U8" i="21"/>
  <c r="T8" i="21"/>
  <c r="V7" i="21"/>
  <c r="U7" i="21"/>
  <c r="T7" i="21"/>
  <c r="P7" i="21"/>
  <c r="V6" i="21"/>
  <c r="U6" i="21"/>
  <c r="T6" i="21"/>
  <c r="V5" i="21"/>
  <c r="V99" i="21" s="1"/>
  <c r="U5" i="21"/>
  <c r="U99" i="21" s="1"/>
  <c r="T5" i="21"/>
  <c r="T99" i="21" s="1"/>
  <c r="R5" i="21"/>
  <c r="P5" i="21"/>
  <c r="O14" i="21" s="1"/>
  <c r="M5" i="21"/>
  <c r="J5" i="21"/>
  <c r="I5" i="21"/>
  <c r="O2" i="21"/>
  <c r="I11" i="15"/>
  <c r="AE15" i="13" s="1"/>
  <c r="H11" i="15"/>
  <c r="G11" i="15"/>
  <c r="AD15" i="13"/>
  <c r="AC15" i="13"/>
  <c r="H10" i="15"/>
  <c r="I10" i="15"/>
  <c r="G10" i="15"/>
  <c r="I40" i="12"/>
  <c r="K101" i="13"/>
  <c r="K99" i="13"/>
  <c r="AA26" i="2"/>
  <c r="Y26" i="2"/>
  <c r="Z26" i="2"/>
  <c r="AB26" i="2"/>
  <c r="AC26" i="2"/>
  <c r="I34" i="4" l="1"/>
  <c r="H35" i="4"/>
  <c r="I35" i="4" s="1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Q25" i="21"/>
  <c r="P25" i="21"/>
  <c r="O25" i="21" s="1"/>
  <c r="Q22" i="21"/>
  <c r="P22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O43" i="21"/>
  <c r="Y42" i="21"/>
  <c r="X42" i="21"/>
  <c r="W42" i="21"/>
  <c r="O42" i="21"/>
  <c r="Y41" i="21"/>
  <c r="X41" i="21"/>
  <c r="W41" i="21"/>
  <c r="O41" i="21"/>
  <c r="Y40" i="21"/>
  <c r="X40" i="21"/>
  <c r="W40" i="21"/>
  <c r="O40" i="21"/>
  <c r="Y39" i="21"/>
  <c r="X39" i="21"/>
  <c r="W39" i="21"/>
  <c r="O39" i="21"/>
  <c r="O38" i="21"/>
  <c r="W38" i="21"/>
  <c r="X38" i="21"/>
  <c r="Y38" i="21"/>
  <c r="O37" i="21"/>
  <c r="W37" i="21"/>
  <c r="X37" i="21"/>
  <c r="Y37" i="21"/>
  <c r="O36" i="21"/>
  <c r="W36" i="21"/>
  <c r="X36" i="21"/>
  <c r="Y36" i="21"/>
  <c r="W35" i="21"/>
  <c r="X35" i="21"/>
  <c r="Y35" i="21"/>
  <c r="Y34" i="21"/>
  <c r="X34" i="21"/>
  <c r="W34" i="21"/>
  <c r="O34" i="21"/>
  <c r="W33" i="21"/>
  <c r="X33" i="21"/>
  <c r="Y33" i="21"/>
  <c r="X32" i="21"/>
  <c r="O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I25" i="21"/>
  <c r="H26" i="21"/>
  <c r="P24" i="21"/>
  <c r="Q24" i="21"/>
  <c r="W24" i="21"/>
  <c r="AB24" i="21" s="1"/>
  <c r="Y24" i="21"/>
  <c r="X24" i="21"/>
  <c r="O24" i="21"/>
  <c r="Q21" i="21"/>
  <c r="P21" i="21"/>
  <c r="Q20" i="21"/>
  <c r="P20" i="21"/>
  <c r="O20" i="21" s="1"/>
  <c r="Y20" i="21"/>
  <c r="X20" i="21"/>
  <c r="M21" i="21"/>
  <c r="H21" i="21"/>
  <c r="I20" i="21"/>
  <c r="H22" i="21"/>
  <c r="I22" i="21" s="1"/>
  <c r="Q19" i="21"/>
  <c r="P19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I9" i="21"/>
  <c r="H10" i="21"/>
  <c r="H7" i="21"/>
  <c r="I7" i="21" s="1"/>
  <c r="I6" i="21"/>
  <c r="H8" i="21"/>
  <c r="I8" i="21" s="1"/>
  <c r="M6" i="21"/>
  <c r="Y5" i="21"/>
  <c r="X5" i="21"/>
  <c r="O5" i="21"/>
  <c r="N5" i="21"/>
  <c r="M7" i="21"/>
  <c r="AF60" i="13"/>
  <c r="AD14" i="13"/>
  <c r="AE14" i="13"/>
  <c r="AC14" i="13"/>
  <c r="U31" i="4"/>
  <c r="V31" i="4"/>
  <c r="T31" i="4"/>
  <c r="R31" i="4"/>
  <c r="Q31" i="4" s="1"/>
  <c r="R32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I29" i="21"/>
  <c r="H30" i="21"/>
  <c r="H31" i="21" s="1"/>
  <c r="X83" i="21"/>
  <c r="V83" i="21"/>
  <c r="Y83" i="21" s="1"/>
  <c r="W30" i="21"/>
  <c r="AB30" i="21" s="1"/>
  <c r="O30" i="21"/>
  <c r="X30" i="21"/>
  <c r="Y30" i="21"/>
  <c r="W29" i="21"/>
  <c r="AB29" i="21" s="1"/>
  <c r="N29" i="21"/>
  <c r="O29" i="21"/>
  <c r="X29" i="21"/>
  <c r="Y29" i="21"/>
  <c r="W26" i="21"/>
  <c r="AB26" i="21" s="1"/>
  <c r="O26" i="21"/>
  <c r="X26" i="21"/>
  <c r="Y26" i="21"/>
  <c r="W21" i="21"/>
  <c r="AB21" i="21" s="1"/>
  <c r="X21" i="21"/>
  <c r="Y21" i="21"/>
  <c r="N21" i="21"/>
  <c r="O21" i="21"/>
  <c r="W17" i="21"/>
  <c r="AB17" i="21" s="1"/>
  <c r="N17" i="21"/>
  <c r="O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O19" i="21"/>
  <c r="AI12" i="21"/>
  <c r="AI13" i="21" s="1"/>
  <c r="W9" i="21"/>
  <c r="AB9" i="21" s="1"/>
  <c r="O9" i="2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I26" i="21"/>
  <c r="H27" i="21"/>
  <c r="I27" i="21" s="1"/>
  <c r="M22" i="21"/>
  <c r="M23" i="21"/>
  <c r="I21" i="21"/>
  <c r="H23" i="21"/>
  <c r="I23" i="21" s="1"/>
  <c r="I17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O31" i="21"/>
  <c r="W31" i="21"/>
  <c r="AB31" i="21" s="1"/>
  <c r="Y27" i="21"/>
  <c r="X27" i="21"/>
  <c r="O27" i="21"/>
  <c r="N27" i="21"/>
  <c r="S25" i="21" s="1"/>
  <c r="W27" i="21"/>
  <c r="AB27" i="21" s="1"/>
  <c r="Y22" i="21"/>
  <c r="X22" i="21"/>
  <c r="O22" i="21"/>
  <c r="W22" i="21"/>
  <c r="AB22" i="21" s="1"/>
  <c r="S20" i="21"/>
  <c r="X23" i="21"/>
  <c r="O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I19" i="21" s="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P13" i="5"/>
  <c r="R21" i="4"/>
  <c r="K12" i="13"/>
  <c r="H20" i="4"/>
  <c r="O2" i="4"/>
  <c r="H16" i="4"/>
  <c r="Y99" i="21" l="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P22" i="4"/>
  <c r="Q22" i="4"/>
  <c r="Q21" i="4"/>
  <c r="P21" i="4"/>
  <c r="S14" i="13"/>
  <c r="AO14" i="13" s="1"/>
  <c r="AF40" i="4"/>
  <c r="AA98" i="21" l="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D60" i="13" s="1"/>
  <c r="AE11" i="13"/>
  <c r="AE60" i="13" s="1"/>
  <c r="AC11" i="13"/>
  <c r="H7" i="15"/>
  <c r="I7" i="15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O21" i="4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M43" i="12" l="1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N61" i="5" l="1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L100" i="13" l="1"/>
  <c r="AV10" i="13"/>
  <c r="AV12" i="13"/>
  <c r="O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Z65" i="13" s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0" i="5" s="1"/>
  <c r="G27" i="5"/>
  <c r="L27" i="5" s="1"/>
  <c r="G26" i="5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26" i="5" l="1"/>
  <c r="L19" i="5"/>
  <c r="R33" i="21" s="1"/>
  <c r="L28" i="5"/>
  <c r="O30" i="4"/>
  <c r="Q30" i="4"/>
  <c r="R41" i="4"/>
  <c r="M18" i="5"/>
  <c r="O22" i="5"/>
  <c r="R29" i="4"/>
  <c r="L17" i="5"/>
  <c r="R27" i="4"/>
  <c r="R25" i="4"/>
  <c r="R24" i="4"/>
  <c r="R23" i="4"/>
  <c r="L14" i="5"/>
  <c r="R19" i="4"/>
  <c r="L12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M9" i="5"/>
  <c r="J28" i="7" s="1"/>
  <c r="L28" i="7" s="1"/>
  <c r="M30" i="5"/>
  <c r="N30" i="5" s="1"/>
  <c r="M26" i="5"/>
  <c r="P47" i="21" s="1"/>
  <c r="E36" i="7"/>
  <c r="E32" i="7"/>
  <c r="M24" i="5"/>
  <c r="M34" i="5"/>
  <c r="M38" i="5"/>
  <c r="N38" i="5" s="1"/>
  <c r="M32" i="5"/>
  <c r="N32" i="5" s="1"/>
  <c r="M5" i="5"/>
  <c r="J24" i="7" s="1"/>
  <c r="L24" i="7" s="1"/>
  <c r="I33" i="21" l="1"/>
  <c r="Q33" i="21"/>
  <c r="M19" i="5"/>
  <c r="R47" i="4"/>
  <c r="R47" i="21"/>
  <c r="O28" i="5"/>
  <c r="M28" i="5"/>
  <c r="N28" i="5" s="1"/>
  <c r="N41" i="7" s="1"/>
  <c r="R35" i="21"/>
  <c r="O20" i="5"/>
  <c r="P29" i="4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I23" i="4"/>
  <c r="O20" i="4"/>
  <c r="R35" i="4"/>
  <c r="M20" i="5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O33" i="4"/>
  <c r="P11" i="4"/>
  <c r="N10" i="5"/>
  <c r="M24" i="7" s="1"/>
  <c r="N8" i="5"/>
  <c r="M22" i="7" s="1"/>
  <c r="O31" i="4"/>
  <c r="E24" i="7"/>
  <c r="P13" i="4"/>
  <c r="P7" i="4"/>
  <c r="N12" i="5"/>
  <c r="M26" i="7" s="1"/>
  <c r="N27" i="5"/>
  <c r="N26" i="5"/>
  <c r="N39" i="7" s="1"/>
  <c r="N25" i="5"/>
  <c r="E26" i="7"/>
  <c r="N24" i="5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J37" i="7" l="1"/>
  <c r="L37" i="7" s="1"/>
  <c r="N37" i="7" s="1"/>
  <c r="P33" i="21"/>
  <c r="O33" i="21" s="1"/>
  <c r="P35" i="4"/>
  <c r="O35" i="4" s="1"/>
  <c r="P35" i="21"/>
  <c r="O35" i="21" s="1"/>
  <c r="O23" i="4"/>
  <c r="C13" i="13"/>
  <c r="O29" i="4"/>
  <c r="C15" i="13"/>
  <c r="O25" i="4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<sst xmlns="http://schemas.openxmlformats.org/spreadsheetml/2006/main" count="1727" uniqueCount="598">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</sst>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164" fontId="51" fillId="0" borderId="0" applyFont="0" applyFill="0" applyBorder="0" applyAlignment="0" applyProtection="0"/>
  </cellStyleXfs>
  <cellXfs count="116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1" fillId="2" borderId="12" xfId="0" applyFont="1" applyFill="1" applyBorder="1"/>
    <xf numFmtId="0" fontId="0" fillId="2" borderId="12" xfId="0" applyFill="1" applyBorder="1"/>
    <xf numFmtId="0" fontId="51" fillId="2" borderId="15" xfId="0" applyFont="1" applyFill="1" applyBorder="1" applyAlignment="1">
      <alignment vertical="center"/>
    </xf>
    <xf numFmtId="0" fontId="5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2" fillId="4" borderId="12" xfId="0" applyFont="1" applyFill="1" applyBorder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2" fillId="3" borderId="12" xfId="0" applyFont="1" applyFill="1" applyBorder="1"/>
    <xf numFmtId="0" fontId="0" fillId="3" borderId="12" xfId="0" applyFill="1" applyBorder="1"/>
    <xf numFmtId="0" fontId="52" fillId="3" borderId="31" xfId="0" applyFont="1" applyFill="1" applyBorder="1" applyAlignment="1">
      <alignment horizontal="center"/>
    </xf>
    <xf numFmtId="0" fontId="5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3" fillId="5" borderId="0" xfId="0" applyFont="1" applyFill="1"/>
    <xf numFmtId="0" fontId="5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5" fillId="2" borderId="0" xfId="3" applyNumberFormat="1" applyFont="1" applyFill="1"/>
    <xf numFmtId="170" fontId="55" fillId="5" borderId="0" xfId="3" applyNumberFormat="1" applyFont="1" applyFill="1"/>
    <xf numFmtId="14" fontId="51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6" fillId="5" borderId="0" xfId="2" applyNumberFormat="1" applyFont="1" applyFill="1"/>
    <xf numFmtId="172" fontId="5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7" fillId="6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9" borderId="12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0" fontId="59" fillId="11" borderId="12" xfId="0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9" fillId="12" borderId="12" xfId="0" applyNumberFormat="1" applyFont="1" applyFill="1" applyBorder="1" applyAlignment="1">
      <alignment horizontal="center" vertical="center"/>
    </xf>
    <xf numFmtId="0" fontId="59" fillId="13" borderId="12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/>
    </xf>
    <xf numFmtId="20" fontId="51" fillId="2" borderId="28" xfId="0" applyNumberFormat="1" applyFont="1" applyFill="1" applyBorder="1" applyAlignment="1">
      <alignment horizontal="center" vertical="center"/>
    </xf>
    <xf numFmtId="1" fontId="5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1" fillId="2" borderId="12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right"/>
    </xf>
    <xf numFmtId="1" fontId="52" fillId="3" borderId="20" xfId="0" applyNumberFormat="1" applyFont="1" applyFill="1" applyBorder="1" applyAlignment="1">
      <alignment horizontal="right"/>
    </xf>
    <xf numFmtId="9" fontId="5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7" fillId="0" borderId="0" xfId="0" applyFont="1"/>
    <xf numFmtId="1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7" fillId="0" borderId="38" xfId="0" applyFont="1" applyBorder="1"/>
    <xf numFmtId="1" fontId="57" fillId="0" borderId="38" xfId="0" applyNumberFormat="1" applyFont="1" applyBorder="1" applyAlignment="1">
      <alignment horizontal="center"/>
    </xf>
    <xf numFmtId="0" fontId="57" fillId="0" borderId="38" xfId="0" applyFont="1" applyBorder="1" applyAlignment="1">
      <alignment horizontal="center"/>
    </xf>
    <xf numFmtId="43" fontId="57" fillId="0" borderId="38" xfId="1" applyFont="1" applyBorder="1" applyAlignment="1">
      <alignment horizontal="center"/>
    </xf>
    <xf numFmtId="0" fontId="57" fillId="0" borderId="39" xfId="0" applyFont="1" applyBorder="1"/>
    <xf numFmtId="0" fontId="59" fillId="0" borderId="0" xfId="0" applyFont="1" applyAlignment="1">
      <alignment wrapText="1"/>
    </xf>
    <xf numFmtId="0" fontId="59" fillId="3" borderId="45" xfId="0" applyFont="1" applyFill="1" applyBorder="1" applyAlignment="1">
      <alignment horizontal="center" vertical="center" wrapText="1"/>
    </xf>
    <xf numFmtId="0" fontId="57" fillId="0" borderId="47" xfId="0" applyFont="1" applyBorder="1"/>
    <xf numFmtId="173" fontId="57" fillId="0" borderId="48" xfId="0" applyNumberFormat="1" applyFont="1" applyBorder="1" applyAlignment="1">
      <alignment horizontal="center"/>
    </xf>
    <xf numFmtId="1" fontId="57" fillId="0" borderId="48" xfId="0" applyNumberFormat="1" applyFont="1" applyBorder="1" applyAlignment="1">
      <alignment horizontal="center"/>
    </xf>
    <xf numFmtId="174" fontId="57" fillId="0" borderId="48" xfId="0" applyNumberFormat="1" applyFont="1" applyBorder="1" applyAlignment="1">
      <alignment horizontal="center"/>
    </xf>
    <xf numFmtId="0" fontId="57" fillId="0" borderId="48" xfId="0" applyFont="1" applyBorder="1"/>
    <xf numFmtId="9" fontId="57" fillId="0" borderId="48" xfId="0" applyNumberFormat="1" applyFont="1" applyBorder="1" applyAlignment="1">
      <alignment horizontal="center"/>
    </xf>
    <xf numFmtId="0" fontId="57" fillId="0" borderId="48" xfId="0" applyFont="1" applyBorder="1" applyAlignment="1">
      <alignment horizontal="center"/>
    </xf>
    <xf numFmtId="9" fontId="57" fillId="0" borderId="48" xfId="2" applyFont="1" applyBorder="1" applyAlignment="1">
      <alignment horizontal="center" vertical="center"/>
    </xf>
    <xf numFmtId="9" fontId="57" fillId="0" borderId="49" xfId="0" applyNumberFormat="1" applyFont="1" applyBorder="1" applyAlignment="1">
      <alignment horizontal="center"/>
    </xf>
    <xf numFmtId="0" fontId="5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2" fillId="10" borderId="20" xfId="0" applyFont="1" applyFill="1" applyBorder="1"/>
    <xf numFmtId="0" fontId="52" fillId="10" borderId="28" xfId="0" applyFont="1" applyFill="1" applyBorder="1"/>
    <xf numFmtId="14" fontId="5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2" fillId="16" borderId="12" xfId="0" applyFont="1" applyFill="1" applyBorder="1" applyAlignment="1">
      <alignment horizontal="center"/>
    </xf>
    <xf numFmtId="0" fontId="52" fillId="10" borderId="7" xfId="0" applyFont="1" applyFill="1" applyBorder="1" applyAlignment="1">
      <alignment horizontal="center"/>
    </xf>
    <xf numFmtId="9" fontId="57" fillId="0" borderId="12" xfId="0" applyNumberFormat="1" applyFont="1" applyBorder="1" applyAlignment="1">
      <alignment horizontal="center"/>
    </xf>
    <xf numFmtId="0" fontId="52" fillId="17" borderId="12" xfId="0" applyFont="1" applyFill="1" applyBorder="1" applyAlignment="1">
      <alignment horizontal="center"/>
    </xf>
    <xf numFmtId="0" fontId="5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2" fillId="3" borderId="0" xfId="0" applyFont="1" applyFill="1" applyAlignment="1">
      <alignment horizontal="center"/>
    </xf>
    <xf numFmtId="0" fontId="5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7" fillId="18" borderId="12" xfId="0" applyNumberFormat="1" applyFont="1" applyFill="1" applyBorder="1" applyAlignment="1">
      <alignment horizontal="center"/>
    </xf>
    <xf numFmtId="2" fontId="6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2" fillId="3" borderId="20" xfId="0" applyNumberFormat="1" applyFont="1" applyFill="1" applyBorder="1" applyAlignment="1">
      <alignment horizontal="right"/>
    </xf>
    <xf numFmtId="0" fontId="67" fillId="18" borderId="7" xfId="0" applyFont="1" applyFill="1" applyBorder="1"/>
    <xf numFmtId="0" fontId="67" fillId="18" borderId="29" xfId="0" applyFont="1" applyFill="1" applyBorder="1"/>
    <xf numFmtId="174" fontId="67" fillId="18" borderId="29" xfId="0" applyNumberFormat="1" applyFont="1" applyFill="1" applyBorder="1" applyAlignment="1">
      <alignment horizontal="center"/>
    </xf>
    <xf numFmtId="0" fontId="68" fillId="2" borderId="0" xfId="0" applyFont="1" applyFill="1"/>
    <xf numFmtId="176" fontId="57" fillId="0" borderId="48" xfId="0" applyNumberFormat="1" applyFont="1" applyBorder="1" applyAlignment="1">
      <alignment horizontal="center"/>
    </xf>
    <xf numFmtId="0" fontId="51" fillId="2" borderId="7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/>
    </xf>
    <xf numFmtId="0" fontId="5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2" fillId="2" borderId="0" xfId="0" applyFont="1" applyFill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9" fontId="67" fillId="18" borderId="29" xfId="2" applyFont="1" applyFill="1" applyBorder="1" applyAlignment="1">
      <alignment horizontal="center"/>
    </xf>
    <xf numFmtId="0" fontId="52" fillId="20" borderId="12" xfId="0" applyFont="1" applyFill="1" applyBorder="1"/>
    <xf numFmtId="9" fontId="57" fillId="0" borderId="0" xfId="2" applyFont="1" applyAlignment="1">
      <alignment horizontal="center"/>
    </xf>
    <xf numFmtId="0" fontId="52" fillId="0" borderId="12" xfId="0" applyFont="1" applyBorder="1"/>
    <xf numFmtId="176" fontId="0" fillId="0" borderId="12" xfId="0" applyNumberFormat="1" applyBorder="1"/>
    <xf numFmtId="1" fontId="70" fillId="2" borderId="12" xfId="0" applyNumberFormat="1" applyFont="1" applyFill="1" applyBorder="1"/>
    <xf numFmtId="9" fontId="70" fillId="2" borderId="12" xfId="0" applyNumberFormat="1" applyFont="1" applyFill="1" applyBorder="1"/>
    <xf numFmtId="0" fontId="62" fillId="2" borderId="12" xfId="0" applyFont="1" applyFill="1" applyBorder="1"/>
    <xf numFmtId="1" fontId="59" fillId="3" borderId="45" xfId="0" applyNumberFormat="1" applyFont="1" applyFill="1" applyBorder="1" applyAlignment="1">
      <alignment horizontal="center" vertical="center" wrapText="1"/>
    </xf>
    <xf numFmtId="43" fontId="59" fillId="3" borderId="45" xfId="1" applyFont="1" applyFill="1" applyBorder="1" applyAlignment="1">
      <alignment horizontal="center" vertical="center" wrapText="1"/>
    </xf>
    <xf numFmtId="0" fontId="5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8" fillId="2" borderId="28" xfId="0" applyFont="1" applyFill="1" applyBorder="1" applyAlignment="1">
      <alignment vertical="center"/>
    </xf>
    <xf numFmtId="20" fontId="4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20" fontId="45" fillId="2" borderId="28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9" fontId="57" fillId="8" borderId="12" xfId="0" applyNumberFormat="1" applyFont="1" applyFill="1" applyBorder="1" applyAlignment="1">
      <alignment horizontal="center" vertical="center"/>
    </xf>
    <xf numFmtId="1" fontId="5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14" fontId="5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7" fillId="2" borderId="20" xfId="0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vertical="center"/>
    </xf>
    <xf numFmtId="0" fontId="58" fillId="2" borderId="28" xfId="0" applyFont="1" applyFill="1" applyBorder="1"/>
    <xf numFmtId="0" fontId="57" fillId="2" borderId="28" xfId="0" applyFont="1" applyFill="1" applyBorder="1" applyAlignment="1">
      <alignment horizontal="center" vertical="center"/>
    </xf>
    <xf numFmtId="14" fontId="57" fillId="7" borderId="10" xfId="0" applyNumberFormat="1" applyFont="1" applyFill="1" applyBorder="1" applyAlignment="1">
      <alignment vertical="center"/>
    </xf>
    <xf numFmtId="14" fontId="57" fillId="7" borderId="10" xfId="0" applyNumberFormat="1" applyFont="1" applyFill="1" applyBorder="1" applyAlignment="1">
      <alignment horizontal="center" vertical="center"/>
    </xf>
    <xf numFmtId="14" fontId="57" fillId="2" borderId="10" xfId="0" applyNumberFormat="1" applyFont="1" applyFill="1" applyBorder="1" applyAlignment="1">
      <alignment vertical="center"/>
    </xf>
    <xf numFmtId="14" fontId="57" fillId="2" borderId="10" xfId="0" applyNumberFormat="1" applyFont="1" applyFill="1" applyBorder="1" applyAlignment="1">
      <alignment horizontal="center" vertical="center"/>
    </xf>
    <xf numFmtId="0" fontId="57" fillId="2" borderId="10" xfId="0" applyFont="1" applyFill="1" applyBorder="1" applyAlignment="1">
      <alignment horizontal="center" vertical="center"/>
    </xf>
    <xf numFmtId="1" fontId="57" fillId="8" borderId="10" xfId="0" applyNumberFormat="1" applyFont="1" applyFill="1" applyBorder="1" applyAlignment="1">
      <alignment horizontal="center" vertical="center"/>
    </xf>
    <xf numFmtId="0" fontId="57" fillId="8" borderId="10" xfId="0" applyFont="1" applyFill="1" applyBorder="1" applyAlignment="1">
      <alignment horizontal="center" vertical="center"/>
    </xf>
    <xf numFmtId="14" fontId="57" fillId="7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horizontal="center" vertical="center"/>
    </xf>
    <xf numFmtId="0" fontId="5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7" fillId="9" borderId="28" xfId="0" applyFont="1" applyFill="1" applyBorder="1" applyAlignment="1">
      <alignment horizontal="center" vertical="center"/>
    </xf>
    <xf numFmtId="0" fontId="58" fillId="2" borderId="10" xfId="0" applyFont="1" applyFill="1" applyBorder="1"/>
    <xf numFmtId="0" fontId="58" fillId="2" borderId="17" xfId="0" applyFont="1" applyFill="1" applyBorder="1"/>
    <xf numFmtId="0" fontId="0" fillId="2" borderId="17" xfId="0" applyFill="1" applyBorder="1"/>
    <xf numFmtId="0" fontId="57" fillId="9" borderId="1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57" fillId="2" borderId="12" xfId="0" applyNumberFormat="1" applyFont="1" applyFill="1" applyBorder="1" applyAlignment="1">
      <alignment horizontal="center" vertical="center"/>
    </xf>
    <xf numFmtId="1" fontId="57" fillId="8" borderId="28" xfId="0" applyNumberFormat="1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7" fillId="0" borderId="47" xfId="0" applyNumberFormat="1" applyFont="1" applyBorder="1" applyAlignment="1">
      <alignment horizontal="center"/>
    </xf>
    <xf numFmtId="1" fontId="57" fillId="0" borderId="12" xfId="0" applyNumberFormat="1" applyFont="1" applyBorder="1" applyAlignment="1">
      <alignment horizontal="center"/>
    </xf>
    <xf numFmtId="174" fontId="57" fillId="0" borderId="12" xfId="0" applyNumberFormat="1" applyFont="1" applyBorder="1" applyAlignment="1">
      <alignment horizontal="center"/>
    </xf>
    <xf numFmtId="0" fontId="57" fillId="0" borderId="12" xfId="0" applyFont="1" applyBorder="1" applyAlignment="1">
      <alignment horizontal="center"/>
    </xf>
    <xf numFmtId="9" fontId="5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7" fillId="2" borderId="12" xfId="0" applyFont="1" applyFill="1" applyBorder="1" applyAlignment="1">
      <alignment vertical="top" wrapText="1"/>
    </xf>
    <xf numFmtId="0" fontId="5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2" fillId="18" borderId="30" xfId="0" applyFont="1" applyFill="1" applyBorder="1" applyAlignment="1">
      <alignment horizontal="center" vertical="center"/>
    </xf>
    <xf numFmtId="0" fontId="52" fillId="18" borderId="22" xfId="0" applyFont="1" applyFill="1" applyBorder="1" applyAlignment="1">
      <alignment horizontal="center" vertical="center"/>
    </xf>
    <xf numFmtId="1" fontId="52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2" fillId="20" borderId="12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2" fillId="4" borderId="12" xfId="0" applyNumberFormat="1" applyFont="1" applyFill="1" applyBorder="1" applyAlignment="1">
      <alignment horizontal="center"/>
    </xf>
    <xf numFmtId="14" fontId="38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5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/>
    </xf>
    <xf numFmtId="0" fontId="52" fillId="18" borderId="32" xfId="0" applyFont="1" applyFill="1" applyBorder="1" applyAlignment="1">
      <alignment horizontal="center"/>
    </xf>
    <xf numFmtId="0" fontId="5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2" fillId="4" borderId="12" xfId="0" applyFont="1" applyFill="1" applyBorder="1"/>
    <xf numFmtId="0" fontId="52" fillId="18" borderId="12" xfId="0" applyFont="1" applyFill="1" applyBorder="1"/>
    <xf numFmtId="0" fontId="52" fillId="18" borderId="12" xfId="0" applyFont="1" applyFill="1" applyBorder="1" applyAlignment="1">
      <alignment horizontal="left"/>
    </xf>
    <xf numFmtId="0" fontId="33" fillId="2" borderId="12" xfId="0" applyFont="1" applyFill="1" applyBorder="1"/>
    <xf numFmtId="0" fontId="51" fillId="3" borderId="0" xfId="0" applyFont="1" applyFill="1" applyAlignment="1">
      <alignment horizontal="center"/>
    </xf>
    <xf numFmtId="0" fontId="51" fillId="3" borderId="19" xfId="0" applyFont="1" applyFill="1" applyBorder="1" applyAlignment="1">
      <alignment horizontal="center"/>
    </xf>
    <xf numFmtId="0" fontId="5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3" fillId="2" borderId="28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67" fillId="3" borderId="21" xfId="1" applyNumberFormat="1" applyFont="1" applyFill="1" applyBorder="1" applyAlignment="1">
      <alignment horizontal="center" vertical="center"/>
    </xf>
    <xf numFmtId="166" fontId="67" fillId="3" borderId="21" xfId="0" applyNumberFormat="1" applyFont="1" applyFill="1" applyBorder="1" applyAlignment="1">
      <alignment horizontal="center" vertical="center"/>
    </xf>
    <xf numFmtId="9" fontId="67" fillId="3" borderId="21" xfId="2" applyFont="1" applyFill="1" applyBorder="1" applyAlignment="1">
      <alignment horizontal="center" vertical="center"/>
    </xf>
    <xf numFmtId="9" fontId="67" fillId="3" borderId="22" xfId="2" applyFont="1" applyFill="1" applyBorder="1" applyAlignment="1">
      <alignment horizontal="center" vertical="center" wrapText="1"/>
    </xf>
    <xf numFmtId="14" fontId="72" fillId="2" borderId="9" xfId="0" applyNumberFormat="1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vertical="center"/>
    </xf>
    <xf numFmtId="165" fontId="72" fillId="2" borderId="10" xfId="1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9" fontId="72" fillId="2" borderId="10" xfId="2" applyFont="1" applyFill="1" applyBorder="1" applyAlignment="1">
      <alignment horizontal="center" vertical="center"/>
    </xf>
    <xf numFmtId="167" fontId="72" fillId="2" borderId="11" xfId="1" applyNumberFormat="1" applyFont="1" applyFill="1" applyBorder="1" applyAlignment="1">
      <alignment horizontal="center" vertical="center"/>
    </xf>
    <xf numFmtId="0" fontId="72" fillId="2" borderId="11" xfId="0" applyFont="1" applyFill="1" applyBorder="1" applyAlignment="1">
      <alignment horizontal="center" vertical="center"/>
    </xf>
    <xf numFmtId="1" fontId="72" fillId="2" borderId="11" xfId="0" applyNumberFormat="1" applyFont="1" applyFill="1" applyBorder="1" applyAlignment="1">
      <alignment horizontal="center" vertical="center"/>
    </xf>
    <xf numFmtId="165" fontId="72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/>
    <xf numFmtId="14" fontId="72" fillId="2" borderId="14" xfId="0" applyNumberFormat="1" applyFont="1" applyFill="1" applyBorder="1" applyAlignment="1">
      <alignment horizontal="center" vertical="center"/>
    </xf>
    <xf numFmtId="0" fontId="72" fillId="2" borderId="15" xfId="0" applyFont="1" applyFill="1" applyBorder="1" applyAlignment="1">
      <alignment vertical="center"/>
    </xf>
    <xf numFmtId="165" fontId="72" fillId="2" borderId="15" xfId="1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9" fontId="72" fillId="2" borderId="15" xfId="2" applyFont="1" applyFill="1" applyBorder="1" applyAlignment="1">
      <alignment horizontal="center" vertical="center"/>
    </xf>
    <xf numFmtId="165" fontId="72" fillId="2" borderId="17" xfId="1" applyNumberFormat="1" applyFont="1" applyFill="1" applyBorder="1" applyAlignment="1">
      <alignment horizontal="center" vertical="center"/>
    </xf>
    <xf numFmtId="167" fontId="72" fillId="2" borderId="16" xfId="1" applyNumberFormat="1" applyFont="1" applyFill="1" applyBorder="1" applyAlignment="1">
      <alignment horizontal="center" vertical="center"/>
    </xf>
    <xf numFmtId="165" fontId="72" fillId="2" borderId="12" xfId="0" applyNumberFormat="1" applyFont="1" applyFill="1" applyBorder="1"/>
    <xf numFmtId="168" fontId="72" fillId="2" borderId="12" xfId="0" applyNumberFormat="1" applyFont="1" applyFill="1" applyBorder="1"/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17" xfId="0" applyNumberFormat="1" applyFont="1" applyFill="1" applyBorder="1" applyAlignment="1">
      <alignment horizontal="center" vertical="center"/>
    </xf>
    <xf numFmtId="167" fontId="72" fillId="2" borderId="12" xfId="0" applyNumberFormat="1" applyFont="1" applyFill="1" applyBorder="1"/>
    <xf numFmtId="0" fontId="72" fillId="2" borderId="17" xfId="0" applyFont="1" applyFill="1" applyBorder="1" applyAlignment="1">
      <alignment vertical="center"/>
    </xf>
    <xf numFmtId="1" fontId="72" fillId="2" borderId="16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vertical="center"/>
    </xf>
    <xf numFmtId="165" fontId="72" fillId="2" borderId="20" xfId="1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9" fontId="72" fillId="2" borderId="21" xfId="2" applyFont="1" applyFill="1" applyBorder="1" applyAlignment="1">
      <alignment horizontal="center" vertical="center"/>
    </xf>
    <xf numFmtId="167" fontId="72" fillId="2" borderId="22" xfId="1" applyNumberFormat="1" applyFont="1" applyFill="1" applyBorder="1" applyAlignment="1">
      <alignment horizontal="center" vertical="center"/>
    </xf>
    <xf numFmtId="1" fontId="72" fillId="2" borderId="22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65" fontId="72" fillId="2" borderId="20" xfId="0" applyNumberFormat="1" applyFont="1" applyFill="1" applyBorder="1" applyAlignment="1">
      <alignment horizontal="center" vertical="center"/>
    </xf>
    <xf numFmtId="165" fontId="72" fillId="2" borderId="23" xfId="0" applyNumberFormat="1" applyFont="1" applyFill="1" applyBorder="1" applyAlignment="1">
      <alignment horizontal="center" vertical="center"/>
    </xf>
    <xf numFmtId="165" fontId="72" fillId="2" borderId="25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72" fillId="2" borderId="27" xfId="0" applyFont="1" applyFill="1" applyBorder="1" applyAlignment="1">
      <alignment vertical="center"/>
    </xf>
    <xf numFmtId="165" fontId="72" fillId="2" borderId="27" xfId="1" applyNumberFormat="1" applyFont="1" applyFill="1" applyBorder="1" applyAlignment="1">
      <alignment horizontal="center" vertical="center"/>
    </xf>
    <xf numFmtId="166" fontId="72" fillId="2" borderId="27" xfId="0" applyNumberFormat="1" applyFont="1" applyFill="1" applyBorder="1" applyAlignment="1">
      <alignment horizontal="center" vertical="center"/>
    </xf>
    <xf numFmtId="9" fontId="72" fillId="2" borderId="27" xfId="2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vertical="center"/>
    </xf>
    <xf numFmtId="165" fontId="72" fillId="2" borderId="17" xfId="0" applyNumberFormat="1" applyFont="1" applyFill="1" applyBorder="1" applyAlignment="1">
      <alignment vertical="center"/>
    </xf>
    <xf numFmtId="175" fontId="72" fillId="2" borderId="27" xfId="2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1" xfId="0" applyFont="1" applyFill="1" applyBorder="1" applyAlignment="1">
      <alignment vertical="center"/>
    </xf>
    <xf numFmtId="165" fontId="67" fillId="4" borderId="21" xfId="1" applyNumberFormat="1" applyFont="1" applyFill="1" applyBorder="1" applyAlignment="1">
      <alignment horizontal="center" vertical="center"/>
    </xf>
    <xf numFmtId="166" fontId="67" fillId="4" borderId="21" xfId="0" applyNumberFormat="1" applyFont="1" applyFill="1" applyBorder="1" applyAlignment="1">
      <alignment horizontal="center" vertical="center"/>
    </xf>
    <xf numFmtId="9" fontId="67" fillId="4" borderId="21" xfId="2" applyFont="1" applyFill="1" applyBorder="1" applyAlignment="1">
      <alignment horizontal="center" vertical="center"/>
    </xf>
    <xf numFmtId="167" fontId="67" fillId="4" borderId="22" xfId="1" applyNumberFormat="1" applyFont="1" applyFill="1" applyBorder="1" applyAlignment="1">
      <alignment horizontal="center" vertical="center"/>
    </xf>
    <xf numFmtId="0" fontId="67" fillId="4" borderId="22" xfId="0" applyFont="1" applyFill="1" applyBorder="1" applyAlignment="1">
      <alignment horizontal="center" vertical="center"/>
    </xf>
    <xf numFmtId="1" fontId="67" fillId="4" borderId="22" xfId="0" applyNumberFormat="1" applyFont="1" applyFill="1" applyBorder="1" applyAlignment="1">
      <alignment horizontal="center" vertical="center"/>
    </xf>
    <xf numFmtId="165" fontId="67" fillId="4" borderId="21" xfId="0" applyNumberFormat="1" applyFont="1" applyFill="1" applyBorder="1" applyAlignment="1">
      <alignment horizontal="center" vertical="center"/>
    </xf>
    <xf numFmtId="165" fontId="72" fillId="4" borderId="28" xfId="0" applyNumberFormat="1" applyFont="1" applyFill="1" applyBorder="1" applyAlignment="1">
      <alignment horizontal="center" vertical="center"/>
    </xf>
    <xf numFmtId="0" fontId="67" fillId="4" borderId="17" xfId="0" applyFont="1" applyFill="1" applyBorder="1"/>
    <xf numFmtId="165" fontId="67" fillId="4" borderId="17" xfId="1" applyNumberFormat="1" applyFont="1" applyFill="1" applyBorder="1" applyAlignment="1">
      <alignment horizontal="center" vertical="center"/>
    </xf>
    <xf numFmtId="9" fontId="67" fillId="4" borderId="17" xfId="2" applyFont="1" applyFill="1" applyBorder="1" applyAlignment="1">
      <alignment horizontal="center" vertical="center"/>
    </xf>
    <xf numFmtId="1" fontId="67" fillId="4" borderId="17" xfId="0" applyNumberFormat="1" applyFont="1" applyFill="1" applyBorder="1" applyAlignment="1">
      <alignment horizontal="center"/>
    </xf>
    <xf numFmtId="165" fontId="6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7" fillId="4" borderId="6" xfId="0" applyNumberFormat="1" applyFont="1" applyFill="1" applyBorder="1" applyAlignment="1">
      <alignment horizontal="center" vertical="center"/>
    </xf>
    <xf numFmtId="165" fontId="67" fillId="4" borderId="54" xfId="0" applyNumberFormat="1" applyFont="1" applyFill="1" applyBorder="1" applyAlignment="1">
      <alignment vertical="center"/>
    </xf>
    <xf numFmtId="0" fontId="67" fillId="3" borderId="22" xfId="0" applyFont="1" applyFill="1" applyBorder="1" applyAlignment="1">
      <alignment horizontal="center" vertical="center" wrapText="1"/>
    </xf>
    <xf numFmtId="0" fontId="67" fillId="3" borderId="21" xfId="0" applyFont="1" applyFill="1" applyBorder="1" applyAlignment="1">
      <alignment horizontal="center" vertical="center"/>
    </xf>
    <xf numFmtId="0" fontId="67" fillId="3" borderId="21" xfId="0" applyFont="1" applyFill="1" applyBorder="1" applyAlignment="1">
      <alignment horizontal="center" vertical="center" wrapText="1"/>
    </xf>
    <xf numFmtId="0" fontId="67" fillId="20" borderId="28" xfId="0" applyFont="1" applyFill="1" applyBorder="1" applyAlignment="1">
      <alignment horizontal="center" vertical="center"/>
    </xf>
    <xf numFmtId="14" fontId="72" fillId="17" borderId="9" xfId="0" applyNumberFormat="1" applyFont="1" applyFill="1" applyBorder="1" applyAlignment="1">
      <alignment horizontal="center" vertical="center"/>
    </xf>
    <xf numFmtId="0" fontId="72" fillId="17" borderId="10" xfId="0" applyFont="1" applyFill="1" applyBorder="1" applyAlignment="1">
      <alignment vertical="center"/>
    </xf>
    <xf numFmtId="165" fontId="72" fillId="17" borderId="10" xfId="1" applyNumberFormat="1" applyFont="1" applyFill="1" applyBorder="1" applyAlignment="1">
      <alignment horizontal="center" vertical="center"/>
    </xf>
    <xf numFmtId="166" fontId="72" fillId="17" borderId="10" xfId="0" applyNumberFormat="1" applyFont="1" applyFill="1" applyBorder="1" applyAlignment="1">
      <alignment horizontal="center" vertical="center"/>
    </xf>
    <xf numFmtId="9" fontId="72" fillId="17" borderId="10" xfId="2" applyFont="1" applyFill="1" applyBorder="1" applyAlignment="1">
      <alignment horizontal="center" vertical="center"/>
    </xf>
    <xf numFmtId="167" fontId="72" fillId="17" borderId="11" xfId="1" applyNumberFormat="1" applyFont="1" applyFill="1" applyBorder="1" applyAlignment="1">
      <alignment horizontal="center" vertical="center"/>
    </xf>
    <xf numFmtId="1" fontId="72" fillId="17" borderId="11" xfId="0" applyNumberFormat="1" applyFont="1" applyFill="1" applyBorder="1" applyAlignment="1">
      <alignment horizontal="center" vertical="center"/>
    </xf>
    <xf numFmtId="165" fontId="72" fillId="17" borderId="10" xfId="0" applyNumberFormat="1" applyFont="1" applyFill="1" applyBorder="1" applyAlignment="1">
      <alignment horizontal="center" vertical="center"/>
    </xf>
    <xf numFmtId="0" fontId="72" fillId="17" borderId="12" xfId="0" applyFont="1" applyFill="1" applyBorder="1"/>
    <xf numFmtId="14" fontId="72" fillId="17" borderId="14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vertical="center"/>
    </xf>
    <xf numFmtId="165" fontId="72" fillId="17" borderId="17" xfId="1" applyNumberFormat="1" applyFont="1" applyFill="1" applyBorder="1" applyAlignment="1">
      <alignment horizontal="center" vertical="center"/>
    </xf>
    <xf numFmtId="9" fontId="72" fillId="17" borderId="15" xfId="2" applyFont="1" applyFill="1" applyBorder="1" applyAlignment="1">
      <alignment horizontal="center" vertical="center"/>
    </xf>
    <xf numFmtId="167" fontId="72" fillId="17" borderId="16" xfId="1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17" borderId="12" xfId="0" applyNumberFormat="1" applyFont="1" applyFill="1" applyBorder="1"/>
    <xf numFmtId="165" fontId="72" fillId="17" borderId="17" xfId="0" applyNumberFormat="1" applyFont="1" applyFill="1" applyBorder="1" applyAlignment="1">
      <alignment horizontal="center" vertical="center"/>
    </xf>
    <xf numFmtId="0" fontId="72" fillId="17" borderId="17" xfId="0" applyFont="1" applyFill="1" applyBorder="1" applyAlignment="1">
      <alignment vertical="center"/>
    </xf>
    <xf numFmtId="1" fontId="72" fillId="17" borderId="16" xfId="0" applyNumberFormat="1" applyFont="1" applyFill="1" applyBorder="1" applyAlignment="1">
      <alignment horizontal="center" vertical="center"/>
    </xf>
    <xf numFmtId="0" fontId="6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left" vertical="center"/>
    </xf>
    <xf numFmtId="0" fontId="72" fillId="2" borderId="12" xfId="0" applyFont="1" applyFill="1" applyBorder="1" applyAlignment="1">
      <alignment wrapText="1"/>
    </xf>
    <xf numFmtId="0" fontId="2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2" fillId="4" borderId="12" xfId="0" applyFont="1" applyFill="1" applyBorder="1" applyAlignment="1">
      <alignment horizontal="center" wrapText="1"/>
    </xf>
    <xf numFmtId="166" fontId="73" fillId="17" borderId="10" xfId="0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166" fontId="73" fillId="17" borderId="15" xfId="0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2" fillId="18" borderId="12" xfId="0" applyNumberFormat="1" applyFont="1" applyFill="1" applyBorder="1" applyAlignment="1">
      <alignment horizontal="center" wrapText="1"/>
    </xf>
    <xf numFmtId="0" fontId="52" fillId="2" borderId="12" xfId="0" applyFont="1" applyFill="1" applyBorder="1"/>
    <xf numFmtId="14" fontId="26" fillId="2" borderId="12" xfId="0" applyNumberFormat="1" applyFont="1" applyFill="1" applyBorder="1"/>
    <xf numFmtId="0" fontId="25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horizontal="center" vertical="center"/>
    </xf>
    <xf numFmtId="173" fontId="57" fillId="0" borderId="47" xfId="0" applyNumberFormat="1" applyFont="1" applyBorder="1" applyAlignment="1">
      <alignment horizontal="center"/>
    </xf>
    <xf numFmtId="1" fontId="57" fillId="0" borderId="20" xfId="0" applyNumberFormat="1" applyFont="1" applyBorder="1" applyAlignment="1">
      <alignment horizontal="center"/>
    </xf>
    <xf numFmtId="174" fontId="57" fillId="0" borderId="20" xfId="0" applyNumberFormat="1" applyFont="1" applyBorder="1" applyAlignment="1">
      <alignment horizontal="center"/>
    </xf>
    <xf numFmtId="0" fontId="57" fillId="0" borderId="20" xfId="0" applyFont="1" applyBorder="1"/>
    <xf numFmtId="9" fontId="57" fillId="0" borderId="20" xfId="0" applyNumberFormat="1" applyFont="1" applyBorder="1" applyAlignment="1">
      <alignment horizontal="center"/>
    </xf>
    <xf numFmtId="0" fontId="57" fillId="0" borderId="20" xfId="0" applyFont="1" applyBorder="1" applyAlignment="1">
      <alignment horizontal="center"/>
    </xf>
    <xf numFmtId="9" fontId="57" fillId="0" borderId="20" xfId="2" applyFont="1" applyBorder="1" applyAlignment="1">
      <alignment horizontal="center" vertical="center"/>
    </xf>
    <xf numFmtId="173" fontId="57" fillId="14" borderId="12" xfId="0" applyNumberFormat="1" applyFont="1" applyFill="1" applyBorder="1" applyAlignment="1">
      <alignment horizontal="center"/>
    </xf>
    <xf numFmtId="43" fontId="57" fillId="14" borderId="12" xfId="1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/>
    </xf>
    <xf numFmtId="0" fontId="57" fillId="14" borderId="12" xfId="0" applyFont="1" applyFill="1" applyBorder="1"/>
    <xf numFmtId="1" fontId="57" fillId="21" borderId="12" xfId="0" applyNumberFormat="1" applyFont="1" applyFill="1" applyBorder="1" applyAlignment="1">
      <alignment horizontal="center"/>
    </xf>
    <xf numFmtId="2" fontId="57" fillId="21" borderId="12" xfId="0" applyNumberFormat="1" applyFont="1" applyFill="1" applyBorder="1" applyAlignment="1">
      <alignment horizontal="center"/>
    </xf>
    <xf numFmtId="176" fontId="57" fillId="21" borderId="12" xfId="0" applyNumberFormat="1" applyFont="1" applyFill="1" applyBorder="1" applyAlignment="1">
      <alignment horizontal="center"/>
    </xf>
    <xf numFmtId="9" fontId="57" fillId="21" borderId="12" xfId="0" applyNumberFormat="1" applyFont="1" applyFill="1" applyBorder="1" applyAlignment="1">
      <alignment horizontal="center"/>
    </xf>
    <xf numFmtId="0" fontId="57" fillId="14" borderId="12" xfId="0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 wrapText="1"/>
    </xf>
    <xf numFmtId="43" fontId="57" fillId="21" borderId="12" xfId="1" applyFont="1" applyFill="1" applyBorder="1" applyAlignment="1">
      <alignment horizontal="center"/>
    </xf>
    <xf numFmtId="1" fontId="57" fillId="14" borderId="48" xfId="0" applyNumberFormat="1" applyFont="1" applyFill="1" applyBorder="1" applyAlignment="1">
      <alignment horizontal="center"/>
    </xf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52" fillId="2" borderId="12" xfId="0" applyNumberFormat="1" applyFont="1" applyFill="1" applyBorder="1" applyAlignment="1">
      <alignment horizontal="center"/>
    </xf>
    <xf numFmtId="1" fontId="52" fillId="2" borderId="27" xfId="0" applyNumberFormat="1" applyFont="1" applyFill="1" applyBorder="1" applyAlignment="1">
      <alignment horizontal="center" vertical="center"/>
    </xf>
    <xf numFmtId="176" fontId="52" fillId="2" borderId="23" xfId="0" applyNumberFormat="1" applyFont="1" applyFill="1" applyBorder="1" applyAlignment="1">
      <alignment horizontal="center" vertical="center"/>
    </xf>
    <xf numFmtId="176" fontId="52" fillId="2" borderId="11" xfId="0" applyNumberFormat="1" applyFont="1" applyFill="1" applyBorder="1" applyAlignment="1">
      <alignment horizontal="center" vertical="center"/>
    </xf>
    <xf numFmtId="176" fontId="52" fillId="2" borderId="25" xfId="0" applyNumberFormat="1" applyFont="1" applyFill="1" applyBorder="1" applyAlignment="1">
      <alignment horizontal="center" vertical="center"/>
    </xf>
    <xf numFmtId="176" fontId="52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5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55" fillId="16" borderId="0" xfId="0" applyFont="1" applyFill="1"/>
    <xf numFmtId="0" fontId="0" fillId="16" borderId="0" xfId="0" applyFill="1"/>
    <xf numFmtId="180" fontId="55" fillId="16" borderId="0" xfId="3" applyNumberFormat="1" applyFont="1" applyFill="1"/>
    <xf numFmtId="0" fontId="52" fillId="0" borderId="0" xfId="0" applyFont="1" applyAlignment="1">
      <alignment horizontal="center"/>
    </xf>
    <xf numFmtId="0" fontId="52" fillId="18" borderId="7" xfId="0" applyFont="1" applyFill="1" applyBorder="1" applyAlignment="1">
      <alignment horizontal="center"/>
    </xf>
    <xf numFmtId="0" fontId="5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2" fillId="4" borderId="12" xfId="0" applyNumberFormat="1" applyFont="1" applyFill="1" applyBorder="1" applyAlignment="1">
      <alignment horizontal="center"/>
    </xf>
    <xf numFmtId="0" fontId="5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2" fillId="2" borderId="5" xfId="0" applyNumberFormat="1" applyFont="1" applyFill="1" applyBorder="1" applyAlignment="1">
      <alignment horizontal="center"/>
    </xf>
    <xf numFmtId="1" fontId="52" fillId="2" borderId="15" xfId="0" applyNumberFormat="1" applyFont="1" applyFill="1" applyBorder="1" applyAlignment="1">
      <alignment horizontal="center"/>
    </xf>
    <xf numFmtId="0" fontId="17" fillId="2" borderId="28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1" fillId="2" borderId="13" xfId="0" applyNumberFormat="1" applyFont="1" applyFill="1" applyBorder="1" applyAlignment="1">
      <alignment vertical="center"/>
    </xf>
    <xf numFmtId="14" fontId="51" fillId="2" borderId="14" xfId="0" applyNumberFormat="1" applyFont="1" applyFill="1" applyBorder="1" applyAlignment="1">
      <alignment vertical="center"/>
    </xf>
    <xf numFmtId="1" fontId="6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left" vertical="center"/>
    </xf>
    <xf numFmtId="14" fontId="12" fillId="2" borderId="2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0" fontId="1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20" fontId="51" fillId="23" borderId="12" xfId="0" applyNumberFormat="1" applyFont="1" applyFill="1" applyBorder="1" applyAlignment="1">
      <alignment horizontal="center" vertical="center"/>
    </xf>
    <xf numFmtId="1" fontId="51" fillId="23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1" fontId="51" fillId="22" borderId="12" xfId="0" applyNumberFormat="1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22" fillId="22" borderId="10" xfId="0" applyNumberFormat="1" applyFont="1" applyFill="1" applyBorder="1" applyAlignment="1">
      <alignment horizontal="center" vertical="center"/>
    </xf>
    <xf numFmtId="14" fontId="22" fillId="22" borderId="17" xfId="0" applyNumberFormat="1" applyFont="1" applyFill="1" applyBorder="1" applyAlignment="1">
      <alignment horizontal="center" vertical="center"/>
    </xf>
    <xf numFmtId="14" fontId="2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2" fillId="23" borderId="17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center" vertical="center"/>
    </xf>
    <xf numFmtId="14" fontId="2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 wrapText="1"/>
    </xf>
    <xf numFmtId="14" fontId="1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5" fillId="22" borderId="28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3" fillId="23" borderId="20" xfId="0" applyNumberFormat="1" applyFont="1" applyFill="1" applyBorder="1" applyAlignment="1">
      <alignment horizontal="center" vertical="center"/>
    </xf>
    <xf numFmtId="14" fontId="12" fillId="23" borderId="20" xfId="0" applyNumberFormat="1" applyFont="1" applyFill="1" applyBorder="1" applyAlignment="1">
      <alignment horizontal="center" vertical="center"/>
    </xf>
    <xf numFmtId="14" fontId="1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2" fillId="2" borderId="0" xfId="0" applyFont="1" applyFill="1"/>
    <xf numFmtId="0" fontId="52" fillId="22" borderId="10" xfId="0" applyFont="1" applyFill="1" applyBorder="1" applyAlignment="1">
      <alignment horizontal="center"/>
    </xf>
    <xf numFmtId="0" fontId="52" fillId="22" borderId="17" xfId="0" applyFont="1" applyFill="1" applyBorder="1" applyAlignment="1">
      <alignment horizontal="center"/>
    </xf>
    <xf numFmtId="0" fontId="52" fillId="23" borderId="10" xfId="0" applyFont="1" applyFill="1" applyBorder="1" applyAlignment="1">
      <alignment horizontal="center"/>
    </xf>
    <xf numFmtId="0" fontId="52" fillId="23" borderId="17" xfId="0" applyFont="1" applyFill="1" applyBorder="1" applyAlignment="1">
      <alignment horizontal="center"/>
    </xf>
    <xf numFmtId="0" fontId="52" fillId="23" borderId="28" xfId="0" applyFont="1" applyFill="1" applyBorder="1" applyAlignment="1">
      <alignment horizontal="center"/>
    </xf>
    <xf numFmtId="0" fontId="52" fillId="23" borderId="20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/>
    </xf>
    <xf numFmtId="0" fontId="52" fillId="22" borderId="28" xfId="0" applyFont="1" applyFill="1" applyBorder="1" applyAlignment="1">
      <alignment horizontal="center"/>
    </xf>
    <xf numFmtId="0" fontId="52" fillId="23" borderId="12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10" xfId="0" applyFont="1" applyFill="1" applyBorder="1" applyAlignment="1">
      <alignment horizontal="center"/>
    </xf>
    <xf numFmtId="14" fontId="19" fillId="22" borderId="12" xfId="0" applyNumberFormat="1" applyFont="1" applyFill="1" applyBorder="1" applyAlignment="1">
      <alignment horizontal="center" vertical="center" wrapText="1"/>
    </xf>
    <xf numFmtId="14" fontId="1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top" wrapText="1"/>
    </xf>
    <xf numFmtId="0" fontId="21" fillId="22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left" vertical="center" wrapText="1"/>
    </xf>
    <xf numFmtId="20" fontId="45" fillId="23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/>
    </xf>
    <xf numFmtId="0" fontId="4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16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0" fontId="12" fillId="23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8" fillId="2" borderId="20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" fontId="52" fillId="2" borderId="5" xfId="0" applyNumberFormat="1" applyFont="1" applyFill="1" applyBorder="1"/>
    <xf numFmtId="1" fontId="52" fillId="2" borderId="15" xfId="0" applyNumberFormat="1" applyFont="1" applyFill="1" applyBorder="1"/>
    <xf numFmtId="1" fontId="51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20" fontId="51" fillId="23" borderId="20" xfId="0" applyNumberFormat="1" applyFont="1" applyFill="1" applyBorder="1" applyAlignment="1">
      <alignment horizontal="center" vertical="center"/>
    </xf>
    <xf numFmtId="0" fontId="37" fillId="23" borderId="28" xfId="0" applyFont="1" applyFill="1" applyBorder="1" applyAlignment="1">
      <alignment horizontal="center" vertical="center"/>
    </xf>
    <xf numFmtId="20" fontId="51" fillId="23" borderId="28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center" vertical="center"/>
    </xf>
    <xf numFmtId="20" fontId="51" fillId="23" borderId="70" xfId="0" applyNumberFormat="1" applyFont="1" applyFill="1" applyBorder="1" applyAlignment="1">
      <alignment horizontal="center" vertical="center"/>
    </xf>
    <xf numFmtId="1" fontId="51" fillId="23" borderId="70" xfId="0" applyNumberFormat="1" applyFont="1" applyFill="1" applyBorder="1" applyAlignment="1">
      <alignment horizontal="center" vertical="center"/>
    </xf>
    <xf numFmtId="0" fontId="8" fillId="23" borderId="70" xfId="0" applyFont="1" applyFill="1" applyBorder="1" applyAlignment="1">
      <alignment horizontal="left" vertical="center" wrapText="1"/>
    </xf>
    <xf numFmtId="1" fontId="51" fillId="22" borderId="7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left"/>
    </xf>
    <xf numFmtId="0" fontId="8" fillId="22" borderId="68" xfId="0" applyFont="1" applyFill="1" applyBorder="1" applyAlignment="1">
      <alignment horizontal="left" vertical="center" wrapText="1"/>
    </xf>
    <xf numFmtId="1" fontId="5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7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2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6" fillId="23" borderId="68" xfId="0" applyFont="1" applyFill="1" applyBorder="1" applyAlignment="1">
      <alignment horizontal="left" vertical="center" wrapText="1"/>
    </xf>
    <xf numFmtId="0" fontId="6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7" fillId="24" borderId="47" xfId="0" applyFont="1" applyFill="1" applyBorder="1"/>
    <xf numFmtId="173" fontId="57" fillId="24" borderId="48" xfId="0" applyNumberFormat="1" applyFont="1" applyFill="1" applyBorder="1" applyAlignment="1">
      <alignment horizontal="center"/>
    </xf>
    <xf numFmtId="1" fontId="57" fillId="24" borderId="48" xfId="0" applyNumberFormat="1" applyFont="1" applyFill="1" applyBorder="1" applyAlignment="1">
      <alignment horizontal="center"/>
    </xf>
    <xf numFmtId="174" fontId="57" fillId="24" borderId="48" xfId="0" applyNumberFormat="1" applyFont="1" applyFill="1" applyBorder="1" applyAlignment="1">
      <alignment horizontal="center"/>
    </xf>
    <xf numFmtId="176" fontId="57" fillId="24" borderId="48" xfId="0" applyNumberFormat="1" applyFont="1" applyFill="1" applyBorder="1" applyAlignment="1">
      <alignment horizontal="center"/>
    </xf>
    <xf numFmtId="9" fontId="57" fillId="24" borderId="48" xfId="0" applyNumberFormat="1" applyFont="1" applyFill="1" applyBorder="1" applyAlignment="1">
      <alignment horizontal="center"/>
    </xf>
    <xf numFmtId="9" fontId="57" fillId="24" borderId="49" xfId="0" applyNumberFormat="1" applyFont="1" applyFill="1" applyBorder="1" applyAlignment="1">
      <alignment horizontal="center"/>
    </xf>
    <xf numFmtId="9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/>
    <xf numFmtId="0" fontId="57" fillId="24" borderId="48" xfId="0" applyFont="1" applyFill="1" applyBorder="1"/>
    <xf numFmtId="0" fontId="57" fillId="24" borderId="48" xfId="0" applyFont="1" applyFill="1" applyBorder="1" applyAlignment="1">
      <alignment horizontal="center"/>
    </xf>
    <xf numFmtId="9" fontId="57" fillId="24" borderId="48" xfId="2" applyFont="1" applyFill="1" applyBorder="1" applyAlignment="1">
      <alignment horizontal="center" vertical="center"/>
    </xf>
    <xf numFmtId="0" fontId="57" fillId="24" borderId="0" xfId="0" applyFont="1" applyFill="1"/>
    <xf numFmtId="0" fontId="0" fillId="24" borderId="0" xfId="0" applyFill="1"/>
    <xf numFmtId="0" fontId="57" fillId="24" borderId="47" xfId="0" applyFont="1" applyFill="1" applyBorder="1" applyAlignment="1">
      <alignment horizontal="center"/>
    </xf>
    <xf numFmtId="0" fontId="57" fillId="24" borderId="50" xfId="0" applyFont="1" applyFill="1" applyBorder="1" applyAlignment="1">
      <alignment horizontal="center"/>
    </xf>
    <xf numFmtId="1" fontId="57" fillId="24" borderId="50" xfId="0" applyNumberFormat="1" applyFont="1" applyFill="1" applyBorder="1" applyAlignment="1">
      <alignment horizontal="center"/>
    </xf>
    <xf numFmtId="176" fontId="5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7" fillId="24" borderId="49" xfId="0" applyFont="1" applyFill="1" applyBorder="1"/>
    <xf numFmtId="0" fontId="57" fillId="24" borderId="49" xfId="0" applyFont="1" applyFill="1" applyBorder="1" applyAlignment="1">
      <alignment horizontal="center"/>
    </xf>
    <xf numFmtId="9" fontId="57" fillId="24" borderId="47" xfId="0" applyNumberFormat="1" applyFont="1" applyFill="1" applyBorder="1" applyAlignment="1">
      <alignment horizontal="center"/>
    </xf>
    <xf numFmtId="2" fontId="57" fillId="24" borderId="48" xfId="0" applyNumberFormat="1" applyFont="1" applyFill="1" applyBorder="1" applyAlignment="1">
      <alignment horizontal="center"/>
    </xf>
    <xf numFmtId="1" fontId="57" fillId="24" borderId="47" xfId="0" applyNumberFormat="1" applyFont="1" applyFill="1" applyBorder="1" applyAlignment="1">
      <alignment horizontal="center"/>
    </xf>
    <xf numFmtId="174" fontId="57" fillId="24" borderId="47" xfId="0" applyNumberFormat="1" applyFont="1" applyFill="1" applyBorder="1" applyAlignment="1">
      <alignment horizontal="center"/>
    </xf>
    <xf numFmtId="9" fontId="57" fillId="24" borderId="47" xfId="2" applyFont="1" applyFill="1" applyBorder="1" applyAlignment="1">
      <alignment horizontal="center" vertical="center"/>
    </xf>
    <xf numFmtId="1" fontId="57" fillId="24" borderId="12" xfId="0" applyNumberFormat="1" applyFont="1" applyFill="1" applyBorder="1" applyAlignment="1">
      <alignment horizontal="center"/>
    </xf>
    <xf numFmtId="174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 applyAlignment="1">
      <alignment horizontal="center"/>
    </xf>
    <xf numFmtId="9" fontId="5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" fillId="2" borderId="17" xfId="0" applyNumberFormat="1" applyFont="1" applyFill="1" applyBorder="1" applyAlignment="1">
      <alignment horizontal="center" vertical="center"/>
    </xf>
    <xf numFmtId="0" fontId="52" fillId="17" borderId="0" xfId="0" applyFont="1" applyFill="1" applyAlignment="1">
      <alignment horizontal="center" vertical="center"/>
    </xf>
    <xf numFmtId="14" fontId="10" fillId="22" borderId="20" xfId="0" applyNumberFormat="1" applyFont="1" applyFill="1" applyBorder="1" applyAlignment="1">
      <alignment horizontal="center" vertical="center"/>
    </xf>
    <xf numFmtId="14" fontId="5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2" fillId="3" borderId="30" xfId="0" applyFont="1" applyFill="1" applyBorder="1" applyAlignment="1">
      <alignment horizontal="center"/>
    </xf>
    <xf numFmtId="0" fontId="52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8" fillId="23" borderId="28" xfId="0" applyNumberFormat="1" applyFont="1" applyFill="1" applyBorder="1" applyAlignment="1">
      <alignment horizontal="left" vertical="center" wrapText="1"/>
    </xf>
    <xf numFmtId="0" fontId="52" fillId="23" borderId="21" xfId="0" applyFont="1" applyFill="1" applyBorder="1" applyAlignment="1">
      <alignment horizontal="center"/>
    </xf>
    <xf numFmtId="14" fontId="8" fillId="23" borderId="10" xfId="0" applyNumberFormat="1" applyFont="1" applyFill="1" applyBorder="1" applyAlignment="1">
      <alignment horizontal="center" vertical="center"/>
    </xf>
    <xf numFmtId="14" fontId="8" fillId="23" borderId="17" xfId="0" applyNumberFormat="1" applyFont="1" applyFill="1" applyBorder="1" applyAlignment="1">
      <alignment horizontal="left" vertical="center" wrapText="1"/>
    </xf>
    <xf numFmtId="14" fontId="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" fillId="17" borderId="28" xfId="0" applyNumberFormat="1" applyFont="1" applyFill="1" applyBorder="1" applyAlignment="1">
      <alignment horizontal="left" vertical="center" wrapText="1"/>
    </xf>
    <xf numFmtId="14" fontId="4" fillId="22" borderId="28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5" fillId="5" borderId="18" xfId="0" applyFont="1" applyFill="1" applyBorder="1"/>
    <xf numFmtId="0" fontId="55" fillId="5" borderId="67" xfId="0" applyFont="1" applyFill="1" applyBorder="1"/>
    <xf numFmtId="170" fontId="55" fillId="5" borderId="0" xfId="3" applyNumberFormat="1" applyFont="1" applyFill="1" applyBorder="1"/>
    <xf numFmtId="0" fontId="55" fillId="5" borderId="13" xfId="0" applyFont="1" applyFill="1" applyBorder="1"/>
    <xf numFmtId="0" fontId="55" fillId="5" borderId="51" xfId="0" applyFont="1" applyFill="1" applyBorder="1"/>
    <xf numFmtId="0" fontId="55" fillId="5" borderId="26" xfId="0" applyFont="1" applyFill="1" applyBorder="1"/>
    <xf numFmtId="181" fontId="0" fillId="2" borderId="0" xfId="0" applyNumberFormat="1" applyFill="1"/>
    <xf numFmtId="0" fontId="56" fillId="5" borderId="0" xfId="0" applyFont="1" applyFill="1"/>
    <xf numFmtId="169" fontId="55" fillId="5" borderId="0" xfId="3" applyNumberFormat="1" applyFont="1" applyFill="1" applyBorder="1"/>
    <xf numFmtId="10" fontId="56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4" fillId="2" borderId="0" xfId="0" applyFont="1" applyFill="1"/>
    <xf numFmtId="180" fontId="55" fillId="0" borderId="72" xfId="3" applyNumberFormat="1" applyFont="1" applyFill="1" applyBorder="1"/>
    <xf numFmtId="1" fontId="0" fillId="22" borderId="12" xfId="0" applyNumberFormat="1" applyFill="1" applyBorder="1"/>
    <xf numFmtId="0" fontId="52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2" fillId="3" borderId="71" xfId="0" applyFont="1" applyFill="1" applyBorder="1"/>
    <xf numFmtId="178" fontId="0" fillId="2" borderId="72" xfId="0" applyNumberFormat="1" applyFill="1" applyBorder="1"/>
    <xf numFmtId="0" fontId="55" fillId="23" borderId="18" xfId="0" applyFont="1" applyFill="1" applyBorder="1"/>
    <xf numFmtId="0" fontId="55" fillId="23" borderId="0" xfId="0" applyFont="1" applyFill="1"/>
    <xf numFmtId="171" fontId="55" fillId="23" borderId="0" xfId="0" applyNumberFormat="1" applyFont="1" applyFill="1"/>
    <xf numFmtId="0" fontId="55" fillId="23" borderId="67" xfId="0" applyFont="1" applyFill="1" applyBorder="1"/>
    <xf numFmtId="172" fontId="55" fillId="23" borderId="0" xfId="0" applyNumberFormat="1" applyFont="1" applyFill="1"/>
    <xf numFmtId="1" fontId="51" fillId="23" borderId="20" xfId="0" applyNumberFormat="1" applyFont="1" applyFill="1" applyBorder="1" applyAlignment="1">
      <alignment horizontal="center" vertical="center"/>
    </xf>
    <xf numFmtId="0" fontId="6" fillId="23" borderId="20" xfId="0" applyFont="1" applyFill="1" applyBorder="1" applyAlignment="1">
      <alignment horizontal="left" vertical="center"/>
    </xf>
    <xf numFmtId="14" fontId="51" fillId="23" borderId="74" xfId="0" applyNumberFormat="1" applyFont="1" applyFill="1" applyBorder="1" applyAlignment="1">
      <alignment horizontal="center" vertical="center"/>
    </xf>
    <xf numFmtId="20" fontId="51" fillId="23" borderId="74" xfId="0" applyNumberFormat="1" applyFont="1" applyFill="1" applyBorder="1" applyAlignment="1">
      <alignment horizontal="center" vertical="center"/>
    </xf>
    <xf numFmtId="1" fontId="51" fillId="23" borderId="74" xfId="0" applyNumberFormat="1" applyFont="1" applyFill="1" applyBorder="1" applyAlignment="1">
      <alignment horizontal="center" vertical="center"/>
    </xf>
    <xf numFmtId="0" fontId="10" fillId="23" borderId="74" xfId="0" applyFont="1" applyFill="1" applyBorder="1" applyAlignment="1">
      <alignment horizontal="left" vertical="center" wrapText="1"/>
    </xf>
    <xf numFmtId="14" fontId="51" fillId="23" borderId="76" xfId="0" applyNumberFormat="1" applyFont="1" applyFill="1" applyBorder="1" applyAlignment="1">
      <alignment horizontal="center" vertical="center"/>
    </xf>
    <xf numFmtId="0" fontId="36" fillId="23" borderId="76" xfId="0" applyFont="1" applyFill="1" applyBorder="1" applyAlignment="1">
      <alignment horizontal="center" vertical="center"/>
    </xf>
    <xf numFmtId="20" fontId="51" fillId="23" borderId="76" xfId="0" applyNumberFormat="1" applyFont="1" applyFill="1" applyBorder="1" applyAlignment="1">
      <alignment horizontal="center" vertical="center"/>
    </xf>
    <xf numFmtId="1" fontId="51" fillId="23" borderId="76" xfId="0" applyNumberFormat="1" applyFont="1" applyFill="1" applyBorder="1" applyAlignment="1">
      <alignment horizontal="center" vertical="center"/>
    </xf>
    <xf numFmtId="0" fontId="36" fillId="23" borderId="76" xfId="0" applyFont="1" applyFill="1" applyBorder="1" applyAlignment="1">
      <alignment horizontal="left" vertical="center"/>
    </xf>
    <xf numFmtId="14" fontId="51" fillId="22" borderId="28" xfId="0" applyNumberFormat="1" applyFont="1" applyFill="1" applyBorder="1" applyAlignment="1">
      <alignment horizontal="center" vertical="center"/>
    </xf>
    <xf numFmtId="20" fontId="51" fillId="22" borderId="28" xfId="0" applyNumberFormat="1" applyFont="1" applyFill="1" applyBorder="1" applyAlignment="1">
      <alignment horizontal="center" vertical="center"/>
    </xf>
    <xf numFmtId="1" fontId="51" fillId="22" borderId="28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/>
    </xf>
    <xf numFmtId="0" fontId="2" fillId="22" borderId="28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 wrapText="1"/>
    </xf>
    <xf numFmtId="14" fontId="12" fillId="2" borderId="12" xfId="0" applyNumberFormat="1" applyFont="1" applyFill="1" applyBorder="1" applyAlignment="1">
      <alignment horizontal="center" vertical="center"/>
    </xf>
    <xf numFmtId="14" fontId="8" fillId="2" borderId="12" xfId="0" applyNumberFormat="1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left" vertical="center" wrapText="1"/>
    </xf>
    <xf numFmtId="14" fontId="8" fillId="23" borderId="12" xfId="0" applyNumberFormat="1" applyFont="1" applyFill="1" applyBorder="1" applyAlignment="1">
      <alignment horizontal="left" vertical="center" wrapText="1"/>
    </xf>
    <xf numFmtId="14" fontId="4" fillId="23" borderId="12" xfId="0" applyNumberFormat="1" applyFont="1" applyFill="1" applyBorder="1" applyAlignment="1">
      <alignment horizontal="center" vertical="center"/>
    </xf>
    <xf numFmtId="14" fontId="4" fillId="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0" fontId="52" fillId="2" borderId="28" xfId="0" applyFont="1" applyFill="1" applyBorder="1" applyAlignment="1">
      <alignment horizontal="center"/>
    </xf>
    <xf numFmtId="0" fontId="0" fillId="3" borderId="78" xfId="0" applyFill="1" applyBorder="1" applyAlignment="1">
      <alignment horizontal="center" wrapText="1"/>
    </xf>
    <xf numFmtId="9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76" fontId="0" fillId="2" borderId="66" xfId="0" applyNumberFormat="1" applyFill="1" applyBorder="1" applyAlignment="1">
      <alignment horizontal="center" vertical="center"/>
    </xf>
    <xf numFmtId="176" fontId="0" fillId="2" borderId="32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/>
    </xf>
    <xf numFmtId="176" fontId="0" fillId="23" borderId="12" xfId="0" applyNumberFormat="1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9" fontId="0" fillId="17" borderId="12" xfId="0" applyNumberFormat="1" applyFill="1" applyBorder="1" applyAlignment="1">
      <alignment horizontal="center"/>
    </xf>
    <xf numFmtId="0" fontId="53" fillId="26" borderId="36" xfId="0" applyFont="1" applyFill="1" applyBorder="1" applyAlignment="1">
      <alignment horizontal="center" vertical="center" wrapText="1"/>
    </xf>
    <xf numFmtId="0" fontId="53" fillId="26" borderId="55" xfId="0" applyFont="1" applyFill="1" applyBorder="1" applyAlignment="1">
      <alignment horizontal="center" vertical="center" wrapText="1"/>
    </xf>
    <xf numFmtId="0" fontId="53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1" fillId="2" borderId="1" xfId="0" applyNumberFormat="1" applyFont="1" applyFill="1" applyBorder="1" applyAlignment="1">
      <alignment horizontal="center" vertical="center"/>
    </xf>
    <xf numFmtId="14" fontId="51" fillId="2" borderId="4" xfId="0" applyNumberFormat="1" applyFont="1" applyFill="1" applyBorder="1" applyAlignment="1">
      <alignment horizontal="center" vertical="center"/>
    </xf>
    <xf numFmtId="14" fontId="51" fillId="2" borderId="18" xfId="0" applyNumberFormat="1" applyFont="1" applyFill="1" applyBorder="1" applyAlignment="1">
      <alignment horizontal="center" vertical="center"/>
    </xf>
    <xf numFmtId="14" fontId="51" fillId="2" borderId="19" xfId="0" applyNumberFormat="1" applyFont="1" applyFill="1" applyBorder="1" applyAlignment="1">
      <alignment horizontal="center" vertical="center"/>
    </xf>
    <xf numFmtId="14" fontId="51" fillId="2" borderId="13" xfId="0" applyNumberFormat="1" applyFont="1" applyFill="1" applyBorder="1" applyAlignment="1">
      <alignment horizontal="center" vertical="center"/>
    </xf>
    <xf numFmtId="14" fontId="51" fillId="2" borderId="14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51" fillId="17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4" fontId="51" fillId="0" borderId="12" xfId="0" applyNumberFormat="1" applyFont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4" fontId="20" fillId="23" borderId="12" xfId="0" applyNumberFormat="1" applyFont="1" applyFill="1" applyBorder="1" applyAlignment="1">
      <alignment horizontal="center" vertical="center" wrapText="1"/>
    </xf>
    <xf numFmtId="14" fontId="51" fillId="23" borderId="12" xfId="0" applyNumberFormat="1" applyFont="1" applyFill="1" applyBorder="1" applyAlignment="1">
      <alignment horizontal="center" vertical="center" wrapText="1"/>
    </xf>
    <xf numFmtId="0" fontId="52" fillId="4" borderId="0" xfId="0" applyFont="1" applyFill="1" applyAlignment="1">
      <alignment horizontal="center"/>
    </xf>
    <xf numFmtId="0" fontId="52" fillId="3" borderId="30" xfId="0" applyFont="1" applyFill="1" applyBorder="1" applyAlignment="1">
      <alignment horizontal="center"/>
    </xf>
    <xf numFmtId="0" fontId="52" fillId="3" borderId="31" xfId="0" applyFont="1" applyFill="1" applyBorder="1" applyAlignment="1">
      <alignment horizontal="center"/>
    </xf>
    <xf numFmtId="0" fontId="59" fillId="3" borderId="40" xfId="0" applyFont="1" applyFill="1" applyBorder="1" applyAlignment="1">
      <alignment horizontal="center" vertical="center" wrapText="1"/>
    </xf>
    <xf numFmtId="0" fontId="58" fillId="3" borderId="44" xfId="0" applyFont="1" applyFill="1" applyBorder="1" applyAlignment="1">
      <alignment vertical="center"/>
    </xf>
    <xf numFmtId="1" fontId="59" fillId="3" borderId="41" xfId="0" applyNumberFormat="1" applyFont="1" applyFill="1" applyBorder="1" applyAlignment="1">
      <alignment horizontal="center" vertical="center" wrapText="1"/>
    </xf>
    <xf numFmtId="0" fontId="58" fillId="3" borderId="42" xfId="0" applyFont="1" applyFill="1" applyBorder="1" applyAlignment="1">
      <alignment vertical="center"/>
    </xf>
    <xf numFmtId="0" fontId="58" fillId="3" borderId="43" xfId="0" applyFont="1" applyFill="1" applyBorder="1" applyAlignment="1">
      <alignment vertical="center"/>
    </xf>
    <xf numFmtId="1" fontId="59" fillId="3" borderId="40" xfId="0" applyNumberFormat="1" applyFont="1" applyFill="1" applyBorder="1" applyAlignment="1">
      <alignment horizontal="center" vertical="center" wrapText="1"/>
    </xf>
    <xf numFmtId="0" fontId="59" fillId="3" borderId="41" xfId="0" applyFont="1" applyFill="1" applyBorder="1" applyAlignment="1">
      <alignment horizontal="center" vertical="center" wrapText="1"/>
    </xf>
    <xf numFmtId="0" fontId="58" fillId="3" borderId="46" xfId="0" applyFont="1" applyFill="1" applyBorder="1" applyAlignment="1">
      <alignment vertical="center"/>
    </xf>
    <xf numFmtId="1" fontId="59" fillId="3" borderId="44" xfId="0" applyNumberFormat="1" applyFont="1" applyFill="1" applyBorder="1" applyAlignment="1">
      <alignment horizontal="center" vertical="center" wrapText="1"/>
    </xf>
    <xf numFmtId="0" fontId="52" fillId="20" borderId="12" xfId="0" applyFont="1" applyFill="1" applyBorder="1" applyAlignment="1">
      <alignment horizontal="center"/>
    </xf>
    <xf numFmtId="0" fontId="64" fillId="15" borderId="51" xfId="0" applyFont="1" applyFill="1" applyBorder="1" applyAlignment="1">
      <alignment horizontal="center"/>
    </xf>
    <xf numFmtId="0" fontId="65" fillId="15" borderId="0" xfId="0" applyFont="1" applyFill="1" applyAlignment="1">
      <alignment horizontal="center"/>
    </xf>
    <xf numFmtId="0" fontId="69" fillId="3" borderId="42" xfId="0" applyFont="1" applyFill="1" applyBorder="1" applyAlignment="1">
      <alignment horizontal="center" vertical="center"/>
    </xf>
    <xf numFmtId="0" fontId="69" fillId="3" borderId="43" xfId="0" applyFont="1" applyFill="1" applyBorder="1" applyAlignment="1">
      <alignment horizontal="center" vertical="center"/>
    </xf>
    <xf numFmtId="0" fontId="59" fillId="3" borderId="42" xfId="0" applyFont="1" applyFill="1" applyBorder="1" applyAlignment="1">
      <alignment horizontal="center" vertical="center" wrapText="1"/>
    </xf>
    <xf numFmtId="0" fontId="59" fillId="3" borderId="43" xfId="0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0" fontId="52" fillId="19" borderId="57" xfId="0" applyFont="1" applyFill="1" applyBorder="1" applyAlignment="1">
      <alignment horizontal="center"/>
    </xf>
    <xf numFmtId="0" fontId="52" fillId="19" borderId="10" xfId="0" applyFont="1" applyFill="1" applyBorder="1" applyAlignment="1">
      <alignment horizontal="center"/>
    </xf>
    <xf numFmtId="177" fontId="52" fillId="19" borderId="10" xfId="0" applyNumberFormat="1" applyFont="1" applyFill="1" applyBorder="1" applyAlignment="1">
      <alignment horizontal="center"/>
    </xf>
    <xf numFmtId="0" fontId="52" fillId="19" borderId="23" xfId="0" applyFont="1" applyFill="1" applyBorder="1" applyAlignment="1">
      <alignment horizontal="center"/>
    </xf>
    <xf numFmtId="0" fontId="67" fillId="18" borderId="0" xfId="0" applyFont="1" applyFill="1" applyAlignment="1">
      <alignment horizontal="center"/>
    </xf>
    <xf numFmtId="0" fontId="52" fillId="3" borderId="7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2" fillId="3" borderId="29" xfId="0" applyFont="1" applyFill="1" applyBorder="1" applyAlignment="1">
      <alignment horizontal="center"/>
    </xf>
    <xf numFmtId="0" fontId="52" fillId="3" borderId="0" xfId="0" applyFont="1" applyFill="1" applyAlignment="1">
      <alignment horizontal="center"/>
    </xf>
    <xf numFmtId="0" fontId="72" fillId="2" borderId="20" xfId="0" applyFont="1" applyFill="1" applyBorder="1" applyAlignment="1">
      <alignment horizontal="left" wrapText="1"/>
    </xf>
    <xf numFmtId="0" fontId="72" fillId="2" borderId="28" xfId="0" applyFont="1" applyFill="1" applyBorder="1" applyAlignment="1">
      <alignment horizontal="left" wrapText="1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165" fontId="72" fillId="2" borderId="0" xfId="0" applyNumberFormat="1" applyFont="1" applyFill="1" applyAlignment="1">
      <alignment horizontal="center" vertical="center"/>
    </xf>
    <xf numFmtId="0" fontId="72" fillId="2" borderId="53" xfId="0" applyFont="1" applyFill="1" applyBorder="1" applyAlignment="1">
      <alignment horizontal="center" vertical="center"/>
    </xf>
    <xf numFmtId="165" fontId="72" fillId="2" borderId="6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14" fontId="67" fillId="4" borderId="18" xfId="0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4" xfId="0" applyFont="1" applyFill="1" applyBorder="1" applyAlignment="1">
      <alignment horizontal="center"/>
    </xf>
    <xf numFmtId="0" fontId="67" fillId="4" borderId="17" xfId="0" applyFont="1" applyFill="1" applyBorder="1" applyAlignment="1">
      <alignment horizontal="center"/>
    </xf>
    <xf numFmtId="165" fontId="72" fillId="2" borderId="5" xfId="0" applyNumberFormat="1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65" fontId="72" fillId="17" borderId="5" xfId="0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0" fontId="67" fillId="3" borderId="18" xfId="0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0" fontId="67" fillId="3" borderId="36" xfId="0" applyFont="1" applyFill="1" applyBorder="1" applyAlignment="1">
      <alignment horizontal="center"/>
    </xf>
    <xf numFmtId="0" fontId="67" fillId="3" borderId="55" xfId="0" applyFont="1" applyFill="1" applyBorder="1" applyAlignment="1">
      <alignment horizontal="center"/>
    </xf>
    <xf numFmtId="0" fontId="67" fillId="3" borderId="56" xfId="0" applyFont="1" applyFill="1" applyBorder="1" applyAlignment="1">
      <alignment horizontal="center"/>
    </xf>
    <xf numFmtId="0" fontId="52" fillId="18" borderId="0" xfId="0" applyFont="1" applyFill="1" applyAlignment="1">
      <alignment horizontal="center"/>
    </xf>
    <xf numFmtId="0" fontId="52" fillId="23" borderId="20" xfId="0" applyFont="1" applyFill="1" applyBorder="1" applyAlignment="1">
      <alignment horizontal="center" vertical="center"/>
    </xf>
    <xf numFmtId="0" fontId="52" fillId="23" borderId="21" xfId="0" applyFont="1" applyFill="1" applyBorder="1" applyAlignment="1">
      <alignment horizontal="center" vertical="center"/>
    </xf>
    <xf numFmtId="0" fontId="52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2" fillId="16" borderId="36" xfId="0" applyFont="1" applyFill="1" applyBorder="1" applyAlignment="1">
      <alignment horizontal="center"/>
    </xf>
    <xf numFmtId="0" fontId="62" fillId="16" borderId="55" xfId="0" applyFont="1" applyFill="1" applyBorder="1" applyAlignment="1">
      <alignment horizontal="center"/>
    </xf>
    <xf numFmtId="0" fontId="62" fillId="16" borderId="56" xfId="0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/>
    </xf>
    <xf numFmtId="0" fontId="52" fillId="4" borderId="2" xfId="0" applyFont="1" applyFill="1" applyBorder="1" applyAlignment="1">
      <alignment horizontal="center"/>
    </xf>
    <xf numFmtId="0" fontId="52" fillId="4" borderId="3" xfId="0" applyFont="1" applyFill="1" applyBorder="1" applyAlignment="1">
      <alignment horizontal="center"/>
    </xf>
    <xf numFmtId="0" fontId="52" fillId="4" borderId="18" xfId="0" applyFont="1" applyFill="1" applyBorder="1" applyAlignment="1">
      <alignment horizontal="center"/>
    </xf>
    <xf numFmtId="0" fontId="52" fillId="4" borderId="67" xfId="0" applyFont="1" applyFill="1" applyBorder="1" applyAlignment="1">
      <alignment horizontal="center"/>
    </xf>
    <xf numFmtId="0" fontId="67" fillId="4" borderId="0" xfId="0" applyFont="1" applyFill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14" fontId="51" fillId="2" borderId="33" xfId="0" applyNumberFormat="1" applyFont="1" applyFill="1" applyBorder="1" applyAlignment="1">
      <alignment horizontal="center" vertical="center"/>
    </xf>
    <xf numFmtId="0" fontId="62" fillId="20" borderId="7" xfId="0" applyFont="1" applyFill="1" applyBorder="1" applyAlignment="1">
      <alignment horizontal="center"/>
    </xf>
    <xf numFmtId="0" fontId="62" fillId="20" borderId="8" xfId="0" applyFont="1" applyFill="1" applyBorder="1" applyAlignment="1">
      <alignment horizontal="center"/>
    </xf>
    <xf numFmtId="0" fontId="52" fillId="2" borderId="0" xfId="0" applyFont="1" applyFill="1" applyAlignment="1">
      <alignment horizontal="center"/>
    </xf>
    <xf numFmtId="0" fontId="52" fillId="3" borderId="34" xfId="0" applyFont="1" applyFill="1" applyBorder="1" applyAlignment="1">
      <alignment horizontal="center"/>
    </xf>
    <xf numFmtId="0" fontId="51" fillId="3" borderId="36" xfId="0" applyFont="1" applyFill="1" applyBorder="1" applyAlignment="1">
      <alignment horizontal="center"/>
    </xf>
    <xf numFmtId="0" fontId="51" fillId="3" borderId="37" xfId="0" applyFont="1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0" fontId="52" fillId="23" borderId="34" xfId="0" applyFont="1" applyFill="1" applyBorder="1" applyAlignment="1">
      <alignment horizontal="center" vertical="center"/>
    </xf>
    <xf numFmtId="0" fontId="52" fillId="23" borderId="0" xfId="0" applyFont="1" applyFill="1" applyAlignment="1">
      <alignment horizontal="center" vertical="center"/>
    </xf>
    <xf numFmtId="0" fontId="52" fillId="23" borderId="77" xfId="0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center" vertical="center"/>
    </xf>
    <xf numFmtId="0" fontId="52" fillId="22" borderId="21" xfId="0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34" fillId="23" borderId="75" xfId="0" applyNumberFormat="1" applyFon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center"/>
    </xf>
    <xf numFmtId="14" fontId="34" fillId="2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34" fillId="22" borderId="28" xfId="0" applyNumberFormat="1" applyFont="1" applyFill="1" applyBorder="1" applyAlignment="1">
      <alignment horizontal="center" vertical="center"/>
    </xf>
    <xf numFmtId="14" fontId="51" fillId="22" borderId="28" xfId="0" applyNumberFormat="1" applyFont="1" applyFill="1" applyBorder="1" applyAlignment="1">
      <alignment horizontal="center" vertical="center"/>
    </xf>
    <xf numFmtId="0" fontId="52" fillId="22" borderId="33" xfId="0" applyFont="1" applyFill="1" applyBorder="1" applyAlignment="1">
      <alignment horizontal="center" vertical="center"/>
    </xf>
    <xf numFmtId="14" fontId="34" fillId="23" borderId="69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14" fontId="34" fillId="23" borderId="28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34" fillId="23" borderId="73" xfId="0" applyNumberFormat="1" applyFont="1" applyFill="1" applyBorder="1" applyAlignment="1">
      <alignment horizontal="center" vertical="center"/>
    </xf>
    <xf numFmtId="14" fontId="51" fillId="23" borderId="74" xfId="0" applyNumberFormat="1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52" fillId="18" borderId="30" xfId="0" applyFont="1" applyFill="1" applyBorder="1" applyAlignment="1">
      <alignment horizontal="center" vertical="center"/>
    </xf>
    <xf numFmtId="0" fontId="52" fillId="18" borderId="34" xfId="0" applyFont="1" applyFill="1" applyBorder="1" applyAlignment="1">
      <alignment horizontal="center" vertical="center"/>
    </xf>
    <xf numFmtId="0" fontId="52" fillId="18" borderId="31" xfId="0" applyFont="1" applyFill="1" applyBorder="1" applyAlignment="1">
      <alignment horizontal="center" vertical="center"/>
    </xf>
    <xf numFmtId="0" fontId="52" fillId="18" borderId="32" xfId="0" applyFont="1" applyFill="1" applyBorder="1" applyAlignment="1">
      <alignment horizontal="center" vertical="center"/>
    </xf>
    <xf numFmtId="0" fontId="52" fillId="18" borderId="53" xfId="0" applyFont="1" applyFill="1" applyBorder="1" applyAlignment="1">
      <alignment horizontal="center" vertical="center"/>
    </xf>
    <xf numFmtId="0" fontId="52" fillId="18" borderId="33" xfId="0" applyFont="1" applyFill="1" applyBorder="1" applyAlignment="1">
      <alignment horizontal="center" vertical="center"/>
    </xf>
    <xf numFmtId="0" fontId="52" fillId="18" borderId="20" xfId="0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7" xfId="0" applyFont="1" applyFill="1" applyBorder="1" applyAlignment="1">
      <alignment horizontal="center"/>
    </xf>
    <xf numFmtId="0" fontId="52" fillId="18" borderId="29" xfId="0" applyFont="1" applyFill="1" applyBorder="1" applyAlignment="1">
      <alignment horizontal="center"/>
    </xf>
    <xf numFmtId="0" fontId="52" fillId="18" borderId="8" xfId="0" applyFont="1" applyFill="1" applyBorder="1" applyAlignment="1">
      <alignment horizontal="center"/>
    </xf>
    <xf numFmtId="0" fontId="71" fillId="4" borderId="36" xfId="0" applyFont="1" applyFill="1" applyBorder="1" applyAlignment="1">
      <alignment horizontal="center"/>
    </xf>
    <xf numFmtId="0" fontId="71" fillId="4" borderId="55" xfId="0" applyFont="1" applyFill="1" applyBorder="1" applyAlignment="1">
      <alignment horizontal="center"/>
    </xf>
    <xf numFmtId="0" fontId="71" fillId="4" borderId="56" xfId="0" applyFont="1" applyFill="1" applyBorder="1" applyAlignment="1">
      <alignment horizontal="center"/>
    </xf>
    <xf numFmtId="0" fontId="52" fillId="18" borderId="21" xfId="0" applyFont="1" applyFill="1" applyBorder="1" applyAlignment="1">
      <alignment horizontal="center" vertical="center"/>
    </xf>
    <xf numFmtId="17" fontId="71" fillId="4" borderId="36" xfId="0" applyNumberFormat="1" applyFont="1" applyFill="1" applyBorder="1" applyAlignment="1">
      <alignment horizontal="center"/>
    </xf>
    <xf numFmtId="17" fontId="71" fillId="4" borderId="55" xfId="0" applyNumberFormat="1" applyFont="1" applyFill="1" applyBorder="1" applyAlignment="1">
      <alignment horizontal="center"/>
    </xf>
    <xf numFmtId="17" fontId="71" fillId="4" borderId="56" xfId="0" applyNumberFormat="1" applyFont="1" applyFill="1" applyBorder="1" applyAlignment="1">
      <alignment horizontal="center"/>
    </xf>
    <xf numFmtId="14" fontId="51" fillId="22" borderId="1" xfId="0" applyNumberFormat="1" applyFont="1" applyFill="1" applyBorder="1" applyAlignment="1">
      <alignment horizontal="center" vertical="center"/>
    </xf>
    <xf numFmtId="14" fontId="51" fillId="22" borderId="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1" fillId="23" borderId="18" xfId="0" applyNumberFormat="1" applyFont="1" applyFill="1" applyBorder="1" applyAlignment="1">
      <alignment horizontal="center" vertical="center"/>
    </xf>
    <xf numFmtId="14" fontId="5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1" fillId="22" borderId="13" xfId="0" applyNumberFormat="1" applyFont="1" applyFill="1" applyBorder="1" applyAlignment="1">
      <alignment horizontal="center" vertical="center"/>
    </xf>
    <xf numFmtId="14" fontId="51" fillId="22" borderId="14" xfId="0" applyNumberFormat="1" applyFont="1" applyFill="1" applyBorder="1" applyAlignment="1">
      <alignment horizontal="center" vertical="center"/>
    </xf>
    <xf numFmtId="14" fontId="51" fillId="23" borderId="36" xfId="0" applyNumberFormat="1" applyFont="1" applyFill="1" applyBorder="1" applyAlignment="1">
      <alignment horizontal="center" vertical="center"/>
    </xf>
    <xf numFmtId="14" fontId="51" fillId="23" borderId="37" xfId="0" applyNumberFormat="1" applyFont="1" applyFill="1" applyBorder="1" applyAlignment="1">
      <alignment horizontal="center" vertical="center"/>
    </xf>
    <xf numFmtId="14" fontId="51" fillId="0" borderId="30" xfId="0" applyNumberFormat="1" applyFont="1" applyBorder="1" applyAlignment="1">
      <alignment horizontal="center" vertical="center"/>
    </xf>
    <xf numFmtId="14" fontId="51" fillId="0" borderId="31" xfId="0" applyNumberFormat="1" applyFont="1" applyBorder="1" applyAlignment="1">
      <alignment horizontal="center" vertical="center"/>
    </xf>
    <xf numFmtId="14" fontId="51" fillId="23" borderId="1" xfId="0" applyNumberFormat="1" applyFont="1" applyFill="1" applyBorder="1" applyAlignment="1">
      <alignment horizontal="center" vertical="center"/>
    </xf>
    <xf numFmtId="14" fontId="51" fillId="23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13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20" fillId="23" borderId="5" xfId="0" applyNumberFormat="1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0" fontId="52" fillId="22" borderId="67" xfId="0" applyFont="1" applyFill="1" applyBorder="1" applyAlignment="1">
      <alignment horizontal="center" vertical="center"/>
    </xf>
    <xf numFmtId="0" fontId="52" fillId="23" borderId="67" xfId="0" applyFont="1" applyFill="1" applyBorder="1" applyAlignment="1">
      <alignment horizontal="center" vertical="center"/>
    </xf>
    <xf numFmtId="0" fontId="52" fillId="22" borderId="0" xfId="0" applyFont="1" applyFill="1" applyAlignment="1">
      <alignment horizontal="center" vertical="center"/>
    </xf>
    <xf numFmtId="14" fontId="51" fillId="2" borderId="32" xfId="0" applyNumberFormat="1" applyFont="1" applyFill="1" applyBorder="1" applyAlignment="1">
      <alignment horizontal="center" vertical="center"/>
    </xf>
    <xf numFmtId="0" fontId="66" fillId="4" borderId="1" xfId="0" applyFont="1" applyFill="1" applyBorder="1" applyAlignment="1">
      <alignment horizontal="center" vertical="center"/>
    </xf>
    <xf numFmtId="0" fontId="66" fillId="4" borderId="2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6" fillId="4" borderId="13" xfId="0" applyFont="1" applyFill="1" applyBorder="1" applyAlignment="1">
      <alignment horizontal="center" vertical="center"/>
    </xf>
    <xf numFmtId="0" fontId="66" fillId="4" borderId="51" xfId="0" applyFont="1" applyFill="1" applyBorder="1" applyAlignment="1">
      <alignment horizontal="center" vertical="center"/>
    </xf>
    <xf numFmtId="0" fontId="66" fillId="4" borderId="26" xfId="0" applyFont="1" applyFill="1" applyBorder="1" applyAlignment="1">
      <alignment horizontal="center" vertical="center"/>
    </xf>
    <xf numFmtId="20" fontId="59" fillId="11" borderId="7" xfId="0" applyNumberFormat="1" applyFont="1" applyFill="1" applyBorder="1" applyAlignment="1">
      <alignment horizontal="center" vertical="center"/>
    </xf>
    <xf numFmtId="20" fontId="59" fillId="11" borderId="29" xfId="0" applyNumberFormat="1" applyFont="1" applyFill="1" applyBorder="1" applyAlignment="1">
      <alignment horizontal="center" vertical="center"/>
    </xf>
    <xf numFmtId="20" fontId="59" fillId="11" borderId="8" xfId="0" applyNumberFormat="1" applyFont="1" applyFill="1" applyBorder="1" applyAlignment="1">
      <alignment horizontal="center" vertical="center"/>
    </xf>
    <xf numFmtId="20" fontId="61" fillId="10" borderId="7" xfId="0" applyNumberFormat="1" applyFont="1" applyFill="1" applyBorder="1" applyAlignment="1">
      <alignment horizontal="center"/>
    </xf>
    <xf numFmtId="20" fontId="61" fillId="10" borderId="29" xfId="0" applyNumberFormat="1" applyFont="1" applyFill="1" applyBorder="1" applyAlignment="1">
      <alignment horizontal="center"/>
    </xf>
    <xf numFmtId="20" fontId="61" fillId="10" borderId="8" xfId="0" applyNumberFormat="1" applyFont="1" applyFill="1" applyBorder="1" applyAlignment="1">
      <alignment horizontal="center"/>
    </xf>
    <xf numFmtId="0" fontId="59" fillId="11" borderId="29" xfId="0" applyFont="1" applyFill="1" applyBorder="1" applyAlignment="1">
      <alignment horizontal="center" vertical="center"/>
    </xf>
    <xf numFmtId="0" fontId="59" fillId="11" borderId="8" xfId="0" applyFont="1" applyFill="1" applyBorder="1" applyAlignment="1">
      <alignment horizontal="center" vertical="center"/>
    </xf>
    <xf numFmtId="0" fontId="59" fillId="11" borderId="7" xfId="0" applyFont="1" applyFill="1" applyBorder="1" applyAlignment="1">
      <alignment horizontal="center" vertical="center"/>
    </xf>
    <xf numFmtId="14" fontId="57" fillId="7" borderId="5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horizontal="center"/>
    </xf>
    <xf numFmtId="0" fontId="58" fillId="2" borderId="21" xfId="0" applyFont="1" applyFill="1" applyBorder="1" applyAlignment="1">
      <alignment horizontal="center"/>
    </xf>
    <xf numFmtId="0" fontId="58" fillId="2" borderId="28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center" vertical="center"/>
    </xf>
    <xf numFmtId="0" fontId="58" fillId="2" borderId="21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2" fillId="10" borderId="12" xfId="0" applyFont="1" applyFill="1" applyBorder="1" applyAlignment="1">
      <alignment horizontal="center" vertical="center"/>
    </xf>
    <xf numFmtId="14" fontId="57" fillId="7" borderId="20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14" fontId="57" fillId="7" borderId="57" xfId="0" applyNumberFormat="1" applyFont="1" applyFill="1" applyBorder="1" applyAlignment="1">
      <alignment horizontal="center" vertical="center"/>
    </xf>
    <xf numFmtId="14" fontId="57" fillId="7" borderId="60" xfId="0" applyNumberFormat="1" applyFont="1" applyFill="1" applyBorder="1" applyAlignment="1">
      <alignment horizontal="center" vertical="center"/>
    </xf>
    <xf numFmtId="14" fontId="57" fillId="7" borderId="24" xfId="0" applyNumberFormat="1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7" fillId="2" borderId="12" xfId="0" applyFont="1" applyFill="1" applyBorder="1" applyAlignment="1">
      <alignment horizontal="left" vertical="top" wrapText="1"/>
    </xf>
    <xf numFmtId="0" fontId="57" fillId="8" borderId="12" xfId="0" applyFon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0" fontId="57" fillId="8" borderId="21" xfId="0" applyFont="1" applyFill="1" applyBorder="1" applyAlignment="1">
      <alignment horizontal="center" vertical="center"/>
    </xf>
    <xf numFmtId="0" fontId="57" fillId="8" borderId="28" xfId="0" applyFont="1" applyFill="1" applyBorder="1" applyAlignment="1">
      <alignment horizontal="center" vertical="center"/>
    </xf>
    <xf numFmtId="0" fontId="57" fillId="2" borderId="59" xfId="0" applyFont="1" applyFill="1" applyBorder="1" applyAlignment="1">
      <alignment horizontal="center" vertical="top" wrapText="1"/>
    </xf>
    <xf numFmtId="0" fontId="57" fillId="2" borderId="61" xfId="0" applyFont="1" applyFill="1" applyBorder="1" applyAlignment="1">
      <alignment horizontal="center" vertical="top" wrapText="1"/>
    </xf>
    <xf numFmtId="0" fontId="57" fillId="2" borderId="62" xfId="0" applyFont="1" applyFill="1" applyBorder="1" applyAlignment="1">
      <alignment horizontal="center" vertical="top" wrapText="1"/>
    </xf>
    <xf numFmtId="0" fontId="57" fillId="2" borderId="63" xfId="0" applyFont="1" applyFill="1" applyBorder="1" applyAlignment="1">
      <alignment horizontal="center" vertical="top" wrapText="1"/>
    </xf>
    <xf numFmtId="0" fontId="57" fillId="2" borderId="64" xfId="0" applyFont="1" applyFill="1" applyBorder="1" applyAlignment="1">
      <alignment horizontal="center" vertical="top" wrapText="1"/>
    </xf>
    <xf numFmtId="0" fontId="5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0" fontId="1" fillId="23" borderId="20" xfId="0" applyFont="1" applyFill="1" applyBorder="1" applyAlignment="1">
      <alignment horizontal="center" vertical="center"/>
    </xf>
    <xf numFmtId="0" fontId="1" fillId="23" borderId="74" xfId="0" applyFont="1" applyFill="1" applyBorder="1" applyAlignment="1">
      <alignment horizontal="center" vertical="center"/>
    </xf>
    <xf numFmtId="0" fontId="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0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9" fontId="52" fillId="22" borderId="12" xfId="0" applyNumberFormat="1" applyFont="1" applyFill="1" applyBorder="1" applyAlignment="1">
      <alignment horizontal="center"/>
    </xf>
    <xf numFmtId="1" fontId="52" fillId="22" borderId="27" xfId="0" applyNumberFormat="1" applyFont="1" applyFill="1" applyBorder="1" applyAlignment="1">
      <alignment horizontal="center" vertical="center"/>
    </xf>
    <xf numFmtId="1" fontId="52" fillId="22" borderId="12" xfId="0" applyNumberFormat="1" applyFont="1" applyFill="1" applyBorder="1" applyAlignment="1">
      <alignment horizontal="center"/>
    </xf>
    <xf numFmtId="176" fontId="52" fillId="22" borderId="23" xfId="0" applyNumberFormat="1" applyFont="1" applyFill="1" applyBorder="1" applyAlignment="1">
      <alignment horizontal="center" vertical="center"/>
    </xf>
    <xf numFmtId="176" fontId="52" fillId="22" borderId="11" xfId="0" applyNumberFormat="1" applyFont="1" applyFill="1" applyBorder="1" applyAlignment="1">
      <alignment horizontal="center" vertical="center"/>
    </xf>
    <xf numFmtId="176" fontId="52" fillId="22" borderId="25" xfId="0" applyNumberFormat="1" applyFont="1" applyFill="1" applyBorder="1" applyAlignment="1">
      <alignment horizontal="center" vertical="center"/>
    </xf>
    <xf numFmtId="176" fontId="52" fillId="22" borderId="54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7" fontId="0" fillId="22" borderId="0" xfId="0" applyNumberFormat="1" applyFill="1"/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" fillId="23" borderId="10" xfId="0" applyNumberFormat="1" applyFont="1" applyFill="1" applyBorder="1" applyAlignment="1">
      <alignment horizontal="left" vertical="center" wrapText="1"/>
    </xf>
    <xf numFmtId="14" fontId="1" fillId="22" borderId="28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919" t="s">
        <v>125</v>
      </c>
      <c r="I1" s="919"/>
      <c r="J1" s="919"/>
      <c r="K1" s="919"/>
      <c r="L1" s="919"/>
      <c r="M1" s="919"/>
      <c r="N1" s="919"/>
      <c r="O1" s="919"/>
      <c r="P1" s="919"/>
      <c r="Q1" s="919"/>
      <c r="R1" s="919"/>
      <c r="S1" s="919"/>
      <c r="T1" s="919"/>
      <c r="U1" s="919"/>
      <c r="V1" s="919"/>
      <c r="W1" s="919"/>
      <c r="X1" s="919"/>
      <c r="Y1" s="919"/>
      <c r="Z1" s="919"/>
      <c r="AA1" s="919"/>
      <c r="AB1" s="919"/>
      <c r="AC1" s="919"/>
      <c r="AD1" s="919"/>
      <c r="AE1" s="919"/>
      <c r="AF1" s="919"/>
      <c r="AG1" s="919"/>
      <c r="AH1" s="919"/>
      <c r="AI1" s="919"/>
      <c r="AJ1" s="919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920" t="s">
        <v>126</v>
      </c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20"/>
      <c r="V2" s="920"/>
      <c r="W2" s="920"/>
      <c r="X2" s="920"/>
      <c r="Y2" s="920"/>
      <c r="Z2" s="920"/>
      <c r="AA2" s="920"/>
      <c r="AB2" s="920"/>
      <c r="AC2" s="920"/>
      <c r="AD2" s="920"/>
      <c r="AE2" s="920"/>
      <c r="AF2" s="920"/>
      <c r="AG2" s="920"/>
      <c r="AH2" s="920"/>
      <c r="AI2" s="920"/>
      <c r="AJ2" s="920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909" t="s">
        <v>73</v>
      </c>
      <c r="C5" s="911" t="s">
        <v>74</v>
      </c>
      <c r="D5" s="912"/>
      <c r="E5" s="912"/>
      <c r="F5" s="912"/>
      <c r="G5" s="912"/>
      <c r="H5" s="913"/>
      <c r="I5" s="914" t="s">
        <v>440</v>
      </c>
      <c r="J5" s="914" t="s">
        <v>323</v>
      </c>
      <c r="K5" s="915" t="s">
        <v>75</v>
      </c>
      <c r="L5" s="912"/>
      <c r="M5" s="912"/>
      <c r="N5" s="909" t="s">
        <v>76</v>
      </c>
      <c r="O5" s="921" t="s">
        <v>178</v>
      </c>
      <c r="P5" s="921"/>
      <c r="Q5" s="921"/>
      <c r="R5" s="921"/>
      <c r="S5" s="921"/>
      <c r="T5" s="921"/>
      <c r="U5" s="921"/>
      <c r="V5" s="921"/>
      <c r="W5" s="921"/>
      <c r="X5" s="921"/>
      <c r="Y5" s="922"/>
      <c r="Z5" s="915" t="s">
        <v>77</v>
      </c>
      <c r="AA5" s="923"/>
      <c r="AB5" s="923"/>
      <c r="AC5" s="923"/>
      <c r="AD5" s="923"/>
      <c r="AE5" s="923"/>
      <c r="AF5" s="923"/>
      <c r="AG5" s="924"/>
      <c r="AH5" s="915" t="s">
        <v>78</v>
      </c>
      <c r="AI5" s="913"/>
      <c r="AJ5" s="915" t="s">
        <v>79</v>
      </c>
      <c r="AK5" s="912"/>
      <c r="AL5" s="912"/>
      <c r="AM5" s="912"/>
      <c r="AN5" s="912"/>
      <c r="AO5" s="913"/>
      <c r="AP5" s="915" t="s">
        <v>80</v>
      </c>
      <c r="AQ5" s="913"/>
      <c r="AR5" s="76"/>
      <c r="AS5" s="86" t="s">
        <v>81</v>
      </c>
    </row>
    <row r="6" spans="1:45" ht="29.4" thickBot="1" x14ac:dyDescent="0.35">
      <c r="A6" s="85"/>
      <c r="B6" s="910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910"/>
      <c r="J6" s="917"/>
      <c r="K6" s="87" t="s">
        <v>87</v>
      </c>
      <c r="L6" s="87" t="s">
        <v>88</v>
      </c>
      <c r="M6" s="87" t="s">
        <v>127</v>
      </c>
      <c r="N6" s="916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319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13" customFormat="1" ht="14.4" x14ac:dyDescent="0.3">
      <c r="A7" s="700"/>
      <c r="B7" s="701">
        <v>46174</v>
      </c>
      <c r="C7" s="702">
        <f>Crushing!N6</f>
        <v>0</v>
      </c>
      <c r="D7" s="702">
        <f>C7</f>
        <v>0</v>
      </c>
      <c r="E7" s="702" t="e">
        <f>C7/I7</f>
        <v>#DIV/0!</v>
      </c>
      <c r="F7" s="710"/>
      <c r="G7" s="703">
        <f>C7*F7</f>
        <v>0</v>
      </c>
      <c r="H7" s="704">
        <f>G7/1000</f>
        <v>0</v>
      </c>
      <c r="I7" s="702"/>
      <c r="J7" s="702">
        <v>0</v>
      </c>
      <c r="K7" s="705"/>
      <c r="L7" s="705">
        <f>J7/24</f>
        <v>0</v>
      </c>
      <c r="M7" s="705">
        <v>1</v>
      </c>
      <c r="N7" s="705">
        <f>IF(L7=100%,I7/24*100%,L7)</f>
        <v>0</v>
      </c>
      <c r="O7" s="714"/>
      <c r="P7" s="714"/>
      <c r="Q7" s="710"/>
      <c r="R7" s="710"/>
      <c r="S7" s="710"/>
      <c r="T7" s="710">
        <f>(O7*R7)-(S7*O7)</f>
        <v>0</v>
      </c>
      <c r="U7" s="711" t="e">
        <f>((R7-S7)/R7)</f>
        <v>#DIV/0!</v>
      </c>
      <c r="V7" s="709"/>
      <c r="W7" s="709"/>
      <c r="X7" s="709"/>
      <c r="Y7" s="709"/>
      <c r="Z7" s="710">
        <f>'Reagent Consumption'!O7</f>
        <v>0</v>
      </c>
      <c r="AA7" s="702">
        <f>'Fuel Consumption'!F4</f>
        <v>0</v>
      </c>
      <c r="AB7" s="710">
        <f>'Reagent Consumption'!Q7</f>
        <v>0</v>
      </c>
      <c r="AC7" s="710">
        <f>'Reagent Consumption'!P7</f>
        <v>0</v>
      </c>
      <c r="AD7" s="710">
        <f>'Reagent Consumption'!R7</f>
        <v>0</v>
      </c>
      <c r="AE7" s="710">
        <f>'Reagent Consumption'!S7</f>
        <v>0</v>
      </c>
      <c r="AF7" s="710">
        <f>'Reagent Consumption'!T7</f>
        <v>0</v>
      </c>
      <c r="AG7" s="710">
        <f>'Fuel Consumption'!F4</f>
        <v>0</v>
      </c>
      <c r="AH7" s="710"/>
      <c r="AI7" s="710"/>
      <c r="AJ7" s="710"/>
      <c r="AK7" s="710"/>
      <c r="AL7" s="710"/>
      <c r="AM7" s="710"/>
      <c r="AN7" s="710"/>
      <c r="AO7" s="710"/>
      <c r="AP7" s="710"/>
      <c r="AQ7" s="709"/>
      <c r="AR7" s="712"/>
      <c r="AS7" s="712" t="s">
        <v>111</v>
      </c>
    </row>
    <row r="8" spans="1:45" s="713" customFormat="1" ht="14.4" x14ac:dyDescent="0.3">
      <c r="A8" s="700"/>
      <c r="B8" s="701">
        <v>46175</v>
      </c>
      <c r="C8" s="702">
        <f>Crushing!N8</f>
        <v>78.043500000000009</v>
      </c>
      <c r="D8" s="702">
        <f t="shared" ref="D8:D13" si="0">D7+C8</f>
        <v>78.043500000000009</v>
      </c>
      <c r="E8" s="702">
        <f t="shared" ref="E8:E11" si="1">C8/I8</f>
        <v>7.0734290030211486</v>
      </c>
      <c r="F8" s="710">
        <v>1.45</v>
      </c>
      <c r="G8" s="702">
        <f>C8*F8</f>
        <v>113.16307500000001</v>
      </c>
      <c r="H8" s="704">
        <f>G8/1000</f>
        <v>0.113163075</v>
      </c>
      <c r="I8" s="702">
        <f>'Crushing Down Time Hours'!L7</f>
        <v>11.033333333333333</v>
      </c>
      <c r="J8" s="702">
        <v>0</v>
      </c>
      <c r="K8" s="705"/>
      <c r="L8" s="705">
        <f t="shared" ref="L8:L45" si="2">J8/24</f>
        <v>0</v>
      </c>
      <c r="M8" s="705">
        <v>1</v>
      </c>
      <c r="N8" s="705">
        <f>IF(L8=100%,I8/24*100%,L8)</f>
        <v>0</v>
      </c>
      <c r="O8" s="708"/>
      <c r="P8" s="708"/>
      <c r="Q8" s="709"/>
      <c r="R8" s="709"/>
      <c r="S8" s="709"/>
      <c r="T8" s="710">
        <f t="shared" ref="T8:T37" si="3">(P8*R8)-(S8*P8)</f>
        <v>0</v>
      </c>
      <c r="U8" s="711" t="e">
        <f t="shared" ref="U8:U37" si="4">((R8-S8)/R8)</f>
        <v>#DIV/0!</v>
      </c>
      <c r="V8" s="709"/>
      <c r="W8" s="709"/>
      <c r="X8" s="709"/>
      <c r="Y8" s="709"/>
      <c r="Z8" s="710">
        <f>'Reagent Consumption'!O8</f>
        <v>0</v>
      </c>
      <c r="AA8" s="702">
        <f>'Fuel Consumption'!F5</f>
        <v>0</v>
      </c>
      <c r="AB8" s="710">
        <f>'Reagent Consumption'!Q8</f>
        <v>0</v>
      </c>
      <c r="AC8" s="710">
        <f>'Reagent Consumption'!P8</f>
        <v>0</v>
      </c>
      <c r="AD8" s="710">
        <f>'Reagent Consumption'!R8</f>
        <v>0</v>
      </c>
      <c r="AE8" s="710">
        <f>'Reagent Consumption'!S8</f>
        <v>0</v>
      </c>
      <c r="AF8" s="710">
        <f>'Reagent Consumption'!T8</f>
        <v>0</v>
      </c>
      <c r="AG8" s="710">
        <f>'Fuel Consumption'!F5</f>
        <v>0</v>
      </c>
      <c r="AH8" s="710"/>
      <c r="AI8" s="710"/>
      <c r="AJ8" s="710"/>
      <c r="AK8" s="710"/>
      <c r="AL8" s="710"/>
      <c r="AM8" s="710"/>
      <c r="AN8" s="710"/>
      <c r="AO8" s="710"/>
      <c r="AP8" s="710"/>
      <c r="AQ8" s="709"/>
      <c r="AR8" s="712"/>
      <c r="AS8" s="712" t="s">
        <v>112</v>
      </c>
    </row>
    <row r="9" spans="1:45" s="713" customFormat="1" ht="14.4" x14ac:dyDescent="0.3">
      <c r="A9" s="700"/>
      <c r="B9" s="701">
        <v>46176</v>
      </c>
      <c r="C9" s="702">
        <f>Crushing!N10</f>
        <v>17.712000000000003</v>
      </c>
      <c r="D9" s="702">
        <f t="shared" si="0"/>
        <v>95.755500000000012</v>
      </c>
      <c r="E9" s="702">
        <f t="shared" si="1"/>
        <v>1.6053172205438069</v>
      </c>
      <c r="F9" s="715">
        <v>1.45</v>
      </c>
      <c r="G9" s="716">
        <f t="shared" ref="G9:G16" si="5">F9*C9</f>
        <v>25.682400000000005</v>
      </c>
      <c r="H9" s="717">
        <f t="shared" ref="H9:H17" si="6">G9/1000</f>
        <v>2.5682400000000005E-2</v>
      </c>
      <c r="I9" s="702">
        <f>'Crushing Down Time Hours'!L8</f>
        <v>11.033333333333333</v>
      </c>
      <c r="J9" s="702">
        <v>0</v>
      </c>
      <c r="K9" s="705"/>
      <c r="L9" s="705">
        <f t="shared" si="2"/>
        <v>0</v>
      </c>
      <c r="M9" s="705">
        <v>1</v>
      </c>
      <c r="N9" s="705">
        <f>IF(L9=100%,(I9/24),L9)</f>
        <v>0</v>
      </c>
      <c r="O9" s="708"/>
      <c r="P9" s="708"/>
      <c r="Q9" s="709"/>
      <c r="R9" s="709"/>
      <c r="S9" s="709"/>
      <c r="T9" s="710">
        <f t="shared" si="3"/>
        <v>0</v>
      </c>
      <c r="U9" s="711" t="e">
        <f>((R9-S9)/R9)</f>
        <v>#DIV/0!</v>
      </c>
      <c r="V9" s="709"/>
      <c r="W9" s="709"/>
      <c r="X9" s="709"/>
      <c r="Y9" s="709"/>
      <c r="Z9" s="710">
        <f>'Reagent Consumption'!O9</f>
        <v>0</v>
      </c>
      <c r="AA9" s="702">
        <f>'Fuel Consumption'!F6</f>
        <v>0</v>
      </c>
      <c r="AB9" s="710">
        <f>'Reagent Consumption'!Q9</f>
        <v>0</v>
      </c>
      <c r="AC9" s="710">
        <f>'Reagent Consumption'!P9</f>
        <v>0</v>
      </c>
      <c r="AD9" s="710">
        <f>'Reagent Consumption'!R9</f>
        <v>0</v>
      </c>
      <c r="AE9" s="710">
        <f>'Reagent Consumption'!S9</f>
        <v>0</v>
      </c>
      <c r="AF9" s="710">
        <f>'Reagent Consumption'!T9</f>
        <v>0</v>
      </c>
      <c r="AG9" s="710">
        <f>'Fuel Consumption'!F6</f>
        <v>0</v>
      </c>
      <c r="AH9" s="710"/>
      <c r="AI9" s="710"/>
      <c r="AJ9" s="710"/>
      <c r="AK9" s="710"/>
      <c r="AL9" s="710"/>
      <c r="AM9" s="710"/>
      <c r="AN9" s="710"/>
      <c r="AO9" s="710"/>
      <c r="AP9" s="710"/>
      <c r="AQ9" s="709"/>
      <c r="AR9" s="712"/>
      <c r="AS9" s="712" t="s">
        <v>113</v>
      </c>
    </row>
    <row r="10" spans="1:45" s="713" customFormat="1" ht="14.4" x14ac:dyDescent="0.3">
      <c r="A10" s="700"/>
      <c r="B10" s="701">
        <v>46177</v>
      </c>
      <c r="C10" s="702">
        <f>Crushing!N12</f>
        <v>157.9905</v>
      </c>
      <c r="D10" s="702">
        <f t="shared" si="0"/>
        <v>253.74600000000001</v>
      </c>
      <c r="E10" s="702">
        <f t="shared" si="1"/>
        <v>16.74810954063604</v>
      </c>
      <c r="F10" s="710">
        <v>1.45</v>
      </c>
      <c r="G10" s="716">
        <f t="shared" si="5"/>
        <v>229.08622499999998</v>
      </c>
      <c r="H10" s="717">
        <f t="shared" si="6"/>
        <v>0.22908622499999998</v>
      </c>
      <c r="I10" s="702">
        <f>'Crushing Down Time Hours'!L9</f>
        <v>9.4333333333333353</v>
      </c>
      <c r="J10" s="702">
        <v>0</v>
      </c>
      <c r="K10" s="705"/>
      <c r="L10" s="705">
        <f t="shared" si="2"/>
        <v>0</v>
      </c>
      <c r="M10" s="705">
        <v>1</v>
      </c>
      <c r="N10" s="705">
        <f t="shared" ref="N10:N45" si="7">IF(L10=100%,I10/24*100%,L10)</f>
        <v>0</v>
      </c>
      <c r="O10" s="718"/>
      <c r="P10" s="708"/>
      <c r="Q10" s="709"/>
      <c r="R10" s="700"/>
      <c r="S10" s="709"/>
      <c r="T10" s="710">
        <f t="shared" si="3"/>
        <v>0</v>
      </c>
      <c r="U10" s="711" t="e">
        <f>((R10-S10)/R10)</f>
        <v>#DIV/0!</v>
      </c>
      <c r="V10" s="709"/>
      <c r="W10" s="709"/>
      <c r="X10" s="709"/>
      <c r="Y10" s="709"/>
      <c r="Z10" s="710">
        <f>'Reagent Consumption'!O10</f>
        <v>150</v>
      </c>
      <c r="AA10" s="702">
        <f>'Fuel Consumption'!F7</f>
        <v>0</v>
      </c>
      <c r="AB10" s="710">
        <f>'Reagent Consumption'!Q10</f>
        <v>0</v>
      </c>
      <c r="AC10" s="710">
        <f>'Reagent Consumption'!P10</f>
        <v>250</v>
      </c>
      <c r="AD10" s="710">
        <f>'Reagent Consumption'!R10</f>
        <v>0</v>
      </c>
      <c r="AE10" s="710">
        <f>'Reagent Consumption'!S10</f>
        <v>0</v>
      </c>
      <c r="AF10" s="710">
        <f>'Reagent Consumption'!T10</f>
        <v>0</v>
      </c>
      <c r="AG10" s="710">
        <f>'Fuel Consumption'!F7</f>
        <v>0</v>
      </c>
      <c r="AH10" s="710"/>
      <c r="AI10" s="710"/>
      <c r="AJ10" s="710"/>
      <c r="AK10" s="710"/>
      <c r="AL10" s="710"/>
      <c r="AM10" s="710"/>
      <c r="AN10" s="710"/>
      <c r="AO10" s="710"/>
      <c r="AP10" s="710"/>
      <c r="AQ10" s="709"/>
      <c r="AR10" s="712"/>
      <c r="AS10" s="712" t="s">
        <v>114</v>
      </c>
    </row>
    <row r="11" spans="1:45" s="713" customFormat="1" ht="14.4" x14ac:dyDescent="0.3">
      <c r="A11" s="700"/>
      <c r="B11" s="701">
        <v>46252</v>
      </c>
      <c r="C11" s="702">
        <f>Crushing!N14</f>
        <v>37.919199999999996</v>
      </c>
      <c r="D11" s="702">
        <f t="shared" si="0"/>
        <v>291.66520000000003</v>
      </c>
      <c r="E11" s="702">
        <f t="shared" si="1"/>
        <v>18.648786885245901</v>
      </c>
      <c r="F11" s="710">
        <v>0.77</v>
      </c>
      <c r="G11" s="716">
        <f t="shared" si="5"/>
        <v>29.197783999999999</v>
      </c>
      <c r="H11" s="717">
        <f t="shared" si="6"/>
        <v>2.9197783999999997E-2</v>
      </c>
      <c r="I11" s="702">
        <f>'Crushing Down Time Hours'!L6</f>
        <v>2.0333333333333332</v>
      </c>
      <c r="J11" s="702">
        <v>0</v>
      </c>
      <c r="K11" s="705">
        <f>'Crushing Down Time Hours'!M6</f>
        <v>0.16944444444444443</v>
      </c>
      <c r="L11" s="705">
        <f t="shared" si="2"/>
        <v>0</v>
      </c>
      <c r="M11" s="705">
        <v>1</v>
      </c>
      <c r="N11" s="705">
        <f t="shared" si="7"/>
        <v>0</v>
      </c>
      <c r="O11" s="709"/>
      <c r="P11" s="709"/>
      <c r="Q11" s="719"/>
      <c r="R11" s="718"/>
      <c r="S11" s="709"/>
      <c r="T11" s="710">
        <f t="shared" si="3"/>
        <v>0</v>
      </c>
      <c r="U11" s="711" t="e">
        <f>((Q12-S11)/Q12)</f>
        <v>#DIV/0!</v>
      </c>
      <c r="V11" s="709"/>
      <c r="W11" s="709"/>
      <c r="X11" s="709"/>
      <c r="Y11" s="709"/>
      <c r="Z11" s="710">
        <f>'Reagent Consumption'!O11</f>
        <v>225</v>
      </c>
      <c r="AA11" s="702">
        <f>'Fuel Consumption'!F8</f>
        <v>0</v>
      </c>
      <c r="AB11" s="710">
        <f>'Reagent Consumption'!Q11</f>
        <v>1000</v>
      </c>
      <c r="AC11" s="710">
        <f>'Reagent Consumption'!P11</f>
        <v>1250</v>
      </c>
      <c r="AD11" s="710">
        <f>'Reagent Consumption'!R11</f>
        <v>0</v>
      </c>
      <c r="AE11" s="710">
        <f>'Reagent Consumption'!S11</f>
        <v>0</v>
      </c>
      <c r="AF11" s="710">
        <f>'Reagent Consumption'!T11</f>
        <v>25</v>
      </c>
      <c r="AG11" s="710">
        <f>'Fuel Consumption'!F8</f>
        <v>0</v>
      </c>
      <c r="AH11" s="710"/>
      <c r="AI11" s="710"/>
      <c r="AJ11" s="710"/>
      <c r="AK11" s="710"/>
      <c r="AL11" s="710"/>
      <c r="AM11" s="710"/>
      <c r="AN11" s="710"/>
      <c r="AO11" s="710"/>
      <c r="AP11" s="710"/>
      <c r="AQ11" s="709"/>
      <c r="AR11" s="712"/>
      <c r="AS11" s="712" t="s">
        <v>115</v>
      </c>
    </row>
    <row r="12" spans="1:45" s="713" customFormat="1" ht="14.4" x14ac:dyDescent="0.3">
      <c r="A12" s="700"/>
      <c r="B12" s="701">
        <v>46253</v>
      </c>
      <c r="C12" s="702">
        <f>Crushing!N16</f>
        <v>283.17079999999999</v>
      </c>
      <c r="D12" s="702">
        <f t="shared" si="0"/>
        <v>574.83600000000001</v>
      </c>
      <c r="E12" s="702">
        <f>C12/I12</f>
        <v>25.665027190332324</v>
      </c>
      <c r="F12" s="720">
        <v>1.0209999999999999</v>
      </c>
      <c r="G12" s="716">
        <f>F12*C12</f>
        <v>289.11738679999996</v>
      </c>
      <c r="H12" s="717">
        <f t="shared" si="6"/>
        <v>0.28911738679999999</v>
      </c>
      <c r="I12" s="702">
        <f>'Crushing Down Time Hours'!L7</f>
        <v>11.033333333333333</v>
      </c>
      <c r="J12" s="702">
        <v>0</v>
      </c>
      <c r="K12" s="705">
        <f>'Crushing Down Time Hours'!M7</f>
        <v>0.9194444444444444</v>
      </c>
      <c r="L12" s="705">
        <f t="shared" si="2"/>
        <v>0</v>
      </c>
      <c r="M12" s="705">
        <v>1</v>
      </c>
      <c r="N12" s="705">
        <f t="shared" si="7"/>
        <v>0</v>
      </c>
      <c r="O12" s="709"/>
      <c r="P12" s="709"/>
      <c r="Q12" s="719"/>
      <c r="R12" s="718"/>
      <c r="S12" s="709"/>
      <c r="T12" s="710">
        <f t="shared" si="3"/>
        <v>0</v>
      </c>
      <c r="U12" s="711" t="e">
        <f>((Q13-S12)/Q13)</f>
        <v>#DIV/0!</v>
      </c>
      <c r="V12" s="709"/>
      <c r="W12" s="709"/>
      <c r="X12" s="709"/>
      <c r="Y12" s="709"/>
      <c r="Z12" s="710">
        <f>'Reagent Consumption'!O13</f>
        <v>275</v>
      </c>
      <c r="AA12" s="702">
        <f>'Fuel Consumption'!F9</f>
        <v>0</v>
      </c>
      <c r="AB12" s="710">
        <f>'Reagent Consumption'!Q13</f>
        <v>1000</v>
      </c>
      <c r="AC12" s="710">
        <f>'Reagent Consumption'!P13</f>
        <v>500</v>
      </c>
      <c r="AD12" s="710">
        <f>'Reagent Consumption'!R13</f>
        <v>0</v>
      </c>
      <c r="AE12" s="710">
        <f>'Reagent Consumption'!S13</f>
        <v>0</v>
      </c>
      <c r="AF12" s="710">
        <f>'Reagent Consumption'!T13</f>
        <v>25</v>
      </c>
      <c r="AG12" s="710">
        <f>'Fuel Consumption'!F9</f>
        <v>0</v>
      </c>
      <c r="AH12" s="710"/>
      <c r="AI12" s="710"/>
      <c r="AJ12" s="710"/>
      <c r="AK12" s="710"/>
      <c r="AL12" s="710"/>
      <c r="AM12" s="710"/>
      <c r="AN12" s="710"/>
      <c r="AO12" s="710"/>
      <c r="AP12" s="710"/>
      <c r="AQ12" s="709"/>
      <c r="AR12" s="712"/>
      <c r="AS12" s="712" t="s">
        <v>116</v>
      </c>
    </row>
    <row r="13" spans="1:45" s="713" customFormat="1" ht="14.4" x14ac:dyDescent="0.3">
      <c r="A13" s="700"/>
      <c r="B13" s="701">
        <v>46254</v>
      </c>
      <c r="C13" s="702">
        <f>Crushing!N18</f>
        <v>337.14449999999999</v>
      </c>
      <c r="D13" s="702">
        <f t="shared" si="0"/>
        <v>911.98050000000001</v>
      </c>
      <c r="E13" s="703">
        <f t="shared" ref="E13:E36" si="8">C13/I13</f>
        <v>33.658352745424288</v>
      </c>
      <c r="F13" s="710">
        <v>0.60399999999999998</v>
      </c>
      <c r="G13" s="702">
        <f>F13*C13</f>
        <v>203.635278</v>
      </c>
      <c r="H13" s="704">
        <f t="shared" si="6"/>
        <v>0.203635278</v>
      </c>
      <c r="I13" s="702">
        <f>'Crushing Down Time Hours'!L12</f>
        <v>10.016666666666667</v>
      </c>
      <c r="J13" s="702">
        <v>0</v>
      </c>
      <c r="K13" s="705">
        <f>'Crushing Down Time Hours'!M8</f>
        <v>0.9194444444444444</v>
      </c>
      <c r="L13" s="705">
        <f t="shared" si="2"/>
        <v>0</v>
      </c>
      <c r="M13" s="705">
        <v>1</v>
      </c>
      <c r="N13" s="705">
        <f t="shared" si="7"/>
        <v>0</v>
      </c>
      <c r="O13" s="709"/>
      <c r="P13" s="709"/>
      <c r="Q13" s="719"/>
      <c r="R13" s="718"/>
      <c r="S13" s="709"/>
      <c r="T13" s="710">
        <f t="shared" si="3"/>
        <v>0</v>
      </c>
      <c r="U13" s="711" t="e">
        <f>((Q14-S13)/Q14)</f>
        <v>#DIV/0!</v>
      </c>
      <c r="V13" s="709" t="s">
        <v>117</v>
      </c>
      <c r="W13" s="709"/>
      <c r="X13" s="709"/>
      <c r="Y13" s="709"/>
      <c r="Z13" s="710">
        <f>'Reagent Consumption'!O15</f>
        <v>100</v>
      </c>
      <c r="AA13" s="702">
        <f>'Fuel Consumption'!F10</f>
        <v>0</v>
      </c>
      <c r="AB13" s="710">
        <f>'Reagent Consumption'!Q15</f>
        <v>0</v>
      </c>
      <c r="AC13" s="710">
        <f>'Reagent Consumption'!P15</f>
        <v>250</v>
      </c>
      <c r="AD13" s="710">
        <f>'Reagent Consumption'!R15</f>
        <v>0</v>
      </c>
      <c r="AE13" s="710">
        <f>'Reagent Consumption'!S15</f>
        <v>0</v>
      </c>
      <c r="AF13" s="710">
        <f>'Reagent Consumption'!T15</f>
        <v>0</v>
      </c>
      <c r="AG13" s="710">
        <f>'Fuel Consumption'!F10</f>
        <v>0</v>
      </c>
      <c r="AH13" s="710"/>
      <c r="AI13" s="710"/>
      <c r="AJ13" s="710"/>
      <c r="AK13" s="710"/>
      <c r="AL13" s="710"/>
      <c r="AM13" s="710"/>
      <c r="AN13" s="710"/>
      <c r="AO13" s="710"/>
      <c r="AP13" s="710"/>
      <c r="AQ13" s="709"/>
      <c r="AR13" s="712"/>
      <c r="AS13" s="712" t="s">
        <v>118</v>
      </c>
    </row>
    <row r="14" spans="1:45" s="713" customFormat="1" ht="14.4" x14ac:dyDescent="0.3">
      <c r="A14" s="700"/>
      <c r="B14" s="701">
        <v>46255</v>
      </c>
      <c r="C14" s="702">
        <f>Crushing!N20</f>
        <v>290.85750000000002</v>
      </c>
      <c r="D14" s="702">
        <f>D13+C14</f>
        <v>1202.838</v>
      </c>
      <c r="E14" s="703">
        <f t="shared" si="8"/>
        <v>30.83295053003533</v>
      </c>
      <c r="F14" s="710">
        <v>0.442</v>
      </c>
      <c r="G14" s="702">
        <f>F14*C14</f>
        <v>128.55901500000002</v>
      </c>
      <c r="H14" s="704">
        <f t="shared" si="6"/>
        <v>0.12855901500000003</v>
      </c>
      <c r="I14" s="702">
        <f>'Crushing Down Time Hours'!L9</f>
        <v>9.4333333333333353</v>
      </c>
      <c r="J14" s="702">
        <v>0</v>
      </c>
      <c r="K14" s="705">
        <f>'Crushing Down Time Hours'!M9</f>
        <v>0.78611111111111132</v>
      </c>
      <c r="L14" s="705">
        <f t="shared" si="2"/>
        <v>0</v>
      </c>
      <c r="M14" s="705">
        <v>1</v>
      </c>
      <c r="N14" s="705">
        <f t="shared" si="7"/>
        <v>0</v>
      </c>
      <c r="O14" s="709"/>
      <c r="P14" s="709"/>
      <c r="Q14" s="719"/>
      <c r="R14" s="708"/>
      <c r="S14" s="709"/>
      <c r="T14" s="710">
        <f t="shared" si="3"/>
        <v>0</v>
      </c>
      <c r="U14" s="711" t="e">
        <f t="shared" si="4"/>
        <v>#DIV/0!</v>
      </c>
      <c r="V14" s="709"/>
      <c r="W14" s="709"/>
      <c r="X14" s="709"/>
      <c r="Y14" s="709"/>
      <c r="Z14" s="710">
        <f>'Reagent Consumption'!O16</f>
        <v>0</v>
      </c>
      <c r="AA14" s="702">
        <f>'Fuel Consumption'!F11</f>
        <v>0</v>
      </c>
      <c r="AB14" s="710">
        <f>'Reagent Consumption'!Q16</f>
        <v>0</v>
      </c>
      <c r="AC14" s="710">
        <f>'Reagent Consumption'!P16</f>
        <v>0</v>
      </c>
      <c r="AD14" s="710">
        <f>'Reagent Consumption'!R16</f>
        <v>0</v>
      </c>
      <c r="AE14" s="710">
        <f>'Reagent Consumption'!S16</f>
        <v>0</v>
      </c>
      <c r="AF14" s="710">
        <f>'Reagent Consumption'!T16</f>
        <v>25</v>
      </c>
      <c r="AG14" s="710">
        <f>'Fuel Consumption'!F11</f>
        <v>0</v>
      </c>
      <c r="AH14" s="710"/>
      <c r="AI14" s="710"/>
      <c r="AJ14" s="710"/>
      <c r="AK14" s="710"/>
      <c r="AL14" s="710"/>
      <c r="AM14" s="710"/>
      <c r="AN14" s="710"/>
      <c r="AO14" s="710"/>
      <c r="AP14" s="710"/>
      <c r="AQ14" s="709"/>
      <c r="AR14" s="712"/>
      <c r="AS14" s="712" t="s">
        <v>119</v>
      </c>
    </row>
    <row r="15" spans="1:45" s="713" customFormat="1" ht="14.4" x14ac:dyDescent="0.3">
      <c r="A15" s="700"/>
      <c r="B15" s="701">
        <v>46256</v>
      </c>
      <c r="C15" s="702">
        <f>Crushing!N22</f>
        <v>197.0325</v>
      </c>
      <c r="D15" s="702">
        <f t="shared" ref="D15:D36" si="9">D14+C15</f>
        <v>1399.8705</v>
      </c>
      <c r="E15" s="703">
        <f t="shared" si="8"/>
        <v>21.852033271719037</v>
      </c>
      <c r="F15" s="704">
        <f>AVERAGE('Rom File Inventory'!T93:T101)</f>
        <v>0.62933333333333319</v>
      </c>
      <c r="G15" s="702">
        <f t="shared" si="5"/>
        <v>123.99911999999998</v>
      </c>
      <c r="H15" s="704">
        <f t="shared" si="6"/>
        <v>0.12399911999999998</v>
      </c>
      <c r="I15" s="702">
        <f>'Crushing Down Time Hours'!L10</f>
        <v>9.0166666666666675</v>
      </c>
      <c r="J15" s="702">
        <v>0</v>
      </c>
      <c r="K15" s="705">
        <f>'Crushing Down Time Hours'!M10</f>
        <v>0.75138888888888899</v>
      </c>
      <c r="L15" s="705">
        <f t="shared" si="2"/>
        <v>0</v>
      </c>
      <c r="M15" s="705">
        <v>1</v>
      </c>
      <c r="N15" s="721">
        <f t="shared" si="7"/>
        <v>0</v>
      </c>
      <c r="O15" s="700"/>
      <c r="P15" s="700"/>
      <c r="Q15" s="709"/>
      <c r="R15" s="709"/>
      <c r="S15" s="709"/>
      <c r="T15" s="710">
        <f t="shared" si="3"/>
        <v>0</v>
      </c>
      <c r="U15" s="711" t="e">
        <f t="shared" si="4"/>
        <v>#DIV/0!</v>
      </c>
      <c r="V15" s="709"/>
      <c r="W15" s="709"/>
      <c r="X15" s="709"/>
      <c r="Y15" s="709"/>
      <c r="Z15" s="710">
        <f>'Reagent Consumption'!O17</f>
        <v>100</v>
      </c>
      <c r="AA15" s="702">
        <f>'Fuel Consumption'!F12</f>
        <v>0</v>
      </c>
      <c r="AB15" s="710">
        <f>'Reagent Consumption'!Q17</f>
        <v>0</v>
      </c>
      <c r="AC15" s="710">
        <f>'Reagent Consumption'!P17</f>
        <v>0</v>
      </c>
      <c r="AD15" s="710">
        <f>'Reagent Consumption'!R17</f>
        <v>0</v>
      </c>
      <c r="AE15" s="710">
        <f>'Reagent Consumption'!S17</f>
        <v>0</v>
      </c>
      <c r="AF15" s="710">
        <f>'Reagent Consumption'!T17</f>
        <v>0</v>
      </c>
      <c r="AG15" s="710">
        <f>'Fuel Consumption'!F12</f>
        <v>0</v>
      </c>
      <c r="AH15" s="710"/>
      <c r="AI15" s="710"/>
      <c r="AJ15" s="710"/>
      <c r="AK15" s="710"/>
      <c r="AL15" s="710"/>
      <c r="AM15" s="710"/>
      <c r="AN15" s="710"/>
      <c r="AO15" s="710"/>
      <c r="AP15" s="710"/>
      <c r="AQ15" s="709"/>
      <c r="AR15" s="712"/>
      <c r="AS15" s="712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13" customFormat="1" ht="14.4" x14ac:dyDescent="0.3">
      <c r="A17" s="700"/>
      <c r="B17" s="701">
        <v>46258</v>
      </c>
      <c r="C17" s="702">
        <f>Crushing!N26</f>
        <v>163.881</v>
      </c>
      <c r="D17" s="702">
        <f>D16+C17</f>
        <v>1563.7515000000001</v>
      </c>
      <c r="E17" s="703">
        <f>C17/I17</f>
        <v>16.360831946755408</v>
      </c>
      <c r="F17" s="722">
        <f>AVERAGE('Rom File Inventory'!T102:T110)</f>
        <v>1.0302222222222222</v>
      </c>
      <c r="G17" s="702">
        <f>F17*C17</f>
        <v>168.83384799999999</v>
      </c>
      <c r="H17" s="704">
        <f t="shared" si="6"/>
        <v>0.16883384799999998</v>
      </c>
      <c r="I17" s="702">
        <f>'Crushing Down Time Hours'!L12</f>
        <v>10.016666666666667</v>
      </c>
      <c r="J17" s="702">
        <v>0</v>
      </c>
      <c r="K17" s="705">
        <f>'Crushing Down Time Hours'!M12</f>
        <v>0.83472222222222225</v>
      </c>
      <c r="L17" s="705">
        <f t="shared" si="2"/>
        <v>0</v>
      </c>
      <c r="M17" s="706">
        <v>1</v>
      </c>
      <c r="N17" s="707">
        <f t="shared" si="7"/>
        <v>0</v>
      </c>
      <c r="O17" s="708"/>
      <c r="P17" s="708"/>
      <c r="Q17" s="709"/>
      <c r="R17" s="709"/>
      <c r="S17" s="709"/>
      <c r="T17" s="710">
        <f t="shared" si="3"/>
        <v>0</v>
      </c>
      <c r="U17" s="711" t="e">
        <f t="shared" si="4"/>
        <v>#DIV/0!</v>
      </c>
      <c r="V17" s="709"/>
      <c r="W17" s="709"/>
      <c r="X17" s="709"/>
      <c r="Y17" s="709"/>
      <c r="Z17" s="710">
        <f>'Reagent Consumption'!O19</f>
        <v>300</v>
      </c>
      <c r="AA17" s="702">
        <f>'Fuel Consumption'!F14</f>
        <v>0</v>
      </c>
      <c r="AB17" s="710">
        <f>'Reagent Consumption'!Q19</f>
        <v>0</v>
      </c>
      <c r="AC17" s="710">
        <f>'Reagent Consumption'!P19</f>
        <v>750</v>
      </c>
      <c r="AD17" s="710">
        <f>'Reagent Consumption'!R19</f>
        <v>0</v>
      </c>
      <c r="AE17" s="710">
        <f>'Reagent Consumption'!S19</f>
        <v>0</v>
      </c>
      <c r="AF17" s="710">
        <f>'Reagent Consumption'!T19</f>
        <v>0</v>
      </c>
      <c r="AG17" s="710">
        <f>'Fuel Consumption'!F14</f>
        <v>0</v>
      </c>
      <c r="AH17" s="710"/>
      <c r="AI17" s="710"/>
      <c r="AJ17" s="710"/>
      <c r="AK17" s="710"/>
      <c r="AL17" s="710"/>
      <c r="AM17" s="710"/>
      <c r="AN17" s="710"/>
      <c r="AO17" s="710"/>
      <c r="AP17" s="710"/>
      <c r="AQ17" s="709"/>
      <c r="AR17" s="712"/>
      <c r="AS17" s="712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13" customFormat="1" ht="14.4" x14ac:dyDescent="0.3">
      <c r="A20" s="700"/>
      <c r="B20" s="701">
        <v>46261</v>
      </c>
      <c r="C20" s="702">
        <f>Crushing!N32</f>
        <v>124.94709999999999</v>
      </c>
      <c r="D20" s="702">
        <f t="shared" si="9"/>
        <v>1688.6986000000002</v>
      </c>
      <c r="E20" s="703">
        <f t="shared" si="8"/>
        <v>23.724132911392402</v>
      </c>
      <c r="F20" s="704">
        <f>AVERAGE('Rom File Inventory'!T111:T117)</f>
        <v>0.751142857142857</v>
      </c>
      <c r="G20" s="702">
        <f t="shared" si="10"/>
        <v>93.853121685714257</v>
      </c>
      <c r="H20" s="704">
        <f t="shared" si="11"/>
        <v>9.3853121685714261E-2</v>
      </c>
      <c r="I20" s="702">
        <f>'Crushing Down Time Hours'!L15</f>
        <v>5.2666666666666666</v>
      </c>
      <c r="J20" s="702">
        <v>0</v>
      </c>
      <c r="K20" s="705">
        <f>'Crushing Down Time Hours'!M15</f>
        <v>0.43888888888888888</v>
      </c>
      <c r="L20" s="705">
        <f t="shared" si="2"/>
        <v>0</v>
      </c>
      <c r="M20" s="706">
        <f>'Milling Down Time Hours'!N6</f>
        <v>0.95416666666666661</v>
      </c>
      <c r="N20" s="707">
        <f t="shared" si="7"/>
        <v>0</v>
      </c>
      <c r="O20" s="708"/>
      <c r="P20" s="718"/>
      <c r="Q20" s="709"/>
      <c r="R20" s="709"/>
      <c r="S20" s="709"/>
      <c r="T20" s="710">
        <f t="shared" si="3"/>
        <v>0</v>
      </c>
      <c r="U20" s="711" t="e">
        <f t="shared" si="4"/>
        <v>#DIV/0!</v>
      </c>
      <c r="V20" s="709"/>
      <c r="W20" s="709"/>
      <c r="X20" s="709"/>
      <c r="Y20" s="709"/>
      <c r="Z20" s="710">
        <f>'Reagent Consumption'!O24</f>
        <v>300</v>
      </c>
      <c r="AA20" s="702">
        <f>'Fuel Consumption'!F17</f>
        <v>0</v>
      </c>
      <c r="AB20" s="710">
        <f>'Reagent Consumption'!Q24</f>
        <v>500</v>
      </c>
      <c r="AC20" s="710">
        <f>'Reagent Consumption'!P24</f>
        <v>0</v>
      </c>
      <c r="AD20" s="710">
        <f>'Reagent Consumption'!R24</f>
        <v>0</v>
      </c>
      <c r="AE20" s="710">
        <f>'Reagent Consumption'!S24</f>
        <v>0</v>
      </c>
      <c r="AF20" s="710">
        <f>'Reagent Consumption'!T24</f>
        <v>0</v>
      </c>
      <c r="AG20" s="710">
        <f>'Fuel Consumption'!F17</f>
        <v>0</v>
      </c>
      <c r="AH20" s="710"/>
      <c r="AI20" s="710"/>
      <c r="AJ20" s="710"/>
      <c r="AK20" s="710"/>
      <c r="AL20" s="710"/>
      <c r="AM20" s="710"/>
      <c r="AN20" s="710"/>
      <c r="AO20" s="710"/>
      <c r="AP20" s="710"/>
      <c r="AQ20" s="709"/>
      <c r="AR20" s="712"/>
      <c r="AS20" s="712"/>
    </row>
    <row r="21" spans="1:45" s="713" customFormat="1" ht="14.4" x14ac:dyDescent="0.3">
      <c r="A21" s="700"/>
      <c r="B21" s="701">
        <v>46262</v>
      </c>
      <c r="C21" s="702">
        <f>Crushing!N34</f>
        <v>167.76500000000001</v>
      </c>
      <c r="D21" s="702">
        <f t="shared" si="9"/>
        <v>1856.4636000000003</v>
      </c>
      <c r="E21" s="703">
        <f>C21/I21</f>
        <v>20.927027027027027</v>
      </c>
      <c r="F21" s="704">
        <f>AVERAGE('Rom File Inventory'!T118:T126)</f>
        <v>0.6641111111111111</v>
      </c>
      <c r="G21" s="702">
        <f t="shared" si="10"/>
        <v>111.41460055555557</v>
      </c>
      <c r="H21" s="704">
        <f t="shared" si="11"/>
        <v>0.11141460055555556</v>
      </c>
      <c r="I21" s="702">
        <f>'Crushing Down Time Hours'!L16</f>
        <v>8.0166666666666675</v>
      </c>
      <c r="J21" s="702">
        <v>0</v>
      </c>
      <c r="K21" s="705">
        <f>'Crushing Down Time Hours'!M16</f>
        <v>0.66805555555555562</v>
      </c>
      <c r="L21" s="705">
        <f t="shared" si="2"/>
        <v>0</v>
      </c>
      <c r="M21" s="706">
        <f>'Milling Down Time Hours'!N7</f>
        <v>0.91666666666666663</v>
      </c>
      <c r="N21" s="707">
        <f t="shared" si="7"/>
        <v>0</v>
      </c>
      <c r="O21" s="708"/>
      <c r="P21" s="708"/>
      <c r="Q21" s="709"/>
      <c r="R21" s="709"/>
      <c r="S21" s="709"/>
      <c r="T21" s="710">
        <f t="shared" si="3"/>
        <v>0</v>
      </c>
      <c r="U21" s="711" t="e">
        <f t="shared" si="4"/>
        <v>#DIV/0!</v>
      </c>
      <c r="V21" s="709"/>
      <c r="W21" s="709"/>
      <c r="X21" s="709"/>
      <c r="Y21" s="709"/>
      <c r="Z21" s="710">
        <f>'Reagent Consumption'!O26</f>
        <v>200</v>
      </c>
      <c r="AA21" s="702">
        <f>'Fuel Consumption'!F18</f>
        <v>0</v>
      </c>
      <c r="AB21" s="710">
        <f>'Reagent Consumption'!Q26</f>
        <v>500</v>
      </c>
      <c r="AC21" s="710">
        <f>'Reagent Consumption'!P26</f>
        <v>0</v>
      </c>
      <c r="AD21" s="710">
        <f>'Reagent Consumption'!R26</f>
        <v>0</v>
      </c>
      <c r="AE21" s="710">
        <f>'Reagent Consumption'!S26</f>
        <v>0</v>
      </c>
      <c r="AF21" s="710">
        <f>'Reagent Consumption'!T26</f>
        <v>50</v>
      </c>
      <c r="AG21" s="710">
        <f>'Fuel Consumption'!F18</f>
        <v>0</v>
      </c>
      <c r="AH21" s="710"/>
      <c r="AI21" s="710"/>
      <c r="AJ21" s="710"/>
      <c r="AK21" s="710"/>
      <c r="AL21" s="710"/>
      <c r="AM21" s="710"/>
      <c r="AN21" s="710"/>
      <c r="AO21" s="710"/>
      <c r="AP21" s="710"/>
      <c r="AQ21" s="709"/>
      <c r="AR21" s="712"/>
      <c r="AS21" s="712"/>
    </row>
    <row r="22" spans="1:45" s="713" customFormat="1" ht="14.4" x14ac:dyDescent="0.3">
      <c r="A22" s="700"/>
      <c r="B22" s="701">
        <v>46263</v>
      </c>
      <c r="C22" s="702">
        <f>Crushing!N36</f>
        <v>240.43500000000003</v>
      </c>
      <c r="D22" s="702">
        <f t="shared" si="9"/>
        <v>2096.8986000000004</v>
      </c>
      <c r="E22" s="703">
        <f t="shared" si="8"/>
        <v>24.003494176372712</v>
      </c>
      <c r="F22" s="710">
        <f>AVERAGE('Rom File Inventory'!T127:T137)</f>
        <v>0.872</v>
      </c>
      <c r="G22" s="702">
        <f t="shared" si="10"/>
        <v>209.65932000000004</v>
      </c>
      <c r="H22" s="704">
        <f t="shared" si="11"/>
        <v>0.20965932000000004</v>
      </c>
      <c r="I22" s="702">
        <f>'Crushing Down Time Hours'!L17</f>
        <v>10.016666666666667</v>
      </c>
      <c r="J22" s="702">
        <v>0</v>
      </c>
      <c r="K22" s="705">
        <f>'Crushing Down Time Hours'!M17</f>
        <v>0.83472222222222225</v>
      </c>
      <c r="L22" s="705">
        <f t="shared" si="2"/>
        <v>0</v>
      </c>
      <c r="M22" s="706">
        <f>'Milling Down Time Hours'!N8</f>
        <v>0.45902777777777781</v>
      </c>
      <c r="N22" s="707">
        <f t="shared" si="7"/>
        <v>0</v>
      </c>
      <c r="O22" s="708"/>
      <c r="P22" s="708"/>
      <c r="Q22" s="709"/>
      <c r="R22" s="709"/>
      <c r="S22" s="709"/>
      <c r="T22" s="710">
        <f t="shared" si="3"/>
        <v>0</v>
      </c>
      <c r="U22" s="711" t="e">
        <f t="shared" si="4"/>
        <v>#DIV/0!</v>
      </c>
      <c r="V22" s="709"/>
      <c r="W22" s="709"/>
      <c r="X22" s="709"/>
      <c r="Y22" s="709"/>
      <c r="Z22" s="710">
        <f>'Reagent Consumption'!O27</f>
        <v>100</v>
      </c>
      <c r="AA22" s="702">
        <f>'Fuel Consumption'!F19</f>
        <v>0</v>
      </c>
      <c r="AB22" s="710">
        <f>'Reagent Consumption'!Q27</f>
        <v>0</v>
      </c>
      <c r="AC22" s="710">
        <f>'Reagent Consumption'!P27</f>
        <v>0</v>
      </c>
      <c r="AD22" s="710">
        <f>'Reagent Consumption'!R27</f>
        <v>0</v>
      </c>
      <c r="AE22" s="710">
        <f>'Reagent Consumption'!S27</f>
        <v>0</v>
      </c>
      <c r="AF22" s="710">
        <f>'Reagent Consumption'!T27</f>
        <v>0</v>
      </c>
      <c r="AG22" s="710">
        <f>'Fuel Consumption'!F19</f>
        <v>0</v>
      </c>
      <c r="AH22" s="710"/>
      <c r="AI22" s="710"/>
      <c r="AJ22" s="710"/>
      <c r="AK22" s="710"/>
      <c r="AL22" s="710"/>
      <c r="AM22" s="710"/>
      <c r="AN22" s="710"/>
      <c r="AO22" s="710"/>
      <c r="AP22" s="710"/>
      <c r="AQ22" s="709"/>
      <c r="AR22" s="712"/>
      <c r="AS22" s="712"/>
    </row>
    <row r="23" spans="1:45" s="713" customFormat="1" ht="14.4" x14ac:dyDescent="0.3">
      <c r="A23" s="700"/>
      <c r="B23" s="701">
        <v>46264</v>
      </c>
      <c r="C23" s="702">
        <f>Crushing!N38</f>
        <v>53.820000000000007</v>
      </c>
      <c r="D23" s="702">
        <f t="shared" si="9"/>
        <v>2150.7186000000006</v>
      </c>
      <c r="E23" s="703">
        <f t="shared" si="8"/>
        <v>26.4688524590164</v>
      </c>
      <c r="F23" s="710">
        <f>AVERAGE('Rom File Inventory'!T138:T141)</f>
        <v>0.98899999999999999</v>
      </c>
      <c r="G23" s="702">
        <f t="shared" si="10"/>
        <v>53.227980000000009</v>
      </c>
      <c r="H23" s="704">
        <f t="shared" si="11"/>
        <v>5.3227980000000008E-2</v>
      </c>
      <c r="I23" s="702">
        <f>'Crushing Down Time Hours'!L18</f>
        <v>2.0333333333333332</v>
      </c>
      <c r="J23" s="702">
        <v>0</v>
      </c>
      <c r="K23" s="705">
        <f>'Crushing Down Time Hours'!M18</f>
        <v>0.16944444444444443</v>
      </c>
      <c r="L23" s="705">
        <f t="shared" si="2"/>
        <v>0</v>
      </c>
      <c r="M23" s="706">
        <f>'Milling Down Time Hours'!N9</f>
        <v>1.3888888888888889E-3</v>
      </c>
      <c r="N23" s="705">
        <f t="shared" si="7"/>
        <v>0</v>
      </c>
      <c r="O23" s="709"/>
      <c r="P23" s="709"/>
      <c r="Q23" s="709"/>
      <c r="R23" s="709"/>
      <c r="S23" s="709"/>
      <c r="T23" s="710">
        <f t="shared" si="3"/>
        <v>0</v>
      </c>
      <c r="U23" s="711" t="e">
        <f t="shared" si="4"/>
        <v>#DIV/0!</v>
      </c>
      <c r="V23" s="709"/>
      <c r="W23" s="709"/>
      <c r="X23" s="709"/>
      <c r="Y23" s="709"/>
      <c r="Z23" s="710">
        <f>'Reagent Consumption'!O28</f>
        <v>225</v>
      </c>
      <c r="AA23" s="702">
        <f>'Fuel Consumption'!F20</f>
        <v>0</v>
      </c>
      <c r="AB23" s="710">
        <f>'Reagent Consumption'!Q28</f>
        <v>0</v>
      </c>
      <c r="AC23" s="710">
        <f>'Reagent Consumption'!P28</f>
        <v>0</v>
      </c>
      <c r="AD23" s="710">
        <f>'Reagent Consumption'!R28</f>
        <v>0</v>
      </c>
      <c r="AE23" s="710">
        <f>'Reagent Consumption'!S28</f>
        <v>0</v>
      </c>
      <c r="AF23" s="710">
        <f>'Reagent Consumption'!T28</f>
        <v>0</v>
      </c>
      <c r="AG23" s="710">
        <f>'Fuel Consumption'!F20</f>
        <v>0</v>
      </c>
      <c r="AH23" s="710"/>
      <c r="AI23" s="710"/>
      <c r="AJ23" s="710"/>
      <c r="AK23" s="710"/>
      <c r="AL23" s="710"/>
      <c r="AM23" s="710"/>
      <c r="AN23" s="710"/>
      <c r="AO23" s="710"/>
      <c r="AP23" s="710"/>
      <c r="AQ23" s="709"/>
      <c r="AR23" s="712"/>
      <c r="AS23" s="712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13" customFormat="1" ht="14.4" x14ac:dyDescent="0.3">
      <c r="A34" s="700"/>
      <c r="B34" s="701">
        <v>46275</v>
      </c>
      <c r="C34" s="702">
        <f>Crushing!N60</f>
        <v>72.657000000000011</v>
      </c>
      <c r="D34" s="702">
        <f t="shared" si="9"/>
        <v>2223.3756000000008</v>
      </c>
      <c r="E34" s="703" t="e">
        <f t="shared" si="8"/>
        <v>#DIV/0!</v>
      </c>
      <c r="F34" s="709"/>
      <c r="G34" s="702">
        <f t="shared" si="10"/>
        <v>0</v>
      </c>
      <c r="H34" s="704">
        <f t="shared" si="11"/>
        <v>0</v>
      </c>
      <c r="I34" s="702">
        <f>'Crushing Down Time Hours'!L29</f>
        <v>0</v>
      </c>
      <c r="J34" s="702">
        <f>'Milling Down Time Hours'!M15</f>
        <v>19.783333333333335</v>
      </c>
      <c r="K34" s="705">
        <f>'Crushing Down Time Hours'!M34</f>
        <v>0</v>
      </c>
      <c r="L34" s="705">
        <f t="shared" si="2"/>
        <v>0.82430555555555562</v>
      </c>
      <c r="M34" s="705">
        <v>1</v>
      </c>
      <c r="N34" s="705">
        <f t="shared" si="7"/>
        <v>0.82430555555555562</v>
      </c>
      <c r="O34" s="709"/>
      <c r="P34" s="709"/>
      <c r="Q34" s="709"/>
      <c r="R34" s="709"/>
      <c r="S34" s="709"/>
      <c r="T34" s="710">
        <f t="shared" si="3"/>
        <v>0</v>
      </c>
      <c r="U34" s="711" t="e">
        <f t="shared" si="4"/>
        <v>#DIV/0!</v>
      </c>
      <c r="V34" s="709"/>
      <c r="W34" s="709"/>
      <c r="X34" s="709"/>
      <c r="Y34" s="709"/>
      <c r="Z34" s="710">
        <f>'Reagent Consumption'!O39</f>
        <v>0</v>
      </c>
      <c r="AA34" s="702">
        <f>'Fuel Consumption'!F31</f>
        <v>0</v>
      </c>
      <c r="AB34" s="710">
        <f>'Reagent Consumption'!Q39</f>
        <v>0</v>
      </c>
      <c r="AC34" s="710">
        <f>'Reagent Consumption'!P39</f>
        <v>0</v>
      </c>
      <c r="AD34" s="710">
        <f>'Reagent Consumption'!R39</f>
        <v>0</v>
      </c>
      <c r="AE34" s="710">
        <f>'Reagent Consumption'!S39</f>
        <v>0</v>
      </c>
      <c r="AF34" s="710">
        <f>'Reagent Consumption'!T39</f>
        <v>0</v>
      </c>
      <c r="AG34" s="710">
        <f>'Fuel Consumption'!F31</f>
        <v>0</v>
      </c>
      <c r="AH34" s="710"/>
      <c r="AI34" s="710"/>
      <c r="AJ34" s="710"/>
      <c r="AK34" s="710"/>
      <c r="AL34" s="710"/>
      <c r="AM34" s="710"/>
      <c r="AN34" s="710"/>
      <c r="AO34" s="710"/>
      <c r="AP34" s="710"/>
      <c r="AQ34" s="709"/>
      <c r="AR34" s="712"/>
      <c r="AS34" s="712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13" customFormat="1" ht="14.4" x14ac:dyDescent="0.3">
      <c r="A36" s="700"/>
      <c r="B36" s="701">
        <v>46277</v>
      </c>
      <c r="C36" s="702">
        <f>Crushing!N64</f>
        <v>328.77</v>
      </c>
      <c r="D36" s="723">
        <f t="shared" si="9"/>
        <v>2552.1456000000007</v>
      </c>
      <c r="E36" s="724" t="e">
        <f t="shared" si="8"/>
        <v>#DIV/0!</v>
      </c>
      <c r="F36" s="700"/>
      <c r="G36" s="702">
        <f t="shared" si="10"/>
        <v>0</v>
      </c>
      <c r="H36" s="704">
        <f t="shared" si="11"/>
        <v>0</v>
      </c>
      <c r="I36" s="702">
        <f>'Crushing Down Time Hours'!L31</f>
        <v>0</v>
      </c>
      <c r="J36" s="702">
        <f>'Milling Down Time Hours'!M18</f>
        <v>0</v>
      </c>
      <c r="K36" s="705">
        <f>'Crushing Down Time Hours'!M36</f>
        <v>0</v>
      </c>
      <c r="L36" s="705">
        <f t="shared" si="2"/>
        <v>0</v>
      </c>
      <c r="M36" s="721">
        <v>1</v>
      </c>
      <c r="N36" s="721">
        <f t="shared" si="7"/>
        <v>0</v>
      </c>
      <c r="O36" s="700"/>
      <c r="P36" s="700"/>
      <c r="Q36" s="700"/>
      <c r="R36" s="700"/>
      <c r="S36" s="700"/>
      <c r="T36" s="714">
        <f t="shared" si="3"/>
        <v>0</v>
      </c>
      <c r="U36" s="725" t="e">
        <f t="shared" si="4"/>
        <v>#DIV/0!</v>
      </c>
      <c r="V36" s="700"/>
      <c r="W36" s="700"/>
      <c r="X36" s="700"/>
      <c r="Y36" s="700"/>
      <c r="Z36" s="714">
        <f>'Reagent Consumption'!O41</f>
        <v>0</v>
      </c>
      <c r="AA36" s="723">
        <f>'Fuel Consumption'!F33</f>
        <v>0</v>
      </c>
      <c r="AB36" s="714">
        <f>'Reagent Consumption'!Q41</f>
        <v>0</v>
      </c>
      <c r="AC36" s="714">
        <f>'Reagent Consumption'!P41</f>
        <v>0</v>
      </c>
      <c r="AD36" s="714">
        <f>'Reagent Consumption'!R41</f>
        <v>0</v>
      </c>
      <c r="AE36" s="714">
        <f>'Reagent Consumption'!S41</f>
        <v>0</v>
      </c>
      <c r="AF36" s="714">
        <f>'Reagent Consumption'!T41</f>
        <v>0</v>
      </c>
      <c r="AG36" s="714">
        <f>'Fuel Consumption'!F33</f>
        <v>0</v>
      </c>
      <c r="AH36" s="714"/>
      <c r="AI36" s="714"/>
      <c r="AJ36" s="714"/>
      <c r="AK36" s="714"/>
      <c r="AL36" s="714"/>
      <c r="AM36" s="714"/>
      <c r="AN36" s="714"/>
      <c r="AO36" s="714"/>
      <c r="AP36" s="714"/>
      <c r="AQ36" s="700"/>
      <c r="AR36" s="712"/>
      <c r="AS36" s="712"/>
    </row>
    <row r="37" spans="1:45" s="713" customFormat="1" ht="14.4" x14ac:dyDescent="0.3">
      <c r="A37" s="712"/>
      <c r="B37" s="701">
        <v>46278</v>
      </c>
      <c r="C37" s="702">
        <f>Crushing!N66</f>
        <v>143.32500000000002</v>
      </c>
      <c r="D37" s="726">
        <f>D36+C37</f>
        <v>2695.4706000000006</v>
      </c>
      <c r="E37" s="727" t="e">
        <f>C37/I37</f>
        <v>#DIV/0!</v>
      </c>
      <c r="F37" s="708"/>
      <c r="G37" s="702">
        <f t="shared" si="10"/>
        <v>0</v>
      </c>
      <c r="H37" s="704">
        <f t="shared" si="11"/>
        <v>0</v>
      </c>
      <c r="I37" s="702">
        <f>'Crushing Down Time Hours'!L32</f>
        <v>0</v>
      </c>
      <c r="J37" s="702">
        <f>'Milling Down Time Hours'!M19</f>
        <v>0</v>
      </c>
      <c r="K37" s="705">
        <f>'Crushing Down Time Hours'!M37</f>
        <v>0</v>
      </c>
      <c r="L37" s="705">
        <f t="shared" si="2"/>
        <v>0</v>
      </c>
      <c r="M37" s="707">
        <v>1</v>
      </c>
      <c r="N37" s="707">
        <f t="shared" si="7"/>
        <v>0</v>
      </c>
      <c r="O37" s="708"/>
      <c r="P37" s="708"/>
      <c r="Q37" s="708"/>
      <c r="R37" s="708"/>
      <c r="S37" s="708"/>
      <c r="T37" s="728">
        <f t="shared" si="3"/>
        <v>0</v>
      </c>
      <c r="U37" s="729" t="e">
        <f t="shared" si="4"/>
        <v>#DIV/0!</v>
      </c>
      <c r="V37" s="708"/>
      <c r="W37" s="708"/>
      <c r="X37" s="708"/>
      <c r="Y37" s="708"/>
      <c r="Z37" s="714">
        <f>'Reagent Consumption'!O42</f>
        <v>0</v>
      </c>
      <c r="AA37" s="723">
        <f>'Fuel Consumption'!F34</f>
        <v>0</v>
      </c>
      <c r="AB37" s="714">
        <f>'Reagent Consumption'!Q42</f>
        <v>0</v>
      </c>
      <c r="AC37" s="714">
        <f>'Reagent Consumption'!P42</f>
        <v>0</v>
      </c>
      <c r="AD37" s="714">
        <f>'Reagent Consumption'!R42</f>
        <v>0</v>
      </c>
      <c r="AE37" s="714">
        <f>'Reagent Consumption'!S42</f>
        <v>0</v>
      </c>
      <c r="AF37" s="714">
        <f>'Reagent Consumption'!T42</f>
        <v>0</v>
      </c>
      <c r="AG37" s="714">
        <f>'Fuel Consumption'!F34</f>
        <v>0</v>
      </c>
      <c r="AH37" s="714"/>
      <c r="AI37" s="714"/>
      <c r="AJ37" s="714"/>
      <c r="AK37" s="714"/>
      <c r="AL37" s="714"/>
      <c r="AM37" s="714"/>
      <c r="AN37" s="714"/>
      <c r="AO37" s="714"/>
      <c r="AP37" s="728"/>
      <c r="AQ37" s="708"/>
      <c r="AR37" s="712"/>
      <c r="AS37" s="712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22</v>
      </c>
      <c r="K38" s="93">
        <f>'Crushing Down Time Hours'!M38</f>
        <v>0</v>
      </c>
      <c r="L38" s="93">
        <f t="shared" si="2"/>
        <v>0.91666666666666663</v>
      </c>
      <c r="M38" s="108">
        <v>2</v>
      </c>
      <c r="N38" s="108">
        <f t="shared" si="7"/>
        <v>0.91666666666666663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12</v>
      </c>
      <c r="K44" s="93">
        <f>'Crushing Down Time Hours'!M44</f>
        <v>0</v>
      </c>
      <c r="L44" s="93">
        <f t="shared" si="2"/>
        <v>0.5</v>
      </c>
      <c r="M44" s="108">
        <v>8</v>
      </c>
      <c r="N44" s="108">
        <f t="shared" si="7"/>
        <v>0.5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2500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0.27108918128654974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86.206896551724142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918" t="s">
        <v>205</v>
      </c>
      <c r="X54" s="918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420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918" t="s">
        <v>207</v>
      </c>
      <c r="X60" s="918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25" t="s">
        <v>342</v>
      </c>
      <c r="D3" s="925"/>
      <c r="E3" s="925"/>
      <c r="F3" s="925"/>
      <c r="G3" s="925"/>
      <c r="H3" s="925"/>
      <c r="L3" s="925" t="s">
        <v>342</v>
      </c>
      <c r="M3" s="925"/>
      <c r="N3" s="925"/>
      <c r="O3" s="925"/>
      <c r="P3" s="925"/>
      <c r="Q3" s="925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3">
        <v>1</v>
      </c>
      <c r="D5" s="123" t="s">
        <v>347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401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348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402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349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403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350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404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351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405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352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406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353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407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354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408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355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409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356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389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357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390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358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391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359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410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360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411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361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395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362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397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363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399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364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401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365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403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366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405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367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407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368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409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362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390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363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410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364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412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365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395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366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397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367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399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368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401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369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403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370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405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371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407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380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409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381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390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382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397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383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399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384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401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385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403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386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405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387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407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388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409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389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390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390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410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391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395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395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397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396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399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397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401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398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403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399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405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400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407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409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390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403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405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407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409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390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410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412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25" t="s">
        <v>571</v>
      </c>
      <c r="C2" s="925"/>
      <c r="D2" s="925"/>
      <c r="E2" s="925"/>
      <c r="F2" s="925"/>
      <c r="G2" s="925"/>
      <c r="H2" s="925"/>
      <c r="J2" s="927" t="s">
        <v>572</v>
      </c>
      <c r="K2" s="927"/>
      <c r="L2" s="927"/>
      <c r="M2" s="927"/>
      <c r="N2" s="927"/>
      <c r="O2" s="927"/>
      <c r="P2" s="927"/>
      <c r="R2" s="931" t="s">
        <v>573</v>
      </c>
      <c r="S2" s="931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5" t="s">
        <v>71</v>
      </c>
      <c r="K3" s="495" t="s">
        <v>1</v>
      </c>
      <c r="L3" s="495" t="s">
        <v>27</v>
      </c>
      <c r="M3" s="495" t="s">
        <v>567</v>
      </c>
      <c r="N3" s="699" t="s">
        <v>577</v>
      </c>
      <c r="O3" s="495" t="s">
        <v>568</v>
      </c>
      <c r="P3" s="699" t="s">
        <v>578</v>
      </c>
      <c r="R3" s="137" t="s">
        <v>574</v>
      </c>
      <c r="S3" s="137" t="s">
        <v>575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928" t="s">
        <v>576</v>
      </c>
      <c r="S9" s="928"/>
      <c r="T9" s="928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929">
        <f>SUM(P4:P66,H4:H66)</f>
        <v>1655.39</v>
      </c>
      <c r="S10" s="930"/>
      <c r="T10" s="930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34" customFormat="1" x14ac:dyDescent="0.3">
      <c r="A16" s="926">
        <v>6</v>
      </c>
      <c r="B16" s="730">
        <v>13</v>
      </c>
      <c r="C16" s="731">
        <v>46278</v>
      </c>
      <c r="D16" s="730" t="s">
        <v>14</v>
      </c>
      <c r="E16" s="730">
        <v>10</v>
      </c>
      <c r="F16" s="730">
        <f t="shared" si="5"/>
        <v>60</v>
      </c>
      <c r="G16" s="732">
        <v>0.21</v>
      </c>
      <c r="H16" s="733">
        <f t="shared" si="6"/>
        <v>47.400000000000006</v>
      </c>
      <c r="J16" s="730">
        <v>13</v>
      </c>
      <c r="K16" s="735">
        <v>46278</v>
      </c>
      <c r="L16" s="730" t="s">
        <v>14</v>
      </c>
      <c r="M16" s="730">
        <v>10</v>
      </c>
      <c r="N16" s="730">
        <f t="shared" si="7"/>
        <v>125</v>
      </c>
      <c r="O16" s="732">
        <v>0.2</v>
      </c>
      <c r="P16" s="733">
        <f t="shared" si="4"/>
        <v>100</v>
      </c>
    </row>
    <row r="17" spans="1:16" s="734" customFormat="1" x14ac:dyDescent="0.3">
      <c r="A17" s="926"/>
      <c r="B17" s="730">
        <v>14</v>
      </c>
      <c r="C17" s="731">
        <v>46279</v>
      </c>
      <c r="D17" s="730" t="s">
        <v>13</v>
      </c>
      <c r="E17" s="730">
        <v>9</v>
      </c>
      <c r="F17" s="730">
        <f t="shared" si="5"/>
        <v>54</v>
      </c>
      <c r="G17" s="732">
        <v>0.19</v>
      </c>
      <c r="H17" s="733">
        <f t="shared" si="6"/>
        <v>43.74</v>
      </c>
      <c r="J17" s="730">
        <v>14</v>
      </c>
      <c r="K17" s="735">
        <v>46279</v>
      </c>
      <c r="L17" s="730" t="s">
        <v>13</v>
      </c>
      <c r="M17" s="730">
        <v>7</v>
      </c>
      <c r="N17" s="730">
        <f t="shared" si="7"/>
        <v>87.5</v>
      </c>
      <c r="O17" s="732">
        <v>0.19</v>
      </c>
      <c r="P17" s="733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37" t="s">
        <v>280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7"/>
      <c r="N1" s="937"/>
      <c r="O1" s="937"/>
      <c r="P1" s="937"/>
      <c r="Q1" s="937"/>
      <c r="R1" s="937"/>
      <c r="S1" s="937"/>
      <c r="T1">
        <f>125+150</f>
        <v>275</v>
      </c>
    </row>
    <row r="2" spans="1:42" ht="18" x14ac:dyDescent="0.35">
      <c r="B2" s="937" t="s">
        <v>281</v>
      </c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</row>
    <row r="3" spans="1:42" ht="18" x14ac:dyDescent="0.35">
      <c r="B3" s="937" t="s">
        <v>282</v>
      </c>
      <c r="C3" s="937"/>
      <c r="D3" s="937"/>
      <c r="E3" s="937"/>
      <c r="F3" s="937"/>
      <c r="G3" s="937"/>
      <c r="H3" s="937"/>
      <c r="I3" s="937"/>
      <c r="J3" s="937"/>
      <c r="K3" s="937"/>
      <c r="L3" s="937"/>
      <c r="M3" s="937"/>
      <c r="N3" s="937"/>
      <c r="O3" s="937"/>
      <c r="P3" s="937"/>
      <c r="Q3" s="937"/>
      <c r="R3" s="937"/>
      <c r="S3" s="937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938"/>
      <c r="C5" s="939"/>
      <c r="D5" s="938" t="s">
        <v>25</v>
      </c>
      <c r="E5" s="940"/>
      <c r="F5" s="939"/>
      <c r="G5" s="938" t="s">
        <v>26</v>
      </c>
      <c r="H5" s="940"/>
      <c r="I5" s="939"/>
      <c r="J5" s="938" t="s">
        <v>322</v>
      </c>
      <c r="K5" s="939"/>
      <c r="L5" s="114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332</v>
      </c>
      <c r="X6" s="941" t="s">
        <v>163</v>
      </c>
      <c r="Y6" s="941"/>
      <c r="Z6" s="941"/>
      <c r="AA6" s="941"/>
      <c r="AB6" s="941"/>
      <c r="AC6" s="941"/>
    </row>
    <row r="7" spans="1:42" x14ac:dyDescent="0.3">
      <c r="A7" s="20">
        <v>46262</v>
      </c>
      <c r="B7" s="133" t="s">
        <v>13</v>
      </c>
      <c r="C7" s="395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288</v>
      </c>
      <c r="AC7" s="125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2500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28" t="s">
        <v>338</v>
      </c>
      <c r="Y10" s="928"/>
      <c r="Z10" s="928"/>
      <c r="AA10" s="928"/>
      <c r="AB10" s="928"/>
      <c r="AC10" s="210"/>
    </row>
    <row r="11" spans="1:42" x14ac:dyDescent="0.3">
      <c r="A11" s="20">
        <v>46266</v>
      </c>
      <c r="B11" s="17" t="s">
        <v>13</v>
      </c>
      <c r="C11" s="452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1.4041909878238581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292</v>
      </c>
      <c r="AC13" s="223" t="s">
        <v>337</v>
      </c>
    </row>
    <row r="14" spans="1:42" x14ac:dyDescent="0.3">
      <c r="A14" s="20">
        <v>46267</v>
      </c>
      <c r="B14" s="17" t="s">
        <v>14</v>
      </c>
      <c r="C14" s="452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0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9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7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7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25" t="s">
        <v>587</v>
      </c>
      <c r="Y20" s="925"/>
      <c r="Z20" s="925"/>
      <c r="AA20" s="925"/>
      <c r="AB20" s="925"/>
      <c r="AC20" s="925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52">
        <v>48000</v>
      </c>
      <c r="Y22" s="752">
        <v>2300</v>
      </c>
      <c r="Z22" s="752">
        <v>44000</v>
      </c>
      <c r="AA22" s="752">
        <v>30000</v>
      </c>
      <c r="AB22" s="752">
        <v>28000</v>
      </c>
      <c r="AC22" s="752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0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32" t="s">
        <v>586</v>
      </c>
      <c r="Y24" s="932"/>
      <c r="Z24" s="932"/>
      <c r="AA24" s="932"/>
      <c r="AB24" s="932"/>
      <c r="AC24" s="932"/>
    </row>
    <row r="25" spans="1:29" x14ac:dyDescent="0.3">
      <c r="A25" s="20">
        <v>46275</v>
      </c>
      <c r="B25" s="17" t="s">
        <v>14</v>
      </c>
      <c r="C25" s="491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53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51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54">
        <f>X22*X8</f>
        <v>120000000</v>
      </c>
      <c r="Y26" s="754">
        <f t="shared" ref="Y26:AC26" si="9">Y22*Y8</f>
        <v>8050000</v>
      </c>
      <c r="Z26" s="754">
        <f t="shared" si="9"/>
        <v>132000000</v>
      </c>
      <c r="AA26" s="754">
        <f>AA22*AA8</f>
        <v>3750000</v>
      </c>
      <c r="AB26" s="754">
        <f t="shared" si="9"/>
        <v>0</v>
      </c>
      <c r="AC26" s="75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33" t="s">
        <v>586</v>
      </c>
      <c r="Y27" s="934"/>
      <c r="Z27" s="935">
        <f>SUM(X26:AC26)</f>
        <v>263800000</v>
      </c>
      <c r="AA27" s="934"/>
      <c r="AB27" s="934"/>
      <c r="AC27" s="936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55">
        <f>X26/$Z$27</f>
        <v>0.45489006823351025</v>
      </c>
      <c r="Y28" s="756">
        <f t="shared" ref="Y28:AC28" si="10">Y26/$Z$27</f>
        <v>3.0515542077331311E-2</v>
      </c>
      <c r="Z28" s="756">
        <f t="shared" si="10"/>
        <v>0.5003790750568613</v>
      </c>
      <c r="AA28" s="756">
        <f t="shared" si="10"/>
        <v>1.4215314632297195E-2</v>
      </c>
      <c r="AB28" s="756">
        <f t="shared" si="10"/>
        <v>0</v>
      </c>
      <c r="AC28" s="757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67" t="s">
        <v>0</v>
      </c>
      <c r="C4" s="968"/>
      <c r="D4" s="968"/>
      <c r="E4" s="968"/>
      <c r="F4" s="968"/>
      <c r="G4" s="968"/>
      <c r="H4" s="968"/>
      <c r="I4" s="968"/>
      <c r="J4" s="968"/>
      <c r="K4" s="968"/>
      <c r="L4" s="968"/>
      <c r="M4" s="968"/>
      <c r="N4" s="968"/>
      <c r="O4" s="969"/>
    </row>
    <row r="5" spans="2:27" ht="57.6" customHeight="1" thickBot="1" x14ac:dyDescent="0.35">
      <c r="B5" s="964" t="s">
        <v>1</v>
      </c>
      <c r="C5" s="965"/>
      <c r="D5" s="283" t="s">
        <v>290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938" t="s">
        <v>12</v>
      </c>
      <c r="T5" s="939"/>
      <c r="W5" s="925" t="s">
        <v>19</v>
      </c>
      <c r="X5" s="925"/>
      <c r="Y5" s="925"/>
      <c r="Z5" s="925"/>
      <c r="AA5" s="925"/>
    </row>
    <row r="6" spans="2:27" ht="13.95" customHeight="1" thickBot="1" x14ac:dyDescent="0.4">
      <c r="B6" s="944">
        <v>46174</v>
      </c>
      <c r="C6" s="945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950">
        <f>SUM(L6:L7)</f>
        <v>0</v>
      </c>
      <c r="O6" s="297"/>
      <c r="P6" s="4"/>
      <c r="S6" s="267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46"/>
      <c r="C7" s="947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951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958">
        <v>46175</v>
      </c>
      <c r="C8" s="959"/>
      <c r="D8" s="353" t="s">
        <v>13</v>
      </c>
      <c r="E8" s="354" t="s">
        <v>170</v>
      </c>
      <c r="F8" s="355">
        <v>141</v>
      </c>
      <c r="G8" s="356" t="s">
        <v>437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962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960"/>
      <c r="C9" s="961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963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944">
        <v>46176</v>
      </c>
      <c r="C10" s="945"/>
      <c r="D10" s="288" t="s">
        <v>13</v>
      </c>
      <c r="E10" s="289" t="s">
        <v>170</v>
      </c>
      <c r="F10" s="290">
        <v>32</v>
      </c>
      <c r="G10" s="406" t="s">
        <v>437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956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946"/>
      <c r="C11" s="947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957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958">
        <v>46177</v>
      </c>
      <c r="C12" s="959"/>
      <c r="D12" s="353" t="s">
        <v>13</v>
      </c>
      <c r="E12" s="354" t="s">
        <v>173</v>
      </c>
      <c r="F12" s="355">
        <v>282</v>
      </c>
      <c r="G12" s="356" t="s">
        <v>437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962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960"/>
      <c r="C13" s="961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963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44">
        <v>46252</v>
      </c>
      <c r="C14" s="945"/>
      <c r="D14" s="288" t="s">
        <v>13</v>
      </c>
      <c r="E14" s="289" t="s">
        <v>200</v>
      </c>
      <c r="F14" s="290">
        <v>62</v>
      </c>
      <c r="G14" s="406" t="s">
        <v>437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956">
        <f t="shared" ref="N14" si="9">SUM(L14:L15)</f>
        <v>37.919199999999996</v>
      </c>
      <c r="O14" s="297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46"/>
      <c r="C15" s="947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957"/>
      <c r="O15" s="297"/>
    </row>
    <row r="16" spans="2:27" ht="18.600000000000001" thickBot="1" x14ac:dyDescent="0.4">
      <c r="B16" s="958">
        <v>46253</v>
      </c>
      <c r="C16" s="959"/>
      <c r="D16" s="353" t="s">
        <v>13</v>
      </c>
      <c r="E16" s="354" t="s">
        <v>200</v>
      </c>
      <c r="F16" s="355">
        <v>463</v>
      </c>
      <c r="G16" s="356" t="s">
        <v>437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962">
        <f>SUM(L16:L17)</f>
        <v>283.17079999999999</v>
      </c>
      <c r="O16" s="361" t="s">
        <v>413</v>
      </c>
      <c r="S16" s="1">
        <f>S14/1.4</f>
        <v>45.714285714285715</v>
      </c>
    </row>
    <row r="17" spans="2:23" ht="18.600000000000001" thickBot="1" x14ac:dyDescent="0.4">
      <c r="B17" s="960"/>
      <c r="C17" s="961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963"/>
      <c r="O17" s="361" t="s">
        <v>392</v>
      </c>
    </row>
    <row r="18" spans="2:23" ht="18.600000000000001" thickBot="1" x14ac:dyDescent="0.4">
      <c r="B18" s="944">
        <v>46254</v>
      </c>
      <c r="C18" s="945"/>
      <c r="D18" s="288" t="s">
        <v>13</v>
      </c>
      <c r="E18" s="289" t="s">
        <v>200</v>
      </c>
      <c r="F18" s="290">
        <v>539</v>
      </c>
      <c r="G18" s="406" t="s">
        <v>437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956">
        <f>SUM(L18:L19)-V20</f>
        <v>337.14449999999999</v>
      </c>
      <c r="O18" s="297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46"/>
      <c r="C19" s="947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966"/>
      <c r="O19" s="297" t="s">
        <v>414</v>
      </c>
      <c r="T19" s="112"/>
    </row>
    <row r="20" spans="2:23" ht="18.600000000000001" thickBot="1" x14ac:dyDescent="0.4">
      <c r="B20" s="944">
        <v>46255</v>
      </c>
      <c r="C20" s="945"/>
      <c r="D20" s="288" t="s">
        <v>13</v>
      </c>
      <c r="E20" s="289" t="s">
        <v>200</v>
      </c>
      <c r="F20" s="290">
        <v>409</v>
      </c>
      <c r="G20" s="406" t="s">
        <v>437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956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946"/>
      <c r="C21" s="947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966"/>
      <c r="O21" s="297"/>
      <c r="S21" s="2"/>
      <c r="T21" s="113"/>
    </row>
    <row r="22" spans="2:23" ht="18.600000000000001" thickBot="1" x14ac:dyDescent="0.4">
      <c r="B22" s="944">
        <v>46256</v>
      </c>
      <c r="C22" s="945"/>
      <c r="D22" s="288" t="s">
        <v>13</v>
      </c>
      <c r="E22" s="289" t="s">
        <v>200</v>
      </c>
      <c r="F22" s="290">
        <v>315</v>
      </c>
      <c r="G22" s="291" t="s">
        <v>437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956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946"/>
      <c r="C23" s="947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957"/>
      <c r="O23" s="297"/>
      <c r="P23" s="9"/>
      <c r="T23" s="112"/>
    </row>
    <row r="24" spans="2:23" ht="18.600000000000001" thickBot="1" x14ac:dyDescent="0.4">
      <c r="B24" s="944">
        <v>46257</v>
      </c>
      <c r="C24" s="945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956">
        <f>SUM(L24:L25)-V26</f>
        <v>0</v>
      </c>
      <c r="O24" s="297"/>
    </row>
    <row r="25" spans="2:23" ht="18.600000000000001" thickBot="1" x14ac:dyDescent="0.4">
      <c r="B25" s="946"/>
      <c r="C25" s="947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957"/>
      <c r="O25" s="297"/>
      <c r="T25" s="3"/>
    </row>
    <row r="26" spans="2:23" ht="18.600000000000001" thickBot="1" x14ac:dyDescent="0.4">
      <c r="B26" s="944">
        <v>46258</v>
      </c>
      <c r="C26" s="945"/>
      <c r="D26" s="288" t="s">
        <v>13</v>
      </c>
      <c r="E26" s="289" t="s">
        <v>200</v>
      </c>
      <c r="F26" s="290">
        <v>234</v>
      </c>
      <c r="G26" s="291" t="s">
        <v>437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956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46"/>
      <c r="C27" s="947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957"/>
      <c r="O27" s="297"/>
    </row>
    <row r="28" spans="2:23" ht="18.600000000000001" thickBot="1" x14ac:dyDescent="0.4">
      <c r="B28" s="944">
        <v>46259</v>
      </c>
      <c r="C28" s="945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950">
        <f>SUM(L28:L29)</f>
        <v>0</v>
      </c>
      <c r="O28" s="297"/>
    </row>
    <row r="29" spans="2:23" ht="18.600000000000001" thickBot="1" x14ac:dyDescent="0.4">
      <c r="B29" s="946"/>
      <c r="C29" s="947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951"/>
      <c r="O29" s="297"/>
      <c r="P29" s="9"/>
    </row>
    <row r="30" spans="2:23" ht="18.600000000000001" thickBot="1" x14ac:dyDescent="0.4">
      <c r="B30" s="944">
        <v>46260</v>
      </c>
      <c r="C30" s="945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950">
        <f t="shared" ref="N30" si="13">SUM(L30:L31)</f>
        <v>0</v>
      </c>
      <c r="O30" s="297"/>
    </row>
    <row r="31" spans="2:23" ht="18.600000000000001" thickBot="1" x14ac:dyDescent="0.4">
      <c r="B31" s="946"/>
      <c r="C31" s="947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951"/>
      <c r="O31" s="297"/>
    </row>
    <row r="32" spans="2:23" ht="54.6" thickBot="1" x14ac:dyDescent="0.4">
      <c r="B32" s="944">
        <v>46261</v>
      </c>
      <c r="C32" s="945"/>
      <c r="D32" s="288" t="s">
        <v>13</v>
      </c>
      <c r="E32" s="289" t="s">
        <v>425</v>
      </c>
      <c r="F32" s="290">
        <v>202</v>
      </c>
      <c r="G32" s="291" t="s">
        <v>437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950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46"/>
      <c r="C33" s="947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951"/>
      <c r="O33" s="297"/>
    </row>
    <row r="34" spans="2:24" ht="18.600000000000001" thickBot="1" x14ac:dyDescent="0.4">
      <c r="B34" s="944">
        <v>46262</v>
      </c>
      <c r="C34" s="945"/>
      <c r="D34" s="288" t="s">
        <v>13</v>
      </c>
      <c r="E34" s="289" t="s">
        <v>170</v>
      </c>
      <c r="F34" s="290">
        <v>290</v>
      </c>
      <c r="G34" s="291" t="s">
        <v>437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950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46"/>
      <c r="C35" s="947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951"/>
      <c r="O35" s="297"/>
    </row>
    <row r="36" spans="2:24" ht="18.600000000000001" thickBot="1" x14ac:dyDescent="0.35">
      <c r="B36" s="944">
        <v>46263</v>
      </c>
      <c r="C36" s="945"/>
      <c r="D36" s="288" t="s">
        <v>13</v>
      </c>
      <c r="E36" s="289" t="s">
        <v>170</v>
      </c>
      <c r="F36" s="290">
        <v>411</v>
      </c>
      <c r="G36" s="291" t="s">
        <v>437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950">
        <f>SUM(L36:L37)</f>
        <v>240.43500000000003</v>
      </c>
      <c r="O36" s="942" t="str">
        <f>'Crushing Down Time Hours'!G17</f>
        <v>istirahat jam 12-13, 14:00-15:00 ada loading material dari mining</v>
      </c>
    </row>
    <row r="37" spans="2:24" ht="18.600000000000001" thickBot="1" x14ac:dyDescent="0.35">
      <c r="B37" s="946"/>
      <c r="C37" s="947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951"/>
      <c r="O37" s="943"/>
    </row>
    <row r="38" spans="2:24" ht="18.600000000000001" thickBot="1" x14ac:dyDescent="0.4">
      <c r="B38" s="944">
        <v>46264</v>
      </c>
      <c r="C38" s="945"/>
      <c r="D38" s="288" t="s">
        <v>13</v>
      </c>
      <c r="E38" s="289" t="s">
        <v>170</v>
      </c>
      <c r="F38" s="290">
        <v>92</v>
      </c>
      <c r="G38" s="291" t="s">
        <v>437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950">
        <f t="shared" ref="N38" si="15">SUM(L38:L39)</f>
        <v>53.820000000000007</v>
      </c>
      <c r="O38" s="297"/>
      <c r="Q38" s="4"/>
    </row>
    <row r="39" spans="2:24" ht="18.600000000000001" thickBot="1" x14ac:dyDescent="0.4">
      <c r="B39" s="946"/>
      <c r="C39" s="947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951"/>
      <c r="O39" s="297"/>
    </row>
    <row r="40" spans="2:24" ht="18.600000000000001" thickBot="1" x14ac:dyDescent="0.4">
      <c r="B40" s="944">
        <v>46265</v>
      </c>
      <c r="C40" s="945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950">
        <f>SUM(L40:L41)</f>
        <v>0</v>
      </c>
      <c r="O40" s="297"/>
    </row>
    <row r="41" spans="2:24" ht="18.600000000000001" thickBot="1" x14ac:dyDescent="0.4">
      <c r="B41" s="946"/>
      <c r="C41" s="947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951"/>
      <c r="O41" s="297"/>
    </row>
    <row r="42" spans="2:24" ht="18.600000000000001" thickBot="1" x14ac:dyDescent="0.4">
      <c r="B42" s="944">
        <v>46266</v>
      </c>
      <c r="C42" s="945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950">
        <f t="shared" ref="N42" si="16">SUM(L42:L43)</f>
        <v>0</v>
      </c>
      <c r="O42" s="297"/>
    </row>
    <row r="43" spans="2:24" ht="18.600000000000001" thickBot="1" x14ac:dyDescent="0.4">
      <c r="B43" s="946"/>
      <c r="C43" s="947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951"/>
      <c r="O43" s="297"/>
    </row>
    <row r="44" spans="2:24" ht="18.600000000000001" thickBot="1" x14ac:dyDescent="0.4">
      <c r="B44" s="944">
        <v>46267</v>
      </c>
      <c r="C44" s="945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950">
        <f t="shared" ref="N44" si="17">SUM(L44:L45)</f>
        <v>0</v>
      </c>
      <c r="O44" s="297"/>
    </row>
    <row r="45" spans="2:24" ht="18.600000000000001" thickBot="1" x14ac:dyDescent="0.4">
      <c r="B45" s="946"/>
      <c r="C45" s="947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951"/>
      <c r="O45" s="297"/>
    </row>
    <row r="46" spans="2:24" ht="18.600000000000001" thickBot="1" x14ac:dyDescent="0.4">
      <c r="B46" s="944">
        <v>46268</v>
      </c>
      <c r="C46" s="945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950">
        <f t="shared" ref="N46:N58" si="18">SUM(L46:L47)</f>
        <v>0</v>
      </c>
      <c r="O46" s="297"/>
    </row>
    <row r="47" spans="2:24" ht="18.600000000000001" thickBot="1" x14ac:dyDescent="0.4">
      <c r="B47" s="946"/>
      <c r="C47" s="947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951"/>
      <c r="O47" s="297"/>
    </row>
    <row r="48" spans="2:24" ht="18.600000000000001" thickBot="1" x14ac:dyDescent="0.4">
      <c r="B48" s="944">
        <v>46269</v>
      </c>
      <c r="C48" s="945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950">
        <f t="shared" si="18"/>
        <v>0</v>
      </c>
      <c r="O48" s="297"/>
    </row>
    <row r="49" spans="2:22" ht="18.600000000000001" thickBot="1" x14ac:dyDescent="0.4">
      <c r="B49" s="946"/>
      <c r="C49" s="947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951"/>
      <c r="O49" s="297"/>
    </row>
    <row r="50" spans="2:22" ht="18.600000000000001" thickBot="1" x14ac:dyDescent="0.4">
      <c r="B50" s="944">
        <v>46270</v>
      </c>
      <c r="C50" s="945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950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946"/>
      <c r="C51" s="947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951"/>
      <c r="O51" s="297"/>
      <c r="P51" s="4"/>
    </row>
    <row r="52" spans="2:22" ht="18.600000000000001" thickBot="1" x14ac:dyDescent="0.4">
      <c r="B52" s="944">
        <v>46271</v>
      </c>
      <c r="C52" s="945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950">
        <f t="shared" si="18"/>
        <v>0</v>
      </c>
      <c r="O52" s="297"/>
    </row>
    <row r="53" spans="2:22" ht="18.600000000000001" thickBot="1" x14ac:dyDescent="0.4">
      <c r="B53" s="946"/>
      <c r="C53" s="947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951"/>
      <c r="O53" s="297"/>
      <c r="R53" s="1">
        <f>R50*4</f>
        <v>60</v>
      </c>
    </row>
    <row r="54" spans="2:22" ht="18.600000000000001" thickBot="1" x14ac:dyDescent="0.4">
      <c r="B54" s="944">
        <v>46272</v>
      </c>
      <c r="C54" s="945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950">
        <f t="shared" si="18"/>
        <v>0</v>
      </c>
      <c r="O54" s="297"/>
    </row>
    <row r="55" spans="2:22" ht="18.600000000000001" thickBot="1" x14ac:dyDescent="0.4">
      <c r="B55" s="946"/>
      <c r="C55" s="947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951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944">
        <v>46273</v>
      </c>
      <c r="C56" s="945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950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946"/>
      <c r="C57" s="947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951"/>
      <c r="O57" s="297"/>
      <c r="Q57" s="4"/>
      <c r="R57" s="4"/>
      <c r="S57" s="1">
        <v>1190</v>
      </c>
    </row>
    <row r="58" spans="2:22" ht="18.600000000000001" thickBot="1" x14ac:dyDescent="0.4">
      <c r="B58" s="944">
        <v>46274</v>
      </c>
      <c r="C58" s="945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950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946"/>
      <c r="C59" s="947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951"/>
      <c r="O59" s="297"/>
      <c r="P59" s="4"/>
      <c r="S59" s="2">
        <f>(S55-S58)/S55</f>
        <v>0.10083594566353186</v>
      </c>
    </row>
    <row r="60" spans="2:22" ht="18.600000000000001" thickBot="1" x14ac:dyDescent="0.4">
      <c r="B60" s="944">
        <v>46275</v>
      </c>
      <c r="C60" s="945"/>
      <c r="D60" s="288" t="s">
        <v>13</v>
      </c>
      <c r="E60" s="324" t="s">
        <v>170</v>
      </c>
      <c r="F60" s="325">
        <v>113</v>
      </c>
      <c r="G60" s="326" t="s">
        <v>437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948">
        <f>SUM(L60:L61)</f>
        <v>72.657000000000011</v>
      </c>
      <c r="O60" s="297"/>
      <c r="P60" s="9"/>
    </row>
    <row r="61" spans="2:22" ht="18.600000000000001" thickBot="1" x14ac:dyDescent="0.4">
      <c r="B61" s="946"/>
      <c r="C61" s="947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949"/>
      <c r="O61" s="297"/>
      <c r="P61" s="9"/>
    </row>
    <row r="62" spans="2:22" ht="18.600000000000001" thickBot="1" x14ac:dyDescent="0.4">
      <c r="B62" s="944">
        <v>46276</v>
      </c>
      <c r="C62" s="945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948">
        <f>SUM(L62:L63)</f>
        <v>0</v>
      </c>
      <c r="O62" s="297"/>
      <c r="P62" s="9"/>
    </row>
    <row r="63" spans="2:22" ht="18.600000000000001" thickBot="1" x14ac:dyDescent="0.4">
      <c r="B63" s="946"/>
      <c r="C63" s="947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949"/>
      <c r="O63" s="297"/>
      <c r="P63" s="9"/>
    </row>
    <row r="64" spans="2:22" ht="18.600000000000001" thickBot="1" x14ac:dyDescent="0.4">
      <c r="B64" s="944">
        <v>46277</v>
      </c>
      <c r="C64" s="945"/>
      <c r="D64" s="288" t="s">
        <v>13</v>
      </c>
      <c r="E64" s="324" t="s">
        <v>170</v>
      </c>
      <c r="F64" s="325">
        <v>329</v>
      </c>
      <c r="G64" s="326" t="s">
        <v>437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948">
        <f>SUM(L64:L65)</f>
        <v>328.77</v>
      </c>
      <c r="O64" s="297"/>
      <c r="P64" s="9"/>
    </row>
    <row r="65" spans="2:16" ht="18.600000000000001" thickBot="1" x14ac:dyDescent="0.4">
      <c r="B65" s="946"/>
      <c r="C65" s="947"/>
      <c r="D65" s="298" t="s">
        <v>14</v>
      </c>
      <c r="E65" s="310" t="s">
        <v>562</v>
      </c>
      <c r="F65" s="303">
        <v>233</v>
      </c>
      <c r="G65" s="301" t="s">
        <v>437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949"/>
      <c r="O65" s="297"/>
      <c r="P65" s="9"/>
    </row>
    <row r="66" spans="2:16" ht="18.600000000000001" thickBot="1" x14ac:dyDescent="0.4">
      <c r="B66" s="944">
        <v>46278</v>
      </c>
      <c r="C66" s="945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948">
        <f>SUM(L66:L67)</f>
        <v>143.32500000000002</v>
      </c>
      <c r="O66" s="297"/>
      <c r="P66" s="9"/>
    </row>
    <row r="67" spans="2:16" ht="18.600000000000001" thickBot="1" x14ac:dyDescent="0.4">
      <c r="B67" s="946"/>
      <c r="C67" s="947"/>
      <c r="D67" s="298" t="s">
        <v>14</v>
      </c>
      <c r="E67" s="310" t="s">
        <v>170</v>
      </c>
      <c r="F67" s="303">
        <v>245</v>
      </c>
      <c r="G67" s="301" t="s">
        <v>437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949"/>
      <c r="O67" s="297"/>
      <c r="P67" s="9"/>
    </row>
    <row r="68" spans="2:16" ht="18.600000000000001" thickBot="1" x14ac:dyDescent="0.4">
      <c r="B68" s="944">
        <v>46279</v>
      </c>
      <c r="C68" s="945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948">
        <f t="shared" ref="N68" si="31">SUM(L68:L69)</f>
        <v>0</v>
      </c>
      <c r="O68" s="297"/>
      <c r="P68" s="9"/>
    </row>
    <row r="69" spans="2:16" ht="18.600000000000001" thickBot="1" x14ac:dyDescent="0.4">
      <c r="B69" s="946"/>
      <c r="C69" s="947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949"/>
      <c r="O69" s="297"/>
      <c r="P69" s="9"/>
    </row>
    <row r="70" spans="2:16" ht="18.600000000000001" thickBot="1" x14ac:dyDescent="0.4">
      <c r="B70" s="944">
        <v>46280</v>
      </c>
      <c r="C70" s="945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948">
        <f t="shared" ref="N70" si="32">SUM(L70:L71)</f>
        <v>0</v>
      </c>
      <c r="O70" s="297"/>
      <c r="P70" s="9"/>
    </row>
    <row r="71" spans="2:16" ht="18.600000000000001" thickBot="1" x14ac:dyDescent="0.4">
      <c r="B71" s="946"/>
      <c r="C71" s="947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949"/>
      <c r="O71" s="297"/>
      <c r="P71" s="9"/>
    </row>
    <row r="72" spans="2:16" ht="18.600000000000001" thickBot="1" x14ac:dyDescent="0.4">
      <c r="B72" s="944">
        <v>46281</v>
      </c>
      <c r="C72" s="945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948">
        <f t="shared" ref="N72" si="33">SUM(L72:L73)</f>
        <v>0</v>
      </c>
      <c r="O72" s="297"/>
      <c r="P72" s="9"/>
    </row>
    <row r="73" spans="2:16" ht="18.600000000000001" thickBot="1" x14ac:dyDescent="0.4">
      <c r="B73" s="946"/>
      <c r="C73" s="947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949"/>
      <c r="O73" s="297"/>
      <c r="P73" s="9"/>
    </row>
    <row r="74" spans="2:16" ht="18.600000000000001" thickBot="1" x14ac:dyDescent="0.4">
      <c r="B74" s="944">
        <v>46282</v>
      </c>
      <c r="C74" s="945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948">
        <f t="shared" ref="N74" si="34">SUM(L74:L75)</f>
        <v>0</v>
      </c>
      <c r="O74" s="297"/>
      <c r="P74" s="9"/>
    </row>
    <row r="75" spans="2:16" ht="18.600000000000001" thickBot="1" x14ac:dyDescent="0.4">
      <c r="B75" s="946"/>
      <c r="C75" s="947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949"/>
      <c r="O75" s="297"/>
      <c r="P75" s="9"/>
    </row>
    <row r="76" spans="2:16" ht="18.600000000000001" thickBot="1" x14ac:dyDescent="0.4">
      <c r="B76" s="944">
        <v>46283</v>
      </c>
      <c r="C76" s="945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948">
        <f>SUM(L76:L77)</f>
        <v>0</v>
      </c>
      <c r="O76" s="297"/>
      <c r="P76" s="9"/>
    </row>
    <row r="77" spans="2:16" ht="18.600000000000001" thickBot="1" x14ac:dyDescent="0.4">
      <c r="B77" s="946"/>
      <c r="C77" s="947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949"/>
      <c r="O77" s="297"/>
      <c r="P77" s="9"/>
    </row>
    <row r="78" spans="2:16" ht="18.600000000000001" thickBot="1" x14ac:dyDescent="0.4">
      <c r="B78" s="944">
        <v>46284</v>
      </c>
      <c r="C78" s="945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948">
        <f t="shared" ref="N78" si="38">SUM(L78:L79)</f>
        <v>0</v>
      </c>
      <c r="O78" s="297"/>
      <c r="P78" s="9"/>
    </row>
    <row r="79" spans="2:16" ht="18.600000000000001" thickBot="1" x14ac:dyDescent="0.4">
      <c r="B79" s="946"/>
      <c r="C79" s="947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949"/>
      <c r="O79" s="297"/>
      <c r="P79" s="9"/>
    </row>
    <row r="80" spans="2:16" ht="18.600000000000001" thickBot="1" x14ac:dyDescent="0.4">
      <c r="B80" s="944">
        <v>46285</v>
      </c>
      <c r="C80" s="945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948">
        <f t="shared" ref="N80" si="42">SUM(L80:L81)</f>
        <v>0</v>
      </c>
      <c r="O80" s="297"/>
      <c r="P80" s="9"/>
    </row>
    <row r="81" spans="2:19" ht="18.600000000000001" thickBot="1" x14ac:dyDescent="0.4">
      <c r="B81" s="946"/>
      <c r="C81" s="947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949"/>
      <c r="O81" s="297"/>
      <c r="P81" s="9"/>
    </row>
    <row r="82" spans="2:19" ht="18.600000000000001" thickBot="1" x14ac:dyDescent="0.4">
      <c r="B82" s="944">
        <v>46286</v>
      </c>
      <c r="C82" s="945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948">
        <f t="shared" ref="N82" si="43">SUM(L82:L83)</f>
        <v>0</v>
      </c>
      <c r="O82" s="297"/>
      <c r="P82" s="9"/>
    </row>
    <row r="83" spans="2:19" ht="18.600000000000001" thickBot="1" x14ac:dyDescent="0.4">
      <c r="B83" s="946"/>
      <c r="C83" s="947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949"/>
      <c r="O83" s="297"/>
      <c r="P83" s="9"/>
    </row>
    <row r="84" spans="2:19" ht="18.600000000000001" thickBot="1" x14ac:dyDescent="0.4">
      <c r="B84" s="944">
        <v>46287</v>
      </c>
      <c r="C84" s="945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948">
        <f t="shared" ref="N84" si="47">SUM(L84:L85)</f>
        <v>0</v>
      </c>
      <c r="O84" s="297"/>
      <c r="P84" s="9"/>
    </row>
    <row r="85" spans="2:19" ht="18.600000000000001" thickBot="1" x14ac:dyDescent="0.4">
      <c r="B85" s="946"/>
      <c r="C85" s="947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949"/>
      <c r="O85" s="297"/>
      <c r="P85" s="9"/>
    </row>
    <row r="86" spans="2:19" ht="18" x14ac:dyDescent="0.35">
      <c r="B86" s="952" t="s">
        <v>17</v>
      </c>
      <c r="C86" s="953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954" t="s">
        <v>18</v>
      </c>
      <c r="C87" s="955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0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25" t="s">
        <v>467</v>
      </c>
      <c r="C2" s="925"/>
      <c r="D2" s="925"/>
      <c r="E2" s="925"/>
      <c r="F2" s="925"/>
      <c r="G2" s="925"/>
      <c r="H2" s="925"/>
      <c r="T2" s="970" t="s">
        <v>508</v>
      </c>
      <c r="U2" s="970"/>
      <c r="V2" s="970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8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8" t="s">
        <v>464</v>
      </c>
      <c r="Q3" s="15" t="s">
        <v>465</v>
      </c>
      <c r="R3" s="15" t="s">
        <v>466</v>
      </c>
      <c r="S3" s="15" t="s">
        <v>346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3">
        <v>1</v>
      </c>
      <c r="C4" s="526">
        <v>1</v>
      </c>
      <c r="D4" s="660" t="s">
        <v>469</v>
      </c>
      <c r="E4" s="661">
        <v>46265</v>
      </c>
      <c r="F4" s="660">
        <v>1.0229999999999999</v>
      </c>
      <c r="G4" s="660">
        <v>0.31</v>
      </c>
      <c r="H4" s="660">
        <v>6.1559999999999997</v>
      </c>
      <c r="M4" s="242">
        <v>1</v>
      </c>
      <c r="N4" s="14">
        <v>1</v>
      </c>
      <c r="O4" s="6" t="s">
        <v>498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3">
        <v>2</v>
      </c>
      <c r="C5" s="526">
        <v>1</v>
      </c>
      <c r="D5" s="660" t="s">
        <v>470</v>
      </c>
      <c r="E5" s="661">
        <v>46265</v>
      </c>
      <c r="F5" s="660">
        <v>0.94899999999999995</v>
      </c>
      <c r="G5" s="660">
        <v>0.51300000000000001</v>
      </c>
      <c r="H5" s="660">
        <v>5.9560000000000004</v>
      </c>
      <c r="M5" s="242">
        <v>2</v>
      </c>
      <c r="N5" s="14">
        <v>1</v>
      </c>
      <c r="O5" s="6" t="s">
        <v>499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3">
        <v>3</v>
      </c>
      <c r="C6" s="526">
        <v>1</v>
      </c>
      <c r="D6" s="660" t="s">
        <v>471</v>
      </c>
      <c r="E6" s="661">
        <v>46265</v>
      </c>
      <c r="F6" s="660">
        <v>0.92900000000000005</v>
      </c>
      <c r="G6" s="660">
        <v>0.40699999999999997</v>
      </c>
      <c r="H6" s="660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500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3">
        <v>4</v>
      </c>
      <c r="C7" s="526">
        <v>1</v>
      </c>
      <c r="D7" s="660" t="s">
        <v>472</v>
      </c>
      <c r="E7" s="661">
        <v>46265</v>
      </c>
      <c r="F7" s="660">
        <v>0.64100000000000001</v>
      </c>
      <c r="G7" s="660">
        <v>0.55700000000000005</v>
      </c>
      <c r="H7" s="660">
        <v>7.72</v>
      </c>
      <c r="M7" s="242">
        <v>4</v>
      </c>
      <c r="N7" s="14">
        <v>1</v>
      </c>
      <c r="O7" s="6" t="s">
        <v>501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3">
        <v>5</v>
      </c>
      <c r="C8" s="526">
        <v>1</v>
      </c>
      <c r="D8" s="660" t="s">
        <v>473</v>
      </c>
      <c r="E8" s="661">
        <v>46265</v>
      </c>
      <c r="F8" s="660">
        <v>0.63700000000000001</v>
      </c>
      <c r="G8" s="660">
        <v>0.502</v>
      </c>
      <c r="H8" s="660">
        <v>7.51</v>
      </c>
      <c r="M8" s="484">
        <v>5</v>
      </c>
      <c r="N8" s="485">
        <v>1</v>
      </c>
      <c r="O8" s="486" t="s">
        <v>502</v>
      </c>
      <c r="P8" s="487">
        <v>46265</v>
      </c>
      <c r="Q8" s="486">
        <v>1.123</v>
      </c>
      <c r="R8" s="486">
        <v>0.28899999999999998</v>
      </c>
      <c r="S8" s="486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3">
        <v>6</v>
      </c>
      <c r="C9" s="526">
        <v>1</v>
      </c>
      <c r="D9" s="660" t="s">
        <v>474</v>
      </c>
      <c r="E9" s="661">
        <v>46265</v>
      </c>
      <c r="F9" s="660">
        <v>0.54900000000000004</v>
      </c>
      <c r="G9" s="660">
        <v>0.52600000000000002</v>
      </c>
      <c r="H9" s="660">
        <v>7.64</v>
      </c>
      <c r="M9" s="242">
        <v>6</v>
      </c>
      <c r="N9" s="14">
        <v>1</v>
      </c>
      <c r="O9" s="6" t="s">
        <v>503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3">
        <v>7</v>
      </c>
      <c r="C10" s="526">
        <v>1</v>
      </c>
      <c r="D10" s="660" t="s">
        <v>469</v>
      </c>
      <c r="E10" s="661">
        <v>46266</v>
      </c>
      <c r="F10" s="660">
        <v>0.64600000000000002</v>
      </c>
      <c r="G10" s="660">
        <v>0.68100000000000005</v>
      </c>
      <c r="H10" s="660">
        <v>7.62</v>
      </c>
      <c r="M10" s="242">
        <v>7</v>
      </c>
      <c r="N10" s="14">
        <v>1</v>
      </c>
      <c r="O10" s="6" t="s">
        <v>498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3">
        <v>8</v>
      </c>
      <c r="C11" s="526">
        <v>1</v>
      </c>
      <c r="D11" s="660" t="s">
        <v>470</v>
      </c>
      <c r="E11" s="661">
        <v>46266</v>
      </c>
      <c r="F11" s="660">
        <v>0.64500000000000002</v>
      </c>
      <c r="G11" s="660">
        <v>0.68700000000000006</v>
      </c>
      <c r="H11" s="660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499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3">
        <v>9</v>
      </c>
      <c r="C12" s="526">
        <v>1</v>
      </c>
      <c r="D12" s="660" t="s">
        <v>471</v>
      </c>
      <c r="E12" s="661">
        <v>46266</v>
      </c>
      <c r="F12" s="660">
        <v>0.65</v>
      </c>
      <c r="G12" s="660">
        <v>0.65500000000000003</v>
      </c>
      <c r="H12" s="660">
        <v>7.43</v>
      </c>
      <c r="M12" s="242">
        <v>9</v>
      </c>
      <c r="N12" s="14">
        <v>1</v>
      </c>
      <c r="O12" s="6" t="s">
        <v>500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3">
        <v>10</v>
      </c>
      <c r="C13" s="526">
        <v>1</v>
      </c>
      <c r="D13" s="660" t="s">
        <v>472</v>
      </c>
      <c r="E13" s="661">
        <v>46266</v>
      </c>
      <c r="F13" s="660">
        <v>0.64100000000000001</v>
      </c>
      <c r="G13" s="660">
        <v>0.55700000000000005</v>
      </c>
      <c r="H13" s="660">
        <v>7.72</v>
      </c>
      <c r="M13" s="484">
        <v>10</v>
      </c>
      <c r="N13" s="485">
        <v>1</v>
      </c>
      <c r="O13" s="486" t="s">
        <v>502</v>
      </c>
      <c r="P13" s="487">
        <v>46266</v>
      </c>
      <c r="Q13" s="486">
        <v>0.73699999999999999</v>
      </c>
      <c r="R13" s="486">
        <v>0.81499999999999995</v>
      </c>
      <c r="S13" s="486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3">
        <v>11</v>
      </c>
      <c r="C14" s="526">
        <v>1</v>
      </c>
      <c r="D14" s="660" t="s">
        <v>473</v>
      </c>
      <c r="E14" s="661">
        <v>46266</v>
      </c>
      <c r="F14" s="660">
        <v>0.63700000000000001</v>
      </c>
      <c r="G14" s="660">
        <v>0.502</v>
      </c>
      <c r="H14" s="660">
        <v>7.51</v>
      </c>
      <c r="M14" s="242">
        <v>11</v>
      </c>
      <c r="N14" s="14">
        <v>1</v>
      </c>
      <c r="O14" s="6" t="s">
        <v>504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3">
        <v>12</v>
      </c>
      <c r="C15" s="526">
        <v>1</v>
      </c>
      <c r="D15" s="660" t="s">
        <v>474</v>
      </c>
      <c r="E15" s="661">
        <v>46266</v>
      </c>
      <c r="F15" s="660">
        <v>0.54900000000000004</v>
      </c>
      <c r="G15" s="660">
        <v>0.52600000000000002</v>
      </c>
      <c r="H15" s="660">
        <v>7.64</v>
      </c>
      <c r="M15" s="242">
        <v>12</v>
      </c>
      <c r="N15" s="14">
        <v>1</v>
      </c>
      <c r="O15" s="6" t="s">
        <v>505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2">
        <v>13</v>
      </c>
      <c r="C16" s="531">
        <v>2</v>
      </c>
      <c r="D16" s="663" t="s">
        <v>469</v>
      </c>
      <c r="E16" s="664">
        <v>46267</v>
      </c>
      <c r="F16" s="663">
        <v>0.66</v>
      </c>
      <c r="G16" s="663">
        <v>0.32</v>
      </c>
      <c r="H16" s="663">
        <v>9.6300000000000008</v>
      </c>
      <c r="M16" s="242">
        <v>13</v>
      </c>
      <c r="N16" s="14">
        <v>2</v>
      </c>
      <c r="O16" s="6" t="s">
        <v>506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2">
        <v>14</v>
      </c>
      <c r="C17" s="531">
        <v>2</v>
      </c>
      <c r="D17" s="663" t="s">
        <v>470</v>
      </c>
      <c r="E17" s="664">
        <v>46267</v>
      </c>
      <c r="F17" s="663">
        <v>0.82399999999999995</v>
      </c>
      <c r="G17" s="663">
        <v>0.67</v>
      </c>
      <c r="H17" s="663">
        <v>9.7899999999999991</v>
      </c>
      <c r="M17" s="242">
        <v>14</v>
      </c>
      <c r="N17" s="14">
        <v>2</v>
      </c>
      <c r="O17" s="6" t="s">
        <v>507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2">
        <v>15</v>
      </c>
      <c r="C18" s="531">
        <v>2</v>
      </c>
      <c r="D18" s="663" t="s">
        <v>471</v>
      </c>
      <c r="E18" s="664">
        <v>46267</v>
      </c>
      <c r="F18" s="663">
        <v>0.75</v>
      </c>
      <c r="G18" s="663">
        <v>0.78</v>
      </c>
      <c r="H18" s="663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4">
        <v>15</v>
      </c>
      <c r="N18" s="485">
        <v>2</v>
      </c>
      <c r="O18" s="486" t="s">
        <v>502</v>
      </c>
      <c r="P18" s="487">
        <v>46267</v>
      </c>
      <c r="Q18" s="486">
        <v>0.95899999999999996</v>
      </c>
      <c r="R18" s="486">
        <v>0.62</v>
      </c>
      <c r="S18" s="48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2">
        <v>16</v>
      </c>
      <c r="C19" s="531">
        <v>2</v>
      </c>
      <c r="D19" s="663" t="s">
        <v>472</v>
      </c>
      <c r="E19" s="664">
        <v>46267</v>
      </c>
      <c r="F19" s="665">
        <v>0.63200000000000001</v>
      </c>
      <c r="G19" s="663">
        <v>1.103</v>
      </c>
      <c r="H19" s="663">
        <v>9.26</v>
      </c>
      <c r="M19" s="242">
        <v>16</v>
      </c>
      <c r="N19" s="14">
        <v>2</v>
      </c>
      <c r="O19" s="6" t="s">
        <v>499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2">
        <v>17</v>
      </c>
      <c r="C20" s="531">
        <v>2</v>
      </c>
      <c r="D20" s="663" t="s">
        <v>473</v>
      </c>
      <c r="E20" s="664">
        <v>46267</v>
      </c>
      <c r="F20" s="663">
        <v>0.63100000000000001</v>
      </c>
      <c r="G20" s="663">
        <v>1.008</v>
      </c>
      <c r="H20" s="663">
        <v>9.24</v>
      </c>
      <c r="M20" s="242">
        <v>17</v>
      </c>
      <c r="N20" s="14">
        <v>2</v>
      </c>
      <c r="O20" s="6" t="s">
        <v>500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2">
        <v>18</v>
      </c>
      <c r="C21" s="531">
        <v>2</v>
      </c>
      <c r="D21" s="663" t="s">
        <v>474</v>
      </c>
      <c r="E21" s="664">
        <v>46267</v>
      </c>
      <c r="F21" s="663">
        <v>0.67500000000000004</v>
      </c>
      <c r="G21" s="663">
        <v>1.089</v>
      </c>
      <c r="H21" s="663">
        <v>9.27</v>
      </c>
      <c r="M21" s="484">
        <v>18</v>
      </c>
      <c r="N21" s="485">
        <v>2</v>
      </c>
      <c r="O21" s="486" t="s">
        <v>502</v>
      </c>
      <c r="P21" s="487">
        <v>46268</v>
      </c>
      <c r="Q21" s="486">
        <v>0.76400000000000001</v>
      </c>
      <c r="R21" s="486">
        <v>0.67</v>
      </c>
      <c r="S21" s="486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2">
        <v>19</v>
      </c>
      <c r="C22" s="531">
        <v>2</v>
      </c>
      <c r="D22" s="663" t="s">
        <v>469</v>
      </c>
      <c r="E22" s="664">
        <v>46268</v>
      </c>
      <c r="F22" s="663">
        <v>0.66800000000000004</v>
      </c>
      <c r="G22" s="663">
        <v>0.61</v>
      </c>
      <c r="H22" s="663">
        <v>8.17</v>
      </c>
      <c r="M22" s="242">
        <v>19</v>
      </c>
      <c r="N22" s="14">
        <v>3</v>
      </c>
      <c r="O22" s="6" t="s">
        <v>503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2">
        <v>20</v>
      </c>
      <c r="C23" s="531">
        <v>2</v>
      </c>
      <c r="D23" s="663" t="s">
        <v>470</v>
      </c>
      <c r="E23" s="664">
        <v>46268</v>
      </c>
      <c r="F23" s="663">
        <v>0.59399999999999997</v>
      </c>
      <c r="G23" s="663">
        <v>0.71</v>
      </c>
      <c r="H23" s="663">
        <v>7.54</v>
      </c>
      <c r="M23" s="242">
        <v>20</v>
      </c>
      <c r="N23" s="14">
        <v>3</v>
      </c>
      <c r="O23" s="6" t="s">
        <v>498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2">
        <v>21</v>
      </c>
      <c r="C24" s="531">
        <v>2</v>
      </c>
      <c r="D24" s="663" t="s">
        <v>471</v>
      </c>
      <c r="E24" s="664">
        <v>46268</v>
      </c>
      <c r="F24" s="663">
        <v>0.72199999999999998</v>
      </c>
      <c r="G24" s="663">
        <v>0.85</v>
      </c>
      <c r="H24" s="663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499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3">
        <v>22</v>
      </c>
      <c r="C25" s="526">
        <v>3</v>
      </c>
      <c r="D25" s="660" t="s">
        <v>472</v>
      </c>
      <c r="E25" s="661">
        <v>46270</v>
      </c>
      <c r="F25" s="660">
        <v>1.0980000000000001</v>
      </c>
      <c r="G25" s="660">
        <v>0.82</v>
      </c>
      <c r="H25" s="660">
        <v>8.17</v>
      </c>
      <c r="M25" s="242">
        <v>21</v>
      </c>
      <c r="N25" s="14">
        <v>3</v>
      </c>
      <c r="O25" s="6" t="s">
        <v>501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3">
        <v>23</v>
      </c>
      <c r="C26" s="526">
        <v>3</v>
      </c>
      <c r="D26" s="660" t="s">
        <v>473</v>
      </c>
      <c r="E26" s="661">
        <v>46270</v>
      </c>
      <c r="F26" s="660">
        <v>1.0880000000000001</v>
      </c>
      <c r="G26" s="660">
        <v>0.75</v>
      </c>
      <c r="H26" s="660">
        <v>8.1</v>
      </c>
      <c r="M26" s="484">
        <v>21</v>
      </c>
      <c r="N26" s="485">
        <v>3</v>
      </c>
      <c r="O26" s="486" t="s">
        <v>502</v>
      </c>
      <c r="P26" s="487">
        <v>46271</v>
      </c>
      <c r="Q26" s="486">
        <v>1.1679999999999999</v>
      </c>
      <c r="R26" s="486">
        <v>0.83</v>
      </c>
      <c r="S26" s="486">
        <v>9.84</v>
      </c>
    </row>
    <row r="27" spans="2:28" x14ac:dyDescent="0.3">
      <c r="B27" s="623">
        <v>24</v>
      </c>
      <c r="C27" s="526">
        <v>3</v>
      </c>
      <c r="D27" s="660" t="s">
        <v>474</v>
      </c>
      <c r="E27" s="661">
        <v>46270</v>
      </c>
      <c r="F27" s="660">
        <v>1.075</v>
      </c>
      <c r="G27" s="660">
        <v>0.75</v>
      </c>
      <c r="H27" s="660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3">
        <v>25</v>
      </c>
      <c r="C28" s="526">
        <v>3</v>
      </c>
      <c r="D28" s="660" t="s">
        <v>469</v>
      </c>
      <c r="E28" s="661">
        <v>46271</v>
      </c>
      <c r="F28" s="660">
        <v>0.92</v>
      </c>
      <c r="G28" s="660">
        <v>0.56999999999999995</v>
      </c>
      <c r="H28" s="660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3">
        <v>26</v>
      </c>
      <c r="C29" s="526">
        <v>3</v>
      </c>
      <c r="D29" s="660" t="s">
        <v>470</v>
      </c>
      <c r="E29" s="661">
        <v>46271</v>
      </c>
      <c r="F29" s="660">
        <v>0.86</v>
      </c>
      <c r="G29" s="660">
        <v>0.54</v>
      </c>
      <c r="H29" s="660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3">
        <v>27</v>
      </c>
      <c r="C30" s="526">
        <v>3</v>
      </c>
      <c r="D30" s="660" t="s">
        <v>471</v>
      </c>
      <c r="E30" s="661">
        <v>46271</v>
      </c>
      <c r="F30" s="660">
        <v>0.92700000000000005</v>
      </c>
      <c r="G30" s="660">
        <v>0.6</v>
      </c>
      <c r="H30" s="660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3">
        <v>28</v>
      </c>
      <c r="C31" s="526">
        <v>3</v>
      </c>
      <c r="D31" s="660" t="s">
        <v>472</v>
      </c>
      <c r="E31" s="661">
        <v>46271</v>
      </c>
      <c r="F31" s="660">
        <v>0.78800000000000003</v>
      </c>
      <c r="G31" s="660">
        <v>0.62</v>
      </c>
      <c r="H31" s="660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3">
        <v>29</v>
      </c>
      <c r="C32" s="526">
        <v>3</v>
      </c>
      <c r="D32" s="660" t="s">
        <v>473</v>
      </c>
      <c r="E32" s="661">
        <v>46271</v>
      </c>
      <c r="F32" s="660">
        <v>0.74199999999999999</v>
      </c>
      <c r="G32" s="660">
        <v>0.6</v>
      </c>
      <c r="H32" s="660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3">
        <v>30</v>
      </c>
      <c r="C33" s="526">
        <v>3</v>
      </c>
      <c r="D33" s="660" t="s">
        <v>474</v>
      </c>
      <c r="E33" s="661">
        <v>46271</v>
      </c>
      <c r="F33" s="660">
        <v>0.91300000000000003</v>
      </c>
      <c r="G33" s="660">
        <v>0.68</v>
      </c>
      <c r="H33" s="660">
        <v>9.42</v>
      </c>
    </row>
    <row r="34" spans="2:8" x14ac:dyDescent="0.3">
      <c r="B34" s="623">
        <v>31</v>
      </c>
      <c r="C34" s="660"/>
      <c r="D34" s="660" t="s">
        <v>469</v>
      </c>
      <c r="E34" s="661">
        <v>46272</v>
      </c>
      <c r="F34" s="660">
        <v>0.91100000000000003</v>
      </c>
      <c r="G34" s="660">
        <v>0.95</v>
      </c>
      <c r="H34" s="660">
        <v>9.3800000000000008</v>
      </c>
    </row>
    <row r="35" spans="2:8" x14ac:dyDescent="0.3">
      <c r="B35" s="623">
        <v>32</v>
      </c>
      <c r="C35" s="660"/>
      <c r="D35" s="660" t="s">
        <v>470</v>
      </c>
      <c r="E35" s="661">
        <v>46272</v>
      </c>
      <c r="F35" s="660">
        <v>0.95199999999999996</v>
      </c>
      <c r="G35" s="660">
        <v>0.98</v>
      </c>
      <c r="H35" s="660">
        <v>9.4</v>
      </c>
    </row>
    <row r="36" spans="2:8" x14ac:dyDescent="0.3">
      <c r="B36" s="623">
        <v>33</v>
      </c>
      <c r="C36" s="660"/>
      <c r="D36" s="660" t="s">
        <v>471</v>
      </c>
      <c r="E36" s="661">
        <v>46272</v>
      </c>
      <c r="F36" s="660">
        <v>0.873</v>
      </c>
      <c r="G36" s="660">
        <v>0.93</v>
      </c>
      <c r="H36" s="660">
        <v>9.41</v>
      </c>
    </row>
    <row r="37" spans="2:8" x14ac:dyDescent="0.3">
      <c r="B37" s="662">
        <v>34</v>
      </c>
      <c r="C37" s="974">
        <v>4</v>
      </c>
      <c r="D37" s="663" t="s">
        <v>472</v>
      </c>
      <c r="E37" s="664">
        <v>46272</v>
      </c>
      <c r="F37" s="663">
        <v>0.53100000000000003</v>
      </c>
      <c r="G37" s="663">
        <v>1.07</v>
      </c>
      <c r="H37" s="663">
        <v>8.8699999999999992</v>
      </c>
    </row>
    <row r="38" spans="2:8" x14ac:dyDescent="0.3">
      <c r="B38" s="662">
        <v>35</v>
      </c>
      <c r="C38" s="975"/>
      <c r="D38" s="663" t="s">
        <v>473</v>
      </c>
      <c r="E38" s="664">
        <v>46272</v>
      </c>
      <c r="F38" s="663">
        <v>0.501</v>
      </c>
      <c r="G38" s="663">
        <v>1.1200000000000001</v>
      </c>
      <c r="H38" s="663">
        <v>8.99</v>
      </c>
    </row>
    <row r="39" spans="2:8" x14ac:dyDescent="0.3">
      <c r="B39" s="662">
        <v>36</v>
      </c>
      <c r="C39" s="975"/>
      <c r="D39" s="663" t="s">
        <v>474</v>
      </c>
      <c r="E39" s="664">
        <v>46272</v>
      </c>
      <c r="F39" s="663">
        <v>0.55900000000000005</v>
      </c>
      <c r="G39" s="663">
        <v>1.02</v>
      </c>
      <c r="H39" s="663">
        <v>8.92</v>
      </c>
    </row>
    <row r="40" spans="2:8" x14ac:dyDescent="0.3">
      <c r="B40" s="662">
        <v>37</v>
      </c>
      <c r="C40" s="975"/>
      <c r="D40" s="663" t="s">
        <v>469</v>
      </c>
      <c r="E40" s="664">
        <v>46273</v>
      </c>
      <c r="F40" s="663">
        <v>0.66400000000000003</v>
      </c>
      <c r="G40" s="663">
        <v>0.98</v>
      </c>
      <c r="H40" s="663">
        <v>9.0500000000000007</v>
      </c>
    </row>
    <row r="41" spans="2:8" x14ac:dyDescent="0.3">
      <c r="B41" s="662">
        <v>38</v>
      </c>
      <c r="C41" s="975"/>
      <c r="D41" s="663" t="s">
        <v>470</v>
      </c>
      <c r="E41" s="664">
        <v>46273</v>
      </c>
      <c r="F41" s="663">
        <v>0.64500000000000002</v>
      </c>
      <c r="G41" s="663">
        <v>0.94</v>
      </c>
      <c r="H41" s="663">
        <v>9.0299999999999994</v>
      </c>
    </row>
    <row r="42" spans="2:8" x14ac:dyDescent="0.3">
      <c r="B42" s="662">
        <v>39</v>
      </c>
      <c r="C42" s="975"/>
      <c r="D42" s="663" t="s">
        <v>471</v>
      </c>
      <c r="E42" s="664">
        <v>46273</v>
      </c>
      <c r="F42" s="663">
        <v>0.63100000000000001</v>
      </c>
      <c r="G42" s="663">
        <v>0.97</v>
      </c>
      <c r="H42" s="663">
        <v>9.23</v>
      </c>
    </row>
    <row r="43" spans="2:8" x14ac:dyDescent="0.3">
      <c r="B43" s="662">
        <v>40</v>
      </c>
      <c r="C43" s="975"/>
      <c r="D43" s="663" t="s">
        <v>472</v>
      </c>
      <c r="E43" s="664">
        <v>46273</v>
      </c>
      <c r="F43" s="663">
        <v>0.61</v>
      </c>
      <c r="G43" s="663">
        <v>1.01</v>
      </c>
      <c r="H43" s="663">
        <v>7.79</v>
      </c>
    </row>
    <row r="44" spans="2:8" x14ac:dyDescent="0.3">
      <c r="B44" s="662">
        <v>41</v>
      </c>
      <c r="C44" s="975"/>
      <c r="D44" s="663" t="s">
        <v>473</v>
      </c>
      <c r="E44" s="664">
        <v>46273</v>
      </c>
      <c r="F44" s="663">
        <v>0.63300000000000001</v>
      </c>
      <c r="G44" s="663">
        <v>1.05</v>
      </c>
      <c r="H44" s="663">
        <v>7.71</v>
      </c>
    </row>
    <row r="45" spans="2:8" x14ac:dyDescent="0.3">
      <c r="B45" s="662">
        <v>42</v>
      </c>
      <c r="C45" s="975"/>
      <c r="D45" s="663" t="s">
        <v>474</v>
      </c>
      <c r="E45" s="664">
        <v>46273</v>
      </c>
      <c r="F45" s="663">
        <v>0.66200000000000003</v>
      </c>
      <c r="G45" s="663">
        <v>1.04</v>
      </c>
      <c r="H45" s="663">
        <v>7.93</v>
      </c>
    </row>
    <row r="46" spans="2:8" x14ac:dyDescent="0.3">
      <c r="B46" s="662">
        <v>43</v>
      </c>
      <c r="C46" s="975"/>
      <c r="D46" s="663" t="s">
        <v>469</v>
      </c>
      <c r="E46" s="664">
        <v>46274</v>
      </c>
      <c r="F46" s="666">
        <v>0.59599999999999997</v>
      </c>
      <c r="G46" s="663">
        <v>0.64</v>
      </c>
      <c r="H46" s="663">
        <v>7.27</v>
      </c>
    </row>
    <row r="47" spans="2:8" x14ac:dyDescent="0.3">
      <c r="B47" s="662">
        <v>44</v>
      </c>
      <c r="C47" s="975"/>
      <c r="D47" s="663" t="s">
        <v>470</v>
      </c>
      <c r="E47" s="664">
        <v>46274</v>
      </c>
      <c r="F47" s="663">
        <v>0.59399999999999997</v>
      </c>
      <c r="G47" s="663">
        <v>0.68</v>
      </c>
      <c r="H47" s="663">
        <v>7.24</v>
      </c>
    </row>
    <row r="48" spans="2:8" x14ac:dyDescent="0.3">
      <c r="B48" s="662">
        <v>45</v>
      </c>
      <c r="C48" s="976"/>
      <c r="D48" s="663" t="s">
        <v>471</v>
      </c>
      <c r="E48" s="664">
        <v>46274</v>
      </c>
      <c r="F48" s="663">
        <v>0.58699999999999997</v>
      </c>
      <c r="G48" s="663">
        <v>0.68</v>
      </c>
      <c r="H48" s="663">
        <v>7.21</v>
      </c>
    </row>
    <row r="49" spans="2:8" x14ac:dyDescent="0.3">
      <c r="B49" s="242">
        <v>46</v>
      </c>
      <c r="C49" s="6"/>
      <c r="D49" s="6" t="s">
        <v>472</v>
      </c>
      <c r="E49" s="459">
        <v>46274</v>
      </c>
      <c r="F49" s="6" t="s">
        <v>547</v>
      </c>
      <c r="G49" s="6"/>
      <c r="H49" s="6"/>
    </row>
    <row r="50" spans="2:8" x14ac:dyDescent="0.3">
      <c r="B50" s="242">
        <v>47</v>
      </c>
      <c r="C50" s="6"/>
      <c r="D50" s="6" t="s">
        <v>473</v>
      </c>
      <c r="E50" s="459">
        <v>46274</v>
      </c>
      <c r="F50" s="6" t="s">
        <v>548</v>
      </c>
      <c r="G50" s="6"/>
      <c r="H50" s="6"/>
    </row>
    <row r="51" spans="2:8" x14ac:dyDescent="0.3">
      <c r="B51" s="242">
        <v>48</v>
      </c>
      <c r="C51" s="6"/>
      <c r="D51" s="6" t="s">
        <v>474</v>
      </c>
      <c r="E51" s="459">
        <v>46274</v>
      </c>
      <c r="F51" s="6"/>
      <c r="G51" s="6"/>
      <c r="H51" s="6"/>
    </row>
    <row r="52" spans="2:8" x14ac:dyDescent="0.3">
      <c r="B52" s="662">
        <v>49</v>
      </c>
      <c r="C52" s="971">
        <v>5</v>
      </c>
      <c r="D52" s="663" t="s">
        <v>469</v>
      </c>
      <c r="E52" s="664">
        <v>46275</v>
      </c>
      <c r="F52" s="663">
        <v>0.79600000000000004</v>
      </c>
      <c r="G52" s="663">
        <v>0.64</v>
      </c>
      <c r="H52" s="663">
        <v>9.08</v>
      </c>
    </row>
    <row r="53" spans="2:8" x14ac:dyDescent="0.3">
      <c r="B53" s="662">
        <v>50</v>
      </c>
      <c r="C53" s="972"/>
      <c r="D53" s="663" t="s">
        <v>470</v>
      </c>
      <c r="E53" s="664">
        <v>46275</v>
      </c>
      <c r="F53" s="663">
        <v>0.82599999999999996</v>
      </c>
      <c r="G53" s="663">
        <v>0.72</v>
      </c>
      <c r="H53" s="663">
        <v>8.82</v>
      </c>
    </row>
    <row r="54" spans="2:8" x14ac:dyDescent="0.3">
      <c r="B54" s="662">
        <v>51</v>
      </c>
      <c r="C54" s="972"/>
      <c r="D54" s="663" t="s">
        <v>471</v>
      </c>
      <c r="E54" s="664">
        <v>46275</v>
      </c>
      <c r="F54" s="663">
        <v>0.73</v>
      </c>
      <c r="G54" s="663">
        <v>0.63</v>
      </c>
      <c r="H54" s="663">
        <v>8.57</v>
      </c>
    </row>
    <row r="55" spans="2:8" x14ac:dyDescent="0.3">
      <c r="B55" s="662">
        <v>52</v>
      </c>
      <c r="C55" s="972"/>
      <c r="D55" s="663" t="s">
        <v>472</v>
      </c>
      <c r="E55" s="664">
        <v>46275</v>
      </c>
      <c r="F55" s="663">
        <v>0.49299999999999999</v>
      </c>
      <c r="G55" s="663">
        <v>0.45</v>
      </c>
      <c r="H55" s="663">
        <v>9.11</v>
      </c>
    </row>
    <row r="56" spans="2:8" x14ac:dyDescent="0.3">
      <c r="B56" s="662">
        <v>53</v>
      </c>
      <c r="C56" s="972"/>
      <c r="D56" s="663" t="s">
        <v>473</v>
      </c>
      <c r="E56" s="664">
        <v>46275</v>
      </c>
      <c r="F56" s="663">
        <v>0.497</v>
      </c>
      <c r="G56" s="663">
        <v>0.52</v>
      </c>
      <c r="H56" s="663">
        <v>9.36</v>
      </c>
    </row>
    <row r="57" spans="2:8" x14ac:dyDescent="0.3">
      <c r="B57" s="662">
        <v>54</v>
      </c>
      <c r="C57" s="972"/>
      <c r="D57" s="663" t="s">
        <v>474</v>
      </c>
      <c r="E57" s="664">
        <v>46275</v>
      </c>
      <c r="F57" s="663">
        <v>0.55800000000000005</v>
      </c>
      <c r="G57" s="663">
        <v>0.32</v>
      </c>
      <c r="H57" s="663">
        <v>9.36</v>
      </c>
    </row>
    <row r="58" spans="2:8" x14ac:dyDescent="0.3">
      <c r="B58" s="662">
        <v>55</v>
      </c>
      <c r="C58" s="972"/>
      <c r="D58" s="663" t="s">
        <v>469</v>
      </c>
      <c r="E58" s="664">
        <v>46276</v>
      </c>
      <c r="F58" s="663">
        <v>1.3759999999999999</v>
      </c>
      <c r="G58" s="663">
        <v>0.99</v>
      </c>
      <c r="H58" s="663">
        <v>9.2100000000000009</v>
      </c>
    </row>
    <row r="59" spans="2:8" x14ac:dyDescent="0.3">
      <c r="B59" s="662">
        <v>56</v>
      </c>
      <c r="C59" s="972"/>
      <c r="D59" s="663" t="s">
        <v>470</v>
      </c>
      <c r="E59" s="664">
        <v>46276</v>
      </c>
      <c r="F59" s="663">
        <v>1.468</v>
      </c>
      <c r="G59" s="663">
        <v>0.93</v>
      </c>
      <c r="H59" s="663">
        <v>8.94</v>
      </c>
    </row>
    <row r="60" spans="2:8" x14ac:dyDescent="0.3">
      <c r="B60" s="662">
        <v>57</v>
      </c>
      <c r="C60" s="973"/>
      <c r="D60" s="663" t="s">
        <v>471</v>
      </c>
      <c r="E60" s="664">
        <v>46276</v>
      </c>
      <c r="F60" s="663">
        <v>1.4419999999999999</v>
      </c>
      <c r="G60" s="663">
        <v>1.06</v>
      </c>
      <c r="H60" s="663">
        <v>9.25</v>
      </c>
    </row>
    <row r="61" spans="2:8" x14ac:dyDescent="0.3">
      <c r="B61" s="736">
        <v>58</v>
      </c>
      <c r="C61" s="977"/>
      <c r="D61" s="689" t="s">
        <v>472</v>
      </c>
      <c r="E61" s="737">
        <v>46276</v>
      </c>
      <c r="F61" s="689">
        <v>0.28000000000000003</v>
      </c>
      <c r="G61" s="689">
        <v>0.56000000000000005</v>
      </c>
      <c r="H61" s="689">
        <v>7.41</v>
      </c>
    </row>
    <row r="62" spans="2:8" x14ac:dyDescent="0.3">
      <c r="B62" s="736">
        <v>59</v>
      </c>
      <c r="C62" s="978"/>
      <c r="D62" s="689" t="s">
        <v>473</v>
      </c>
      <c r="E62" s="737">
        <v>46276</v>
      </c>
      <c r="F62" s="689">
        <v>0.23300000000000001</v>
      </c>
      <c r="G62" s="689">
        <v>0.66</v>
      </c>
      <c r="H62" s="689">
        <v>7.27</v>
      </c>
    </row>
    <row r="63" spans="2:8" x14ac:dyDescent="0.3">
      <c r="B63" s="736">
        <v>60</v>
      </c>
      <c r="C63" s="979"/>
      <c r="D63" s="689" t="s">
        <v>474</v>
      </c>
      <c r="E63" s="737">
        <v>46276</v>
      </c>
      <c r="F63" s="689">
        <v>0.28199999999999997</v>
      </c>
      <c r="G63" s="689">
        <v>0.5</v>
      </c>
      <c r="H63" s="689">
        <v>8.1</v>
      </c>
    </row>
    <row r="64" spans="2:8" x14ac:dyDescent="0.3">
      <c r="B64" s="736">
        <v>61</v>
      </c>
      <c r="C64" s="689"/>
      <c r="D64" s="689" t="s">
        <v>469</v>
      </c>
      <c r="E64" s="737">
        <v>46277</v>
      </c>
      <c r="F64" s="689">
        <v>0.27800000000000002</v>
      </c>
      <c r="G64" s="689">
        <v>0.54</v>
      </c>
      <c r="H64" s="689">
        <v>6.85</v>
      </c>
    </row>
    <row r="65" spans="2:8" x14ac:dyDescent="0.3">
      <c r="B65" s="736">
        <v>62</v>
      </c>
      <c r="C65" s="689"/>
      <c r="D65" s="689" t="s">
        <v>470</v>
      </c>
      <c r="E65" s="737">
        <v>46277</v>
      </c>
      <c r="F65" s="689">
        <v>0.313</v>
      </c>
      <c r="G65" s="689">
        <v>0.71</v>
      </c>
      <c r="H65" s="689">
        <v>6.29</v>
      </c>
    </row>
    <row r="66" spans="2:8" x14ac:dyDescent="0.3">
      <c r="B66" s="736">
        <v>63</v>
      </c>
      <c r="C66" s="689"/>
      <c r="D66" s="689" t="s">
        <v>471</v>
      </c>
      <c r="E66" s="737">
        <v>46277</v>
      </c>
      <c r="F66" s="689">
        <v>0.32500000000000001</v>
      </c>
      <c r="G66" s="689">
        <v>0.41</v>
      </c>
      <c r="H66" s="689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80" t="s">
        <v>416</v>
      </c>
      <c r="C2" s="981"/>
      <c r="D2" s="981"/>
      <c r="E2" s="981"/>
      <c r="F2" s="981"/>
      <c r="G2" s="981"/>
      <c r="H2" s="981"/>
      <c r="I2" s="981"/>
      <c r="J2" s="981"/>
      <c r="K2" s="981"/>
      <c r="L2" s="981"/>
      <c r="M2" s="982"/>
      <c r="AD2" s="14">
        <v>2</v>
      </c>
      <c r="AE2" s="14">
        <v>9.9000000000000005E-2</v>
      </c>
    </row>
    <row r="3" spans="2:31" ht="15" thickBot="1" x14ac:dyDescent="0.35">
      <c r="B3" s="980" t="s">
        <v>198</v>
      </c>
      <c r="C3" s="981"/>
      <c r="D3" s="981"/>
      <c r="E3" s="981"/>
      <c r="F3" s="981"/>
      <c r="G3" s="981"/>
      <c r="H3" s="981"/>
      <c r="I3" s="981"/>
      <c r="J3" s="981"/>
      <c r="K3" s="981"/>
      <c r="L3" s="981"/>
      <c r="M3" s="982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376</v>
      </c>
      <c r="K7" s="372" t="s">
        <v>377</v>
      </c>
      <c r="L7" s="372" t="s">
        <v>186</v>
      </c>
      <c r="M7" s="372" t="s">
        <v>196</v>
      </c>
      <c r="Q7" s="925" t="s">
        <v>342</v>
      </c>
      <c r="R7" s="925"/>
      <c r="S7" s="925"/>
      <c r="T7" s="925"/>
      <c r="U7" s="925"/>
      <c r="V7" s="925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339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343</v>
      </c>
      <c r="S8" s="264" t="s">
        <v>1</v>
      </c>
      <c r="T8" s="264" t="s">
        <v>344</v>
      </c>
      <c r="U8" s="264" t="s">
        <v>345</v>
      </c>
      <c r="V8" s="264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340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417</v>
      </c>
      <c r="O9" s="120">
        <f>AVERAGE(L8:L39)</f>
        <v>1.7073333333333334</v>
      </c>
      <c r="Q9" s="14">
        <v>1</v>
      </c>
      <c r="R9" s="6" t="s">
        <v>347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341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348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339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349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340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350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378</v>
      </c>
      <c r="F13" s="14" t="s">
        <v>378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351</v>
      </c>
      <c r="S13" s="64">
        <v>46197</v>
      </c>
      <c r="T13" s="6">
        <v>0.94399999999999995</v>
      </c>
      <c r="U13" s="6"/>
      <c r="V13" s="6"/>
      <c r="Y13" s="266" t="s">
        <v>372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379</v>
      </c>
      <c r="F14" s="14" t="s">
        <v>379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339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353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339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354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339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355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339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356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339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357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339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339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359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339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361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362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339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363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364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339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367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368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362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363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364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365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339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366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367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368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369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370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83" t="s">
        <v>419</v>
      </c>
      <c r="AH39" s="984"/>
      <c r="AI39" s="984"/>
      <c r="AJ39" s="984"/>
      <c r="AK39" s="984"/>
      <c r="AL39" s="985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371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86"/>
      <c r="AH40" s="906"/>
      <c r="AI40" s="906"/>
      <c r="AJ40" s="906"/>
      <c r="AK40" s="906"/>
      <c r="AL40" s="987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380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381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436</v>
      </c>
      <c r="M43" s="400">
        <f>M40/J41</f>
        <v>1.8751051010170703</v>
      </c>
      <c r="Q43" s="212">
        <v>35</v>
      </c>
      <c r="R43" s="212" t="s">
        <v>382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383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384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385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375</v>
      </c>
      <c r="C47" s="75">
        <v>46245</v>
      </c>
      <c r="D47" s="14" t="s">
        <v>373</v>
      </c>
      <c r="E47" s="14" t="s">
        <v>374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386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387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388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389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390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391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395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396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397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398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399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400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401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402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403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404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405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406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407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408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409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389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390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391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410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411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395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397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399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401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403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405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407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409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390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410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412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395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397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399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401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403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405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407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409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390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397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399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401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403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405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407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409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390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410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395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397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399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401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403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405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407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409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390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403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988" t="s">
        <v>431</v>
      </c>
      <c r="C112" s="988"/>
      <c r="D112" s="988"/>
      <c r="E112" s="988"/>
      <c r="F112" s="988"/>
      <c r="G112" s="988"/>
      <c r="H112" s="988"/>
      <c r="I112" s="988"/>
      <c r="J112" s="988"/>
      <c r="Q112" s="212">
        <v>104</v>
      </c>
      <c r="R112" s="212" t="s">
        <v>405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988"/>
      <c r="C113" s="988"/>
      <c r="D113" s="988"/>
      <c r="E113" s="988"/>
      <c r="F113" s="988"/>
      <c r="G113" s="988"/>
      <c r="H113" s="988"/>
      <c r="I113" s="988"/>
      <c r="J113" s="988"/>
      <c r="Q113" s="212">
        <v>105</v>
      </c>
      <c r="R113" s="212" t="s">
        <v>407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409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390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410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412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395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397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399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403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405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407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409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390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410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395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397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399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401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403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405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407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409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390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410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412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397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442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443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444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438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93" t="s">
        <v>123</v>
      </c>
      <c r="C1" s="993"/>
      <c r="D1" s="993"/>
      <c r="E1" s="993"/>
      <c r="F1" s="993"/>
      <c r="G1" s="993"/>
      <c r="H1" s="993"/>
      <c r="I1" s="993"/>
      <c r="J1" s="993"/>
      <c r="K1" s="993"/>
      <c r="L1" s="993"/>
    </row>
    <row r="2" spans="1:27" ht="18" x14ac:dyDescent="0.35">
      <c r="F2" s="997" t="s">
        <v>427</v>
      </c>
      <c r="G2" s="997"/>
      <c r="H2" s="997"/>
      <c r="I2" s="997"/>
      <c r="J2" s="997"/>
    </row>
    <row r="3" spans="1:27" ht="15" thickBot="1" x14ac:dyDescent="0.35">
      <c r="A3" s="907" t="s">
        <v>199</v>
      </c>
      <c r="B3" s="994"/>
      <c r="C3" s="994"/>
      <c r="D3" s="994"/>
      <c r="E3" s="994"/>
      <c r="F3" s="994"/>
      <c r="G3" s="908"/>
    </row>
    <row r="4" spans="1:27" ht="15" thickBot="1" x14ac:dyDescent="0.35">
      <c r="A4" s="995" t="s">
        <v>1</v>
      </c>
      <c r="B4" s="996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989">
        <v>46252</v>
      </c>
      <c r="B6" s="990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393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989">
        <v>46253</v>
      </c>
      <c r="B7" s="990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394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989">
        <v>46254</v>
      </c>
      <c r="B8" s="990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991" t="s">
        <v>210</v>
      </c>
      <c r="AA8" s="992"/>
    </row>
    <row r="9" spans="1:27" x14ac:dyDescent="0.3">
      <c r="A9" s="989">
        <v>46255</v>
      </c>
      <c r="B9" s="990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428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989">
        <v>46256</v>
      </c>
      <c r="B10" s="990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421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989">
        <v>46257</v>
      </c>
      <c r="B11" s="990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422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989">
        <v>46258</v>
      </c>
      <c r="B12" s="990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423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989">
        <v>46259</v>
      </c>
      <c r="B13" s="990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422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989">
        <v>46260</v>
      </c>
      <c r="B14" s="990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422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989">
        <v>46261</v>
      </c>
      <c r="B15" s="990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429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989">
        <v>46262</v>
      </c>
      <c r="B16" s="990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430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989">
        <v>46263</v>
      </c>
      <c r="B17" s="990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439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989">
        <v>46264</v>
      </c>
      <c r="B18" s="990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989">
        <v>46265</v>
      </c>
      <c r="B19" s="990"/>
      <c r="C19" s="66"/>
      <c r="D19" s="62"/>
      <c r="E19" s="62"/>
      <c r="F19" s="63">
        <f t="shared" si="0"/>
        <v>0</v>
      </c>
      <c r="G19" s="418" t="s">
        <v>441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989">
        <v>46266</v>
      </c>
      <c r="B20" s="990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989">
        <v>46267</v>
      </c>
      <c r="B21" s="990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989">
        <v>46268</v>
      </c>
      <c r="B22" s="990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989">
        <v>46269</v>
      </c>
      <c r="B23" s="990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989">
        <v>46270</v>
      </c>
      <c r="B24" s="990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989">
        <v>46271</v>
      </c>
      <c r="B25" s="990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989">
        <v>46272</v>
      </c>
      <c r="B26" s="990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989">
        <v>46273</v>
      </c>
      <c r="B27" s="990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989">
        <v>46274</v>
      </c>
      <c r="B28" s="990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989">
        <v>46275</v>
      </c>
      <c r="B29" s="990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989">
        <v>46276</v>
      </c>
      <c r="B30" s="990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989">
        <v>46277</v>
      </c>
      <c r="B31" s="990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989">
        <v>46278</v>
      </c>
      <c r="B32" s="990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989">
        <v>46279</v>
      </c>
      <c r="B33" s="990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989">
        <v>46280</v>
      </c>
      <c r="B34" s="990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989">
        <v>46281</v>
      </c>
      <c r="B35" s="990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989">
        <v>46282</v>
      </c>
      <c r="B36" s="990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989">
        <v>46283</v>
      </c>
      <c r="B37" s="990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989">
        <v>46284</v>
      </c>
      <c r="B38" s="990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989">
        <v>46285</v>
      </c>
      <c r="B39" s="990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989">
        <v>46286</v>
      </c>
      <c r="B40" s="990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989">
        <v>46287</v>
      </c>
      <c r="B41" s="990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989">
        <v>46288</v>
      </c>
      <c r="B42" s="990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424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0" activePane="bottomLeft" state="frozen"/>
      <selection pane="bottomLeft" activeCell="C29" sqref="C29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7" bestFit="1" customWidth="1"/>
    <col min="9" max="9" width="8.77734375" style="140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1007" t="s">
        <v>64</v>
      </c>
      <c r="B3" s="1007"/>
      <c r="C3" s="1007"/>
      <c r="D3" s="1007"/>
      <c r="E3" s="1007"/>
      <c r="F3" s="1007"/>
      <c r="G3" s="1007"/>
      <c r="H3" s="1007"/>
      <c r="I3" s="1007"/>
    </row>
    <row r="4" spans="1:22" x14ac:dyDescent="0.3">
      <c r="A4" s="1007" t="s">
        <v>1</v>
      </c>
      <c r="B4" s="1007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299</v>
      </c>
      <c r="P4" s="134" t="s">
        <v>65</v>
      </c>
    </row>
    <row r="5" spans="1:22" ht="43.2" x14ac:dyDescent="0.3">
      <c r="A5" s="1008">
        <v>46265</v>
      </c>
      <c r="B5" s="891"/>
      <c r="C5" s="630" t="s">
        <v>13</v>
      </c>
      <c r="D5" s="637" t="s">
        <v>170</v>
      </c>
      <c r="E5" s="631">
        <v>6.9444444444444447E-4</v>
      </c>
      <c r="F5" s="545">
        <v>6.5972222222222224E-2</v>
      </c>
      <c r="G5" s="546">
        <f>(F5-E5)*1440</f>
        <v>94</v>
      </c>
      <c r="H5" s="632" t="s">
        <v>455</v>
      </c>
      <c r="I5" s="1002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1008">
        <v>46266</v>
      </c>
      <c r="B6" s="891"/>
      <c r="C6" s="544" t="s">
        <v>14</v>
      </c>
      <c r="D6" s="638" t="s">
        <v>170</v>
      </c>
      <c r="E6" s="545">
        <v>6.9444444444444447E-4</v>
      </c>
      <c r="F6" s="545">
        <v>4.6527777777777779E-2</v>
      </c>
      <c r="G6" s="546">
        <f t="shared" ref="G6:G39" si="0">(F6-E6)*1440</f>
        <v>66</v>
      </c>
      <c r="H6" s="633" t="s">
        <v>486</v>
      </c>
      <c r="I6" s="1004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1009">
        <v>46267</v>
      </c>
      <c r="B7" s="896"/>
      <c r="C7" s="541" t="s">
        <v>13</v>
      </c>
      <c r="D7" s="639" t="s">
        <v>223</v>
      </c>
      <c r="E7" s="542">
        <v>6.9444444444444447E-4</v>
      </c>
      <c r="F7" s="542">
        <v>8.4027777777777785E-2</v>
      </c>
      <c r="G7" s="543">
        <f t="shared" si="0"/>
        <v>120.00000000000001</v>
      </c>
      <c r="H7" s="634" t="s">
        <v>487</v>
      </c>
      <c r="I7" s="971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1009">
        <v>46268</v>
      </c>
      <c r="B8" s="896"/>
      <c r="C8" s="541" t="s">
        <v>14</v>
      </c>
      <c r="D8" s="640" t="s">
        <v>170</v>
      </c>
      <c r="E8" s="542">
        <v>6.9444444444444447E-4</v>
      </c>
      <c r="F8" s="542">
        <v>0.54166666666666663</v>
      </c>
      <c r="G8" s="543">
        <f t="shared" si="0"/>
        <v>779</v>
      </c>
      <c r="H8" s="634" t="s">
        <v>477</v>
      </c>
      <c r="I8" s="972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1009">
        <v>46269</v>
      </c>
      <c r="B9" s="896"/>
      <c r="C9" s="541" t="s">
        <v>13</v>
      </c>
      <c r="D9" s="641" t="s">
        <v>223</v>
      </c>
      <c r="E9" s="635">
        <v>6.9444444444444447E-4</v>
      </c>
      <c r="F9" s="542">
        <v>0.99930555555555556</v>
      </c>
      <c r="G9" s="543">
        <f t="shared" si="0"/>
        <v>1438</v>
      </c>
      <c r="H9" s="636" t="s">
        <v>485</v>
      </c>
      <c r="I9" s="973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1008">
        <v>46270</v>
      </c>
      <c r="B10" s="891"/>
      <c r="C10" s="544" t="s">
        <v>14</v>
      </c>
      <c r="D10" s="646" t="s">
        <v>170</v>
      </c>
      <c r="E10" s="545">
        <v>6.9444444444444447E-4</v>
      </c>
      <c r="F10" s="545">
        <v>0.54166666666666663</v>
      </c>
      <c r="G10" s="546">
        <f>(F10-E10)*1440</f>
        <v>779</v>
      </c>
      <c r="H10" s="647" t="s">
        <v>497</v>
      </c>
      <c r="I10" s="1002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1008">
        <v>46271</v>
      </c>
      <c r="B11" s="891"/>
      <c r="C11" s="544" t="s">
        <v>13</v>
      </c>
      <c r="D11" s="648" t="s">
        <v>517</v>
      </c>
      <c r="E11" s="545">
        <v>6.9444444444444447E-4</v>
      </c>
      <c r="F11" s="545">
        <v>0.18124999999999999</v>
      </c>
      <c r="G11" s="546">
        <f>(F11-E11)*720</f>
        <v>130</v>
      </c>
      <c r="H11" s="649" t="s">
        <v>519</v>
      </c>
      <c r="I11" s="1003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1008">
        <v>46271</v>
      </c>
      <c r="B12" s="891"/>
      <c r="C12" s="544" t="s">
        <v>14</v>
      </c>
      <c r="D12" s="648" t="s">
        <v>518</v>
      </c>
      <c r="E12" s="545"/>
      <c r="F12" s="545"/>
      <c r="G12" s="546">
        <f t="shared" si="0"/>
        <v>0</v>
      </c>
      <c r="H12" s="649" t="s">
        <v>526</v>
      </c>
      <c r="I12" s="1003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534</v>
      </c>
    </row>
    <row r="13" spans="1:22" ht="72" x14ac:dyDescent="0.3">
      <c r="A13" s="1008">
        <v>46272</v>
      </c>
      <c r="B13" s="891"/>
      <c r="C13" s="544" t="s">
        <v>13</v>
      </c>
      <c r="D13" s="650" t="s">
        <v>170</v>
      </c>
      <c r="E13" s="545">
        <v>6.9444444444444447E-4</v>
      </c>
      <c r="F13" s="545">
        <v>1.3888888888888888E-2</v>
      </c>
      <c r="G13" s="546">
        <f t="shared" si="0"/>
        <v>19</v>
      </c>
      <c r="H13" s="651" t="s">
        <v>535</v>
      </c>
      <c r="I13" s="1004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1009">
        <v>46272</v>
      </c>
      <c r="B14" s="896"/>
      <c r="C14" s="541" t="s">
        <v>14</v>
      </c>
      <c r="D14" s="652" t="s">
        <v>170</v>
      </c>
      <c r="E14" s="542">
        <v>6.9444444444444447E-4</v>
      </c>
      <c r="F14" s="542">
        <v>5.2083333333333336E-2</v>
      </c>
      <c r="G14" s="543">
        <f t="shared" si="0"/>
        <v>74</v>
      </c>
      <c r="H14" s="547" t="s">
        <v>536</v>
      </c>
      <c r="I14" s="971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541</v>
      </c>
    </row>
    <row r="15" spans="1:22" ht="72" x14ac:dyDescent="0.3">
      <c r="A15" s="1009">
        <v>46273</v>
      </c>
      <c r="B15" s="896"/>
      <c r="C15" s="541" t="s">
        <v>13</v>
      </c>
      <c r="D15" s="652" t="s">
        <v>170</v>
      </c>
      <c r="E15" s="542">
        <v>6.9444444444444447E-4</v>
      </c>
      <c r="F15" s="542">
        <v>7.013888888888889E-2</v>
      </c>
      <c r="G15" s="543">
        <f>(F15-E15)*1440</f>
        <v>100</v>
      </c>
      <c r="H15" s="653" t="s">
        <v>529</v>
      </c>
      <c r="I15" s="972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1009">
        <v>46273</v>
      </c>
      <c r="B16" s="896"/>
      <c r="C16" s="541" t="s">
        <v>14</v>
      </c>
      <c r="D16" s="654" t="s">
        <v>533</v>
      </c>
      <c r="E16" s="542">
        <v>6.9444444444444447E-4</v>
      </c>
      <c r="F16" s="542">
        <v>0.10694444444444444</v>
      </c>
      <c r="G16" s="543">
        <f>(F16-E16)*1440</f>
        <v>153</v>
      </c>
      <c r="H16" s="547" t="s">
        <v>537</v>
      </c>
      <c r="I16" s="972"/>
      <c r="K16" s="64"/>
      <c r="L16" s="68"/>
      <c r="M16" s="68"/>
      <c r="N16" s="65"/>
      <c r="O16" s="68"/>
      <c r="P16" s="6"/>
    </row>
    <row r="17" spans="1:19" ht="28.8" x14ac:dyDescent="0.3">
      <c r="A17" s="1009">
        <v>46274</v>
      </c>
      <c r="B17" s="896"/>
      <c r="C17" s="541" t="s">
        <v>13</v>
      </c>
      <c r="D17" s="643" t="s">
        <v>170</v>
      </c>
      <c r="E17" s="542">
        <v>6.9444444444444447E-4</v>
      </c>
      <c r="F17" s="542">
        <v>0.37569444444444444</v>
      </c>
      <c r="G17" s="543">
        <f t="shared" si="0"/>
        <v>540</v>
      </c>
      <c r="H17" s="547" t="s">
        <v>540</v>
      </c>
      <c r="I17" s="973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1001">
        <v>46274</v>
      </c>
      <c r="B18" s="890"/>
      <c r="C18" s="38" t="s">
        <v>14</v>
      </c>
      <c r="D18" s="642" t="s">
        <v>170</v>
      </c>
      <c r="E18" s="539">
        <v>6.9444444444444447E-4</v>
      </c>
      <c r="F18" s="539">
        <v>0.50069444444444444</v>
      </c>
      <c r="G18" s="540">
        <f t="shared" si="0"/>
        <v>720</v>
      </c>
      <c r="H18" s="488" t="s">
        <v>539</v>
      </c>
      <c r="I18" s="439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1008">
        <v>46275</v>
      </c>
      <c r="B19" s="891"/>
      <c r="C19" s="544" t="s">
        <v>13</v>
      </c>
      <c r="D19" s="655" t="s">
        <v>170</v>
      </c>
      <c r="E19" s="545">
        <v>6.9444444444444447E-4</v>
      </c>
      <c r="F19" s="545">
        <v>6.0416666666666667E-2</v>
      </c>
      <c r="G19" s="546">
        <f t="shared" si="0"/>
        <v>86</v>
      </c>
      <c r="H19" s="651" t="s">
        <v>545</v>
      </c>
      <c r="I19" s="1002">
        <v>5</v>
      </c>
      <c r="K19" s="64">
        <v>46278</v>
      </c>
      <c r="L19" s="68">
        <f>SUM(G25:G26)</f>
        <v>1440</v>
      </c>
      <c r="M19" s="6">
        <f t="shared" si="4"/>
        <v>0</v>
      </c>
      <c r="N19" s="65">
        <f t="shared" si="5"/>
        <v>0</v>
      </c>
      <c r="O19" s="68">
        <f t="shared" si="1"/>
        <v>24</v>
      </c>
      <c r="P19" s="6"/>
    </row>
    <row r="20" spans="1:19" ht="15" thickBot="1" x14ac:dyDescent="0.35">
      <c r="A20" s="1008">
        <v>46275</v>
      </c>
      <c r="B20" s="891"/>
      <c r="C20" s="544" t="s">
        <v>14</v>
      </c>
      <c r="D20" s="656" t="s">
        <v>551</v>
      </c>
      <c r="E20" s="657">
        <v>6.9444444444444447E-4</v>
      </c>
      <c r="F20" s="657">
        <v>6.458333333333334E-2</v>
      </c>
      <c r="G20" s="526">
        <f t="shared" si="0"/>
        <v>92.000000000000014</v>
      </c>
      <c r="H20" s="683" t="s">
        <v>552</v>
      </c>
      <c r="I20" s="1003"/>
      <c r="K20" s="64">
        <v>46279</v>
      </c>
      <c r="L20" s="68">
        <f>SUM(G28)</f>
        <v>120.00000000000001</v>
      </c>
      <c r="M20" s="6">
        <f t="shared" si="4"/>
        <v>22</v>
      </c>
      <c r="N20" s="65">
        <f t="shared" si="5"/>
        <v>0.91666666666666663</v>
      </c>
      <c r="O20" s="68">
        <f t="shared" si="1"/>
        <v>2.0000000000000004</v>
      </c>
      <c r="P20" s="6"/>
    </row>
    <row r="21" spans="1:19" ht="58.2" thickBot="1" x14ac:dyDescent="0.35">
      <c r="A21" s="1008">
        <v>46276</v>
      </c>
      <c r="B21" s="891"/>
      <c r="C21" s="544" t="s">
        <v>13</v>
      </c>
      <c r="D21" s="658" t="s">
        <v>170</v>
      </c>
      <c r="E21" s="545">
        <v>6.9444444444444447E-4</v>
      </c>
      <c r="F21" s="545">
        <v>4.3055555555555555E-2</v>
      </c>
      <c r="G21" s="682">
        <f>(F21-E21)*1440</f>
        <v>61</v>
      </c>
      <c r="H21" s="684" t="s">
        <v>555</v>
      </c>
      <c r="I21" s="1014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1010">
        <v>46276</v>
      </c>
      <c r="B22" s="1011"/>
      <c r="C22" s="672" t="s">
        <v>14</v>
      </c>
      <c r="D22" s="673" t="s">
        <v>170</v>
      </c>
      <c r="E22" s="674">
        <v>6.9444444444444447E-4</v>
      </c>
      <c r="F22" s="674">
        <v>0.41736111111111113</v>
      </c>
      <c r="G22" s="685">
        <f t="shared" si="0"/>
        <v>600</v>
      </c>
      <c r="H22" s="697" t="s">
        <v>564</v>
      </c>
      <c r="I22" s="998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1015">
        <v>46277</v>
      </c>
      <c r="B23" s="1016"/>
      <c r="C23" s="677" t="s">
        <v>13</v>
      </c>
      <c r="D23" s="678" t="s">
        <v>170</v>
      </c>
      <c r="E23" s="679">
        <v>6.9444444444444447E-4</v>
      </c>
      <c r="F23" s="679">
        <v>0.50069444444444444</v>
      </c>
      <c r="G23" s="680">
        <f t="shared" si="0"/>
        <v>720</v>
      </c>
      <c r="H23" s="681" t="s">
        <v>554</v>
      </c>
      <c r="I23" s="999"/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1017">
        <v>46277</v>
      </c>
      <c r="B24" s="1018"/>
      <c r="C24" s="579" t="s">
        <v>14</v>
      </c>
      <c r="D24" s="675" t="s">
        <v>170</v>
      </c>
      <c r="E24" s="676">
        <v>6.9444444444444447E-4</v>
      </c>
      <c r="F24" s="676">
        <v>0.50069444444444444</v>
      </c>
      <c r="G24" s="671">
        <f t="shared" si="0"/>
        <v>720</v>
      </c>
      <c r="H24" s="698" t="s">
        <v>565</v>
      </c>
      <c r="I24" s="999"/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ht="15" thickBot="1" x14ac:dyDescent="0.35">
      <c r="A25" s="1010">
        <v>46278</v>
      </c>
      <c r="B25" s="1011"/>
      <c r="C25" s="672" t="s">
        <v>13</v>
      </c>
      <c r="D25" s="1137" t="s">
        <v>223</v>
      </c>
      <c r="E25" s="674">
        <v>6.9444444444444447E-4</v>
      </c>
      <c r="F25" s="674">
        <v>0.50069444444444444</v>
      </c>
      <c r="G25" s="810">
        <f t="shared" si="0"/>
        <v>720</v>
      </c>
      <c r="H25" s="811" t="s">
        <v>566</v>
      </c>
      <c r="I25" s="999"/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1019">
        <v>46278</v>
      </c>
      <c r="B26" s="1020"/>
      <c r="C26" s="812" t="s">
        <v>14</v>
      </c>
      <c r="D26" s="1138" t="s">
        <v>170</v>
      </c>
      <c r="E26" s="813">
        <v>6.9444444444444447E-4</v>
      </c>
      <c r="F26" s="813">
        <v>0.50069444444444444</v>
      </c>
      <c r="G26" s="814">
        <f t="shared" si="0"/>
        <v>720</v>
      </c>
      <c r="H26" s="815"/>
      <c r="I26" s="999"/>
      <c r="K26" s="64">
        <v>46285</v>
      </c>
      <c r="L26" s="6">
        <f t="shared" si="3"/>
        <v>720</v>
      </c>
      <c r="M26" s="68">
        <f t="shared" si="4"/>
        <v>12</v>
      </c>
      <c r="N26" s="65">
        <f t="shared" si="5"/>
        <v>0.5</v>
      </c>
      <c r="O26" s="68">
        <f t="shared" si="1"/>
        <v>12</v>
      </c>
      <c r="P26" s="6"/>
    </row>
    <row r="27" spans="1:19" ht="15" thickBot="1" x14ac:dyDescent="0.35">
      <c r="A27" s="1005">
        <v>46279</v>
      </c>
      <c r="B27" s="1006"/>
      <c r="C27" s="816" t="s">
        <v>13</v>
      </c>
      <c r="D27" s="817" t="s">
        <v>170</v>
      </c>
      <c r="E27" s="818">
        <v>6.9444444444444447E-4</v>
      </c>
      <c r="F27" s="818">
        <v>0.50069444444444444</v>
      </c>
      <c r="G27" s="819">
        <f t="shared" si="0"/>
        <v>720</v>
      </c>
      <c r="H27" s="820"/>
      <c r="I27" s="1000"/>
      <c r="K27" s="64">
        <v>46286</v>
      </c>
      <c r="L27" s="6">
        <f t="shared" si="3"/>
        <v>720</v>
      </c>
      <c r="M27" s="68">
        <f t="shared" si="4"/>
        <v>12</v>
      </c>
      <c r="N27" s="65">
        <f t="shared" si="5"/>
        <v>0.5</v>
      </c>
      <c r="O27" s="68">
        <f t="shared" si="1"/>
        <v>12</v>
      </c>
      <c r="P27" s="6"/>
    </row>
    <row r="28" spans="1:19" x14ac:dyDescent="0.3">
      <c r="A28" s="1012">
        <v>46279</v>
      </c>
      <c r="B28" s="1013"/>
      <c r="C28" s="821" t="s">
        <v>14</v>
      </c>
      <c r="D28" s="826" t="s">
        <v>593</v>
      </c>
      <c r="E28" s="822">
        <v>6.9444444444444447E-4</v>
      </c>
      <c r="F28" s="822">
        <v>8.4027777777777785E-2</v>
      </c>
      <c r="G28" s="823">
        <f t="shared" si="0"/>
        <v>120.00000000000001</v>
      </c>
      <c r="H28" s="1139" t="s">
        <v>594</v>
      </c>
      <c r="I28" s="610">
        <v>7</v>
      </c>
      <c r="K28" s="64">
        <v>46287</v>
      </c>
      <c r="L28" s="6">
        <f t="shared" si="3"/>
        <v>120.00000000000001</v>
      </c>
      <c r="M28" s="68">
        <f t="shared" si="4"/>
        <v>22</v>
      </c>
      <c r="N28" s="65">
        <f t="shared" si="5"/>
        <v>0.91666666666666663</v>
      </c>
      <c r="O28" s="68">
        <f t="shared" si="1"/>
        <v>2.0000000000000004</v>
      </c>
      <c r="P28" s="6"/>
    </row>
    <row r="29" spans="1:19" x14ac:dyDescent="0.3">
      <c r="A29" s="1008">
        <v>46280</v>
      </c>
      <c r="B29" s="891"/>
      <c r="C29" s="544" t="s">
        <v>13</v>
      </c>
      <c r="D29" s="824"/>
      <c r="E29" s="545"/>
      <c r="F29" s="545"/>
      <c r="G29" s="546">
        <f t="shared" si="0"/>
        <v>0</v>
      </c>
      <c r="H29" s="825"/>
      <c r="I29" s="609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1001">
        <v>46280</v>
      </c>
      <c r="B30" s="890"/>
      <c r="C30" s="38" t="s">
        <v>14</v>
      </c>
      <c r="D30" s="67"/>
      <c r="E30" s="539"/>
      <c r="F30" s="539"/>
      <c r="G30" s="540">
        <f t="shared" si="0"/>
        <v>0</v>
      </c>
      <c r="H30" s="466"/>
      <c r="I30" s="439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1001">
        <v>46281</v>
      </c>
      <c r="B31" s="890"/>
      <c r="C31" s="38" t="s">
        <v>13</v>
      </c>
      <c r="D31" s="67"/>
      <c r="E31" s="69"/>
      <c r="F31" s="69"/>
      <c r="G31" s="540">
        <f t="shared" si="0"/>
        <v>0</v>
      </c>
      <c r="H31" s="466"/>
      <c r="I31" s="439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1001">
        <v>46281</v>
      </c>
      <c r="B32" s="890"/>
      <c r="C32" s="38" t="s">
        <v>14</v>
      </c>
      <c r="D32" s="67"/>
      <c r="E32" s="69"/>
      <c r="F32" s="69"/>
      <c r="G32" s="540">
        <f t="shared" si="0"/>
        <v>0</v>
      </c>
      <c r="H32" s="466"/>
      <c r="I32" s="439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1001">
        <v>46282</v>
      </c>
      <c r="B33" s="890"/>
      <c r="C33" s="38" t="s">
        <v>13</v>
      </c>
      <c r="D33" s="67"/>
      <c r="E33" s="69"/>
      <c r="F33" s="69"/>
      <c r="G33" s="540">
        <f t="shared" si="0"/>
        <v>0</v>
      </c>
      <c r="H33" s="466"/>
      <c r="I33" s="439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1001">
        <v>46282</v>
      </c>
      <c r="B34" s="890"/>
      <c r="C34" s="38" t="s">
        <v>14</v>
      </c>
      <c r="D34" s="67"/>
      <c r="E34" s="69"/>
      <c r="F34" s="69"/>
      <c r="G34" s="540">
        <f t="shared" si="0"/>
        <v>0</v>
      </c>
      <c r="H34" s="466"/>
      <c r="I34" s="439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1001">
        <v>46294</v>
      </c>
      <c r="B35" s="890"/>
      <c r="C35" s="38" t="s">
        <v>13</v>
      </c>
      <c r="D35" s="67"/>
      <c r="E35" s="69"/>
      <c r="F35" s="69"/>
      <c r="G35" s="540">
        <f t="shared" si="0"/>
        <v>0</v>
      </c>
      <c r="H35" s="466"/>
      <c r="I35" s="439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1001">
        <v>46295</v>
      </c>
      <c r="B36" s="890"/>
      <c r="C36" s="38" t="s">
        <v>14</v>
      </c>
      <c r="D36" s="67"/>
      <c r="E36" s="69"/>
      <c r="F36" s="69"/>
      <c r="G36" s="540">
        <f t="shared" si="0"/>
        <v>0</v>
      </c>
      <c r="H36" s="466"/>
      <c r="I36" s="439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1001">
        <v>46296</v>
      </c>
      <c r="B37" s="890"/>
      <c r="C37" s="38" t="s">
        <v>13</v>
      </c>
      <c r="D37" s="67"/>
      <c r="E37" s="69"/>
      <c r="F37" s="69"/>
      <c r="G37" s="540">
        <f t="shared" si="0"/>
        <v>0</v>
      </c>
      <c r="H37" s="466"/>
      <c r="I37" s="439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1001">
        <v>46297</v>
      </c>
      <c r="B38" s="890"/>
      <c r="C38" s="38" t="s">
        <v>14</v>
      </c>
      <c r="D38" s="67"/>
      <c r="E38" s="69"/>
      <c r="F38" s="69"/>
      <c r="G38" s="540">
        <f t="shared" si="0"/>
        <v>0</v>
      </c>
      <c r="H38" s="466"/>
      <c r="I38" s="439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1001">
        <v>46298</v>
      </c>
      <c r="B39" s="890"/>
      <c r="C39" s="38" t="s">
        <v>14</v>
      </c>
      <c r="D39" s="67"/>
      <c r="E39" s="69"/>
      <c r="F39" s="69"/>
      <c r="G39" s="540">
        <f t="shared" si="0"/>
        <v>0</v>
      </c>
      <c r="H39" s="466"/>
      <c r="I39" s="439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1001">
        <v>46299</v>
      </c>
      <c r="B40" s="890"/>
      <c r="C40" s="38" t="s">
        <v>14</v>
      </c>
      <c r="D40" s="67"/>
      <c r="E40" s="69"/>
      <c r="F40" s="69"/>
      <c r="G40" s="540">
        <f t="shared" ref="G40:G41" si="6">(F40-E40)*1440</f>
        <v>0</v>
      </c>
      <c r="H40" s="466"/>
      <c r="I40" s="439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1001">
        <v>46300</v>
      </c>
      <c r="B41" s="890"/>
      <c r="C41" s="38" t="s">
        <v>14</v>
      </c>
      <c r="D41" s="67"/>
      <c r="E41" s="69"/>
      <c r="F41" s="69"/>
      <c r="G41" s="540">
        <f t="shared" si="6"/>
        <v>0</v>
      </c>
      <c r="H41" s="466"/>
      <c r="I41" s="439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1001">
        <v>46301</v>
      </c>
      <c r="B42" s="890"/>
      <c r="C42" s="38" t="s">
        <v>14</v>
      </c>
      <c r="D42" s="67"/>
      <c r="E42" s="69"/>
      <c r="F42" s="69"/>
      <c r="G42" s="540">
        <f t="shared" ref="G42" si="7">(F42-E42)*1440</f>
        <v>0</v>
      </c>
      <c r="H42" s="466"/>
      <c r="I42" s="439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1001">
        <v>46302</v>
      </c>
      <c r="B43" s="890"/>
      <c r="C43" s="38" t="s">
        <v>14</v>
      </c>
      <c r="D43" s="67"/>
      <c r="E43" s="69"/>
      <c r="F43" s="69"/>
      <c r="G43" s="540">
        <f t="shared" ref="G43:G45" si="8">(F43-E43)*1440</f>
        <v>0</v>
      </c>
      <c r="H43" s="466"/>
      <c r="I43" s="439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1001">
        <v>46303</v>
      </c>
      <c r="B44" s="890"/>
      <c r="C44" s="38" t="s">
        <v>14</v>
      </c>
      <c r="D44" s="67"/>
      <c r="E44" s="69"/>
      <c r="F44" s="69"/>
      <c r="G44" s="540">
        <f t="shared" si="8"/>
        <v>0</v>
      </c>
      <c r="H44" s="466"/>
      <c r="I44" s="439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1001">
        <v>46304</v>
      </c>
      <c r="B45" s="890"/>
      <c r="C45" s="38" t="s">
        <v>14</v>
      </c>
      <c r="D45" s="67"/>
      <c r="E45" s="69"/>
      <c r="F45" s="69"/>
      <c r="G45" s="540">
        <f t="shared" si="8"/>
        <v>0</v>
      </c>
      <c r="H45" s="466"/>
      <c r="I45" s="439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1001">
        <v>46305</v>
      </c>
      <c r="B46" s="890"/>
      <c r="C46" s="38" t="s">
        <v>14</v>
      </c>
      <c r="D46" s="67"/>
      <c r="E46" s="69"/>
      <c r="F46" s="69"/>
      <c r="G46" s="540">
        <f>(F46-E46)*1440</f>
        <v>0</v>
      </c>
      <c r="H46" s="466"/>
      <c r="I46" s="439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1001">
        <v>46306</v>
      </c>
      <c r="B47" s="890"/>
      <c r="C47" s="38" t="s">
        <v>14</v>
      </c>
      <c r="D47" s="67"/>
      <c r="E47" s="69"/>
      <c r="F47" s="69"/>
      <c r="G47" s="540">
        <f t="shared" ref="G47:G51" si="9">(F47-E47)*1440</f>
        <v>0</v>
      </c>
      <c r="H47" s="466"/>
      <c r="I47" s="439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1001">
        <v>46307</v>
      </c>
      <c r="B48" s="890"/>
      <c r="C48" s="38" t="s">
        <v>14</v>
      </c>
      <c r="D48" s="67"/>
      <c r="E48" s="69"/>
      <c r="F48" s="69"/>
      <c r="G48" s="540">
        <f t="shared" si="9"/>
        <v>0</v>
      </c>
      <c r="H48" s="466"/>
      <c r="I48" s="439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1001">
        <v>46308</v>
      </c>
      <c r="B49" s="890"/>
      <c r="C49" s="38" t="s">
        <v>14</v>
      </c>
      <c r="D49" s="67"/>
      <c r="E49" s="69"/>
      <c r="F49" s="69"/>
      <c r="G49" s="540">
        <f t="shared" si="9"/>
        <v>0</v>
      </c>
      <c r="H49" s="466"/>
      <c r="I49" s="439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1001">
        <v>46309</v>
      </c>
      <c r="B50" s="890"/>
      <c r="C50" s="38" t="s">
        <v>14</v>
      </c>
      <c r="D50" s="67"/>
      <c r="E50" s="69"/>
      <c r="F50" s="69"/>
      <c r="G50" s="540">
        <f t="shared" si="9"/>
        <v>0</v>
      </c>
      <c r="H50" s="466"/>
      <c r="I50" s="439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1001">
        <v>46310</v>
      </c>
      <c r="B51" s="890"/>
      <c r="C51" s="38" t="s">
        <v>14</v>
      </c>
      <c r="D51" s="67"/>
      <c r="E51" s="69"/>
      <c r="F51" s="69"/>
      <c r="G51" s="540">
        <f t="shared" si="9"/>
        <v>0</v>
      </c>
      <c r="H51" s="466"/>
      <c r="I51" s="439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1001">
        <v>46311</v>
      </c>
      <c r="B52" s="890"/>
      <c r="C52" s="38" t="s">
        <v>14</v>
      </c>
      <c r="D52" s="67"/>
      <c r="E52" s="69"/>
      <c r="F52" s="69"/>
      <c r="G52" s="540">
        <f t="shared" ref="G52:G63" si="10">(F52-E52)*1440</f>
        <v>0</v>
      </c>
      <c r="H52" s="466"/>
      <c r="I52" s="439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1001">
        <v>46312</v>
      </c>
      <c r="B53" s="890"/>
      <c r="C53" s="38" t="s">
        <v>14</v>
      </c>
      <c r="D53" s="67"/>
      <c r="E53" s="69"/>
      <c r="F53" s="69"/>
      <c r="G53" s="540">
        <f t="shared" si="10"/>
        <v>0</v>
      </c>
      <c r="H53" s="466"/>
      <c r="I53" s="439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1001">
        <v>46313</v>
      </c>
      <c r="B54" s="890"/>
      <c r="C54" s="38" t="s">
        <v>14</v>
      </c>
      <c r="D54" s="67"/>
      <c r="E54" s="69"/>
      <c r="F54" s="69"/>
      <c r="G54" s="540">
        <f t="shared" si="10"/>
        <v>0</v>
      </c>
      <c r="H54" s="466"/>
      <c r="I54" s="439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1001">
        <v>46314</v>
      </c>
      <c r="B55" s="890"/>
      <c r="C55" s="38" t="s">
        <v>14</v>
      </c>
      <c r="D55" s="67"/>
      <c r="E55" s="69"/>
      <c r="F55" s="69"/>
      <c r="G55" s="540">
        <f t="shared" si="10"/>
        <v>0</v>
      </c>
      <c r="H55" s="466"/>
      <c r="I55" s="439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1001">
        <v>46315</v>
      </c>
      <c r="B56" s="890"/>
      <c r="C56" s="38" t="s">
        <v>14</v>
      </c>
      <c r="D56" s="67"/>
      <c r="E56" s="69"/>
      <c r="F56" s="69"/>
      <c r="G56" s="540">
        <f t="shared" si="10"/>
        <v>0</v>
      </c>
      <c r="H56" s="466"/>
      <c r="I56" s="439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1001">
        <v>46316</v>
      </c>
      <c r="B57" s="890"/>
      <c r="C57" s="38" t="s">
        <v>14</v>
      </c>
      <c r="D57" s="67"/>
      <c r="E57" s="69"/>
      <c r="F57" s="69"/>
      <c r="G57" s="540">
        <f t="shared" si="10"/>
        <v>0</v>
      </c>
      <c r="H57" s="466"/>
      <c r="I57" s="439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1001">
        <v>46317</v>
      </c>
      <c r="B58" s="890"/>
      <c r="C58" s="38" t="s">
        <v>14</v>
      </c>
      <c r="D58" s="67"/>
      <c r="E58" s="69"/>
      <c r="F58" s="69"/>
      <c r="G58" s="540">
        <f t="shared" si="10"/>
        <v>0</v>
      </c>
      <c r="H58" s="466"/>
      <c r="I58" s="439"/>
      <c r="K58" s="64"/>
      <c r="L58" s="71">
        <f>SUM(L5:L57)</f>
        <v>11926</v>
      </c>
      <c r="M58" s="71">
        <f>SUM(M5:M18)</f>
        <v>189.23333333333329</v>
      </c>
      <c r="N58" s="72">
        <f>AVERAGE(N5:N28)</f>
        <v>0.63991545893719814</v>
      </c>
      <c r="O58" s="68">
        <f>SUM(O5:O57)</f>
        <v>198.76666666666665</v>
      </c>
      <c r="P58" s="6"/>
    </row>
    <row r="59" spans="1:19" x14ac:dyDescent="0.3">
      <c r="A59" s="1001">
        <v>46318</v>
      </c>
      <c r="B59" s="890"/>
      <c r="C59" s="38" t="s">
        <v>14</v>
      </c>
      <c r="D59" s="67"/>
      <c r="E59" s="69"/>
      <c r="F59" s="69"/>
      <c r="G59" s="540">
        <f t="shared" si="10"/>
        <v>0</v>
      </c>
      <c r="H59" s="466"/>
      <c r="I59" s="439"/>
      <c r="K59" s="64"/>
      <c r="L59" s="73">
        <f>L58/60</f>
        <v>198.76666666666668</v>
      </c>
      <c r="M59" s="45">
        <f>M58/24</f>
        <v>7.8847222222222202</v>
      </c>
      <c r="N59" s="10"/>
      <c r="O59" s="11">
        <f>O58/24</f>
        <v>8.2819444444444432</v>
      </c>
    </row>
    <row r="60" spans="1:19" x14ac:dyDescent="0.3">
      <c r="A60" s="1001">
        <v>46319</v>
      </c>
      <c r="B60" s="890"/>
      <c r="C60" s="38" t="s">
        <v>14</v>
      </c>
      <c r="D60" s="67"/>
      <c r="E60" s="69"/>
      <c r="F60" s="69"/>
      <c r="G60" s="540">
        <f t="shared" si="10"/>
        <v>0</v>
      </c>
      <c r="H60" s="466"/>
      <c r="I60" s="439"/>
      <c r="M60" s="45">
        <f>M59+O59</f>
        <v>16.166666666666664</v>
      </c>
    </row>
    <row r="61" spans="1:19" x14ac:dyDescent="0.3">
      <c r="A61" s="1001">
        <v>46320</v>
      </c>
      <c r="B61" s="890"/>
      <c r="C61" s="38" t="s">
        <v>14</v>
      </c>
      <c r="D61" s="67"/>
      <c r="E61" s="69"/>
      <c r="F61" s="69"/>
      <c r="G61" s="540">
        <f t="shared" si="10"/>
        <v>0</v>
      </c>
      <c r="H61" s="466"/>
      <c r="I61" s="439"/>
      <c r="N61" s="11">
        <f>'Au Cal Leaching Tank'!K61/238</f>
        <v>7.4806075325630257</v>
      </c>
    </row>
    <row r="62" spans="1:19" x14ac:dyDescent="0.3">
      <c r="A62" s="1001">
        <v>46321</v>
      </c>
      <c r="B62" s="890"/>
      <c r="C62" s="38" t="s">
        <v>14</v>
      </c>
      <c r="D62" s="67"/>
      <c r="E62" s="69"/>
      <c r="F62" s="69"/>
      <c r="G62" s="540">
        <f t="shared" si="10"/>
        <v>0</v>
      </c>
      <c r="H62" s="466"/>
      <c r="I62" s="439"/>
      <c r="N62" s="1">
        <f>N61*234</f>
        <v>1750.4621626197479</v>
      </c>
    </row>
    <row r="63" spans="1:19" x14ac:dyDescent="0.3">
      <c r="A63" s="1001">
        <v>46322</v>
      </c>
      <c r="B63" s="890"/>
      <c r="C63" s="38" t="s">
        <v>14</v>
      </c>
      <c r="D63" s="67"/>
      <c r="E63" s="69"/>
      <c r="F63" s="69"/>
      <c r="G63" s="540">
        <f t="shared" si="10"/>
        <v>0</v>
      </c>
      <c r="H63" s="466"/>
      <c r="I63" s="439"/>
    </row>
    <row r="66" spans="13:13" x14ac:dyDescent="0.3">
      <c r="M66" s="30"/>
    </row>
  </sheetData>
  <mergeCells count="67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28:B28"/>
    <mergeCell ref="A5:B5"/>
    <mergeCell ref="A6:B6"/>
    <mergeCell ref="A7:B7"/>
    <mergeCell ref="I22:I27"/>
    <mergeCell ref="A45:B45"/>
    <mergeCell ref="I14:I17"/>
    <mergeCell ref="I10:I13"/>
    <mergeCell ref="I7:I9"/>
    <mergeCell ref="A8:B8"/>
    <mergeCell ref="A16:B16"/>
  </mergeCells>
  <phoneticPr fontId="60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K1" zoomScale="67" zoomScaleNormal="85" workbookViewId="0">
      <pane ySplit="9" topLeftCell="A10" activePane="bottomLeft" state="frozen"/>
      <selection pane="bottomLeft" activeCell="Q16" sqref="Q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33" t="s">
        <v>244</v>
      </c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34"/>
      <c r="V2" s="1034"/>
      <c r="W2" s="1034"/>
      <c r="X2" s="1034"/>
      <c r="Y2" s="1034"/>
      <c r="Z2" s="1034"/>
      <c r="AA2" s="1034"/>
      <c r="AB2" s="1034"/>
      <c r="AC2" s="1035"/>
    </row>
    <row r="3" spans="2:62" ht="24" thickBot="1" x14ac:dyDescent="0.5">
      <c r="D3" s="1033" t="s">
        <v>198</v>
      </c>
      <c r="E3" s="1034"/>
      <c r="F3" s="1034"/>
      <c r="G3" s="1034"/>
      <c r="H3" s="1034"/>
      <c r="I3" s="1034"/>
      <c r="J3" s="1034"/>
      <c r="K3" s="1034"/>
      <c r="L3" s="1034"/>
      <c r="M3" s="1034"/>
      <c r="N3" s="1034"/>
      <c r="O3" s="1034"/>
      <c r="P3" s="1034"/>
      <c r="Q3" s="1034"/>
      <c r="R3" s="1034"/>
      <c r="S3" s="1034"/>
      <c r="T3" s="1034"/>
      <c r="U3" s="1034"/>
      <c r="V3" s="1034"/>
      <c r="W3" s="1034"/>
      <c r="X3" s="1034"/>
      <c r="Y3" s="1034"/>
      <c r="Z3" s="1034"/>
      <c r="AA3" s="1034"/>
      <c r="AB3" s="1034"/>
      <c r="AC3" s="1035"/>
      <c r="AG3" s="139"/>
    </row>
    <row r="4" spans="2:62" ht="24" thickBot="1" x14ac:dyDescent="0.5">
      <c r="D4" s="1037" t="s">
        <v>546</v>
      </c>
      <c r="E4" s="1038"/>
      <c r="F4" s="1038"/>
      <c r="G4" s="1038"/>
      <c r="H4" s="1038"/>
      <c r="I4" s="1038"/>
      <c r="J4" s="1038"/>
      <c r="K4" s="1038"/>
      <c r="L4" s="1038"/>
      <c r="M4" s="1038"/>
      <c r="N4" s="1038"/>
      <c r="O4" s="1038"/>
      <c r="P4" s="1038"/>
      <c r="Q4" s="1038"/>
      <c r="R4" s="1038"/>
      <c r="S4" s="1038"/>
      <c r="T4" s="1038"/>
      <c r="U4" s="1038"/>
      <c r="V4" s="1038"/>
      <c r="W4" s="1038"/>
      <c r="X4" s="1038"/>
      <c r="Y4" s="1038"/>
      <c r="Z4" s="1038"/>
      <c r="AA4" s="1038"/>
      <c r="AB4" s="1038"/>
      <c r="AC4" s="1039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1021" t="s">
        <v>260</v>
      </c>
      <c r="C7" s="209" t="s">
        <v>330</v>
      </c>
      <c r="D7" s="1021" t="s">
        <v>245</v>
      </c>
      <c r="E7" s="1021" t="s">
        <v>246</v>
      </c>
      <c r="F7" s="1021" t="s">
        <v>247</v>
      </c>
      <c r="G7" s="1021" t="s">
        <v>248</v>
      </c>
      <c r="H7" s="1021" t="s">
        <v>249</v>
      </c>
      <c r="I7" s="1021" t="s">
        <v>145</v>
      </c>
      <c r="J7" s="1021" t="s">
        <v>251</v>
      </c>
      <c r="K7" s="1028" t="s">
        <v>250</v>
      </c>
      <c r="L7" s="231" t="s">
        <v>250</v>
      </c>
      <c r="M7" s="1028" t="s">
        <v>296</v>
      </c>
      <c r="N7" s="231" t="s">
        <v>293</v>
      </c>
      <c r="O7" s="231" t="s">
        <v>456</v>
      </c>
      <c r="P7" s="231" t="s">
        <v>458</v>
      </c>
      <c r="Q7" s="231" t="s">
        <v>461</v>
      </c>
      <c r="R7" s="209" t="s">
        <v>283</v>
      </c>
      <c r="S7" s="1021" t="s">
        <v>252</v>
      </c>
      <c r="T7" s="209" t="s">
        <v>305</v>
      </c>
      <c r="U7" s="1021" t="s">
        <v>261</v>
      </c>
      <c r="V7" s="1021"/>
      <c r="W7" s="1021"/>
      <c r="X7" s="928" t="s">
        <v>263</v>
      </c>
      <c r="Y7" s="928"/>
      <c r="Z7" s="928"/>
      <c r="AA7" s="1021" t="s">
        <v>270</v>
      </c>
      <c r="AB7" s="1021" t="s">
        <v>291</v>
      </c>
      <c r="AC7" s="928" t="s">
        <v>257</v>
      </c>
      <c r="AD7" s="928"/>
      <c r="AE7" s="928"/>
      <c r="AF7" s="928"/>
      <c r="AG7" s="928"/>
      <c r="AH7" s="928"/>
      <c r="AI7" s="928" t="s">
        <v>267</v>
      </c>
      <c r="AJ7" s="928"/>
      <c r="AK7" s="928"/>
      <c r="AL7" s="928" t="s">
        <v>268</v>
      </c>
      <c r="AM7" s="928"/>
      <c r="AN7" s="928"/>
      <c r="AO7" s="134"/>
      <c r="AP7" s="260" t="s">
        <v>336</v>
      </c>
      <c r="AQ7" s="1022" t="s">
        <v>274</v>
      </c>
      <c r="AR7" s="1023"/>
      <c r="AS7" s="1024"/>
      <c r="AT7" s="235"/>
      <c r="AU7" s="1028" t="s">
        <v>303</v>
      </c>
      <c r="AV7" s="928" t="s">
        <v>300</v>
      </c>
      <c r="AW7" s="928"/>
      <c r="AX7" s="928"/>
      <c r="AY7" s="134" t="s">
        <v>294</v>
      </c>
      <c r="AZ7" s="928" t="s">
        <v>278</v>
      </c>
      <c r="BA7" s="928"/>
      <c r="BB7" s="928"/>
    </row>
    <row r="8" spans="2:62" x14ac:dyDescent="0.3">
      <c r="B8" s="1021"/>
      <c r="C8" s="209" t="s">
        <v>297</v>
      </c>
      <c r="D8" s="1021"/>
      <c r="E8" s="1021"/>
      <c r="F8" s="1021"/>
      <c r="G8" s="1021"/>
      <c r="H8" s="1021"/>
      <c r="I8" s="1021"/>
      <c r="J8" s="1021"/>
      <c r="K8" s="1036"/>
      <c r="L8" s="232" t="s">
        <v>318</v>
      </c>
      <c r="M8" s="1036"/>
      <c r="N8" s="232" t="s">
        <v>55</v>
      </c>
      <c r="O8" s="232" t="s">
        <v>457</v>
      </c>
      <c r="P8" s="232" t="s">
        <v>459</v>
      </c>
      <c r="Q8" s="232" t="s">
        <v>462</v>
      </c>
      <c r="R8" s="209" t="s">
        <v>284</v>
      </c>
      <c r="S8" s="1021"/>
      <c r="T8" s="209" t="s">
        <v>185</v>
      </c>
      <c r="U8" s="1021" t="s">
        <v>262</v>
      </c>
      <c r="V8" s="1021"/>
      <c r="W8" s="1021"/>
      <c r="X8" s="928" t="s">
        <v>475</v>
      </c>
      <c r="Y8" s="928"/>
      <c r="Z8" s="928"/>
      <c r="AA8" s="1021"/>
      <c r="AB8" s="1021"/>
      <c r="AC8" s="928" t="s">
        <v>264</v>
      </c>
      <c r="AD8" s="928"/>
      <c r="AE8" s="928"/>
      <c r="AF8" s="928" t="s">
        <v>265</v>
      </c>
      <c r="AG8" s="928"/>
      <c r="AH8" s="928"/>
      <c r="AI8" s="928" t="s">
        <v>266</v>
      </c>
      <c r="AJ8" s="928"/>
      <c r="AK8" s="928"/>
      <c r="AL8" s="928" t="s">
        <v>258</v>
      </c>
      <c r="AM8" s="928"/>
      <c r="AN8" s="928"/>
      <c r="AO8" s="134" t="s">
        <v>259</v>
      </c>
      <c r="AP8" s="261" t="s">
        <v>295</v>
      </c>
      <c r="AQ8" s="1025"/>
      <c r="AR8" s="1026"/>
      <c r="AS8" s="1027"/>
      <c r="AT8" s="235" t="s">
        <v>302</v>
      </c>
      <c r="AU8" s="1029"/>
      <c r="AV8" s="928" t="s">
        <v>262</v>
      </c>
      <c r="AW8" s="928"/>
      <c r="AX8" s="928"/>
      <c r="AY8" s="134" t="s">
        <v>295</v>
      </c>
      <c r="AZ8" s="928" t="s">
        <v>41</v>
      </c>
      <c r="BA8" s="928"/>
      <c r="BB8" s="928"/>
    </row>
    <row r="9" spans="2:62" x14ac:dyDescent="0.3">
      <c r="B9" s="1021"/>
      <c r="C9" s="209" t="s">
        <v>298</v>
      </c>
      <c r="D9" s="1021"/>
      <c r="E9" s="1021"/>
      <c r="F9" s="1021"/>
      <c r="G9" s="1021"/>
      <c r="H9" s="1021"/>
      <c r="I9" s="1021"/>
      <c r="J9" s="1021"/>
      <c r="K9" s="1029"/>
      <c r="L9" s="208" t="s">
        <v>317</v>
      </c>
      <c r="M9" s="1029"/>
      <c r="N9" s="208" t="s">
        <v>71</v>
      </c>
      <c r="O9" s="208"/>
      <c r="P9" s="208" t="s">
        <v>460</v>
      </c>
      <c r="Q9" s="208" t="s">
        <v>460</v>
      </c>
      <c r="R9" s="209" t="s">
        <v>285</v>
      </c>
      <c r="S9" s="1021"/>
      <c r="T9" s="209" t="s">
        <v>306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1021"/>
      <c r="AB9" s="1021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304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/>
      <c r="BE10" s="10"/>
      <c r="BF10" s="10"/>
      <c r="BG10" s="10"/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3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4">$L13*U13</f>
        <v>294.40648242500004</v>
      </c>
      <c r="AJ13" s="41">
        <f t="shared" ref="AJ13:AJ14" si="15">$L13*V13</f>
        <v>232.15510725000001</v>
      </c>
      <c r="AK13" s="41">
        <f t="shared" ref="AK13:AK14" si="16">$L13*W13</f>
        <v>2900.2221077500008</v>
      </c>
      <c r="AL13" s="41">
        <f>AC13*$L13</f>
        <v>34.598770250000008</v>
      </c>
      <c r="AM13" s="41">
        <f t="shared" ref="AM13:AN14" si="17">AD13*$L13</f>
        <v>76.064472000000009</v>
      </c>
      <c r="AN13" s="41">
        <f t="shared" si="17"/>
        <v>1636.4425990000002</v>
      </c>
      <c r="AO13" s="41">
        <f>AF13*S13</f>
        <v>15.603310800000003</v>
      </c>
      <c r="AP13" s="41">
        <v>4</v>
      </c>
      <c r="AQ13" s="40">
        <f t="shared" ref="AQ13:AQ59" si="18">IFERROR(((AI13-(AL13+AO13))/AI13),"")</f>
        <v>0.82948038155787218</v>
      </c>
      <c r="AR13" s="40">
        <f t="shared" ref="AR13:AR59" si="19">IFERROR((AJ13-AM13)/AJ13,"")</f>
        <v>0.67235494880546065</v>
      </c>
      <c r="AS13" s="40">
        <f t="shared" ref="AS13:AS59" si="20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/>
      <c r="BE13" s="11"/>
      <c r="BF13" s="11"/>
      <c r="BJ13" s="13"/>
    </row>
    <row r="14" spans="2:62" s="502" customFormat="1" x14ac:dyDescent="0.3">
      <c r="B14" s="495">
        <v>5</v>
      </c>
      <c r="C14" s="494">
        <f>SUM('Milling and Leach Feed'!P25:P27)</f>
        <v>26.016666666666666</v>
      </c>
      <c r="D14" s="495">
        <v>2</v>
      </c>
      <c r="E14" s="496">
        <v>46276</v>
      </c>
      <c r="F14" s="497">
        <v>0.43263888888888891</v>
      </c>
      <c r="G14" s="496">
        <v>46277</v>
      </c>
      <c r="H14" s="497">
        <v>0.29166666666666669</v>
      </c>
      <c r="I14" s="495">
        <v>647</v>
      </c>
      <c r="J14" s="493">
        <v>0.4</v>
      </c>
      <c r="K14" s="494">
        <f t="shared" si="0"/>
        <v>328.67600000000004</v>
      </c>
      <c r="L14" s="494">
        <f>K14-R12</f>
        <v>266.98580000000004</v>
      </c>
      <c r="M14" s="495">
        <v>1.27</v>
      </c>
      <c r="N14" s="495">
        <v>2</v>
      </c>
      <c r="O14" s="493">
        <v>0.41</v>
      </c>
      <c r="P14" s="495">
        <v>1.28</v>
      </c>
      <c r="Q14" s="494">
        <f>$Q$10</f>
        <v>107.85</v>
      </c>
      <c r="R14" s="494">
        <f t="shared" si="1"/>
        <v>56.599679999999999</v>
      </c>
      <c r="S14" s="494">
        <f t="shared" si="13"/>
        <v>493.01400000000001</v>
      </c>
      <c r="T14" s="494">
        <f>T13+L14</f>
        <v>1503.3476802499999</v>
      </c>
      <c r="U14" s="498">
        <f>AVERAGE('Milling and Leach Feed'!T25:T27)</f>
        <v>0.58733333333333337</v>
      </c>
      <c r="V14" s="498">
        <f>AVERAGE('Milling and Leach Feed'!U25:U27)</f>
        <v>0.49666666666666665</v>
      </c>
      <c r="W14" s="498">
        <f>AVERAGE('Milling and Leach Feed'!V25:V27)</f>
        <v>9.0411111111111087</v>
      </c>
      <c r="X14" s="498">
        <f>SUM('Milling and Leach Feed'!W25:W27)/'Au Cal Leaching Tank'!$L$14</f>
        <v>0.61464225438206821</v>
      </c>
      <c r="Y14" s="498">
        <f>SUM('Milling and Leach Feed'!X25:X27)/'Au Cal Leaching Tank'!$L$14</f>
        <v>0.52218902278697976</v>
      </c>
      <c r="Z14" s="498">
        <f>SUM('Milling and Leach Feed'!Y25:Y27)/'Au Cal Leaching Tank'!$L$14</f>
        <v>8.950932119486005</v>
      </c>
      <c r="AA14" s="498">
        <f>X14-U14</f>
        <v>2.7308921048734836E-2</v>
      </c>
      <c r="AB14" s="499">
        <f>((X14-U14)/(X14+U14)/2)</f>
        <v>1.1360014848821088E-2</v>
      </c>
      <c r="AC14" s="498">
        <f>AVERAGE('LT Floculation'!R28:R33)</f>
        <v>0.12466666666666666</v>
      </c>
      <c r="AD14" s="498">
        <f>AVERAGE('LT Floculation'!S28:S33)</f>
        <v>0.37833333333333335</v>
      </c>
      <c r="AE14" s="498">
        <f>AVERAGE('LT Floculation'!T28:T33)</f>
        <v>7.5183333333333335</v>
      </c>
      <c r="AF14" s="495">
        <v>2.5999999999999999E-2</v>
      </c>
      <c r="AG14" s="495"/>
      <c r="AH14" s="495"/>
      <c r="AI14" s="494">
        <f t="shared" si="14"/>
        <v>156.80965986666669</v>
      </c>
      <c r="AJ14" s="494">
        <f t="shared" si="15"/>
        <v>132.60294733333336</v>
      </c>
      <c r="AK14" s="494">
        <f t="shared" si="16"/>
        <v>2413.8482828888887</v>
      </c>
      <c r="AL14" s="494">
        <f>AC14*$L14</f>
        <v>33.284229733333341</v>
      </c>
      <c r="AM14" s="494">
        <f t="shared" si="17"/>
        <v>101.00962766666669</v>
      </c>
      <c r="AN14" s="494">
        <f t="shared" si="17"/>
        <v>2007.2882396666671</v>
      </c>
      <c r="AO14" s="494">
        <f>AF14*S14</f>
        <v>12.818363999999999</v>
      </c>
      <c r="AP14" s="494">
        <v>5</v>
      </c>
      <c r="AQ14" s="499">
        <f t="shared" si="18"/>
        <v>0.70599646876006361</v>
      </c>
      <c r="AR14" s="499">
        <f t="shared" si="19"/>
        <v>0.23825503355704697</v>
      </c>
      <c r="AS14" s="499">
        <f t="shared" si="20"/>
        <v>0.16842816762934718</v>
      </c>
      <c r="AT14" s="500">
        <v>2</v>
      </c>
      <c r="AU14" s="501">
        <v>1.5</v>
      </c>
      <c r="AV14" s="494">
        <f>(AZ10+AZ12+AZ14)/AU14</f>
        <v>359.31582603013891</v>
      </c>
      <c r="AW14" s="494">
        <f>(BA10+BA12+BA14)/AU14</f>
        <v>191.08081227632888</v>
      </c>
      <c r="AX14" s="494">
        <f>(BB10+BB12+BB14)/AU14</f>
        <v>466.78300495627326</v>
      </c>
      <c r="AY14" s="494">
        <v>5</v>
      </c>
      <c r="AZ14" s="494">
        <f t="shared" si="7"/>
        <v>110.70706613333334</v>
      </c>
      <c r="BA14" s="494">
        <f t="shared" ref="BA14" si="21">(AJ14-AM14)</f>
        <v>31.593319666666673</v>
      </c>
      <c r="BB14" s="494">
        <f t="shared" ref="BB14" si="22">(AK14-AN14)</f>
        <v>406.56004322222157</v>
      </c>
      <c r="BD14" s="503"/>
      <c r="BE14" s="503"/>
      <c r="BF14" s="503"/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3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4.3500000000000004E-2</v>
      </c>
      <c r="AD15" s="136">
        <f>'LT Floculation'!H11</f>
        <v>0.23799999999999999</v>
      </c>
      <c r="AE15" s="136">
        <f>'LT Floculation'!I11</f>
        <v>7.3999999999999995</v>
      </c>
      <c r="AF15" s="14">
        <v>1.7999999999999999E-2</v>
      </c>
      <c r="AG15" s="6"/>
      <c r="AH15" s="6"/>
      <c r="AI15" s="41">
        <f t="shared" ref="AI15" si="23">$L15*U15</f>
        <v>159.59634800937499</v>
      </c>
      <c r="AJ15" s="41">
        <f t="shared" ref="AJ15" si="24">$L15*V15</f>
        <v>185.15300318750002</v>
      </c>
      <c r="AK15" s="41">
        <f t="shared" ref="AK15" si="25">$L15*W15</f>
        <v>2099.9397967500004</v>
      </c>
      <c r="AL15" s="41">
        <f>AC15*$L15</f>
        <v>12.051105693750003</v>
      </c>
      <c r="AM15" s="41">
        <f t="shared" ref="AM15" si="26">AD15*$L15</f>
        <v>65.934785175000002</v>
      </c>
      <c r="AN15" s="41">
        <f t="shared" ref="AN15" si="27">AE15*$L15</f>
        <v>2050.0731525000001</v>
      </c>
      <c r="AO15" s="41">
        <f t="shared" si="10"/>
        <v>12.184820999999996</v>
      </c>
      <c r="AP15" s="41">
        <v>6</v>
      </c>
      <c r="AQ15" s="40">
        <f t="shared" si="18"/>
        <v>0.84814234789178045</v>
      </c>
      <c r="AR15" s="40">
        <f t="shared" si="19"/>
        <v>0.64389027431421453</v>
      </c>
      <c r="AS15" s="40">
        <f t="shared" si="20"/>
        <v>2.3746701846965819E-2</v>
      </c>
      <c r="AT15" s="240">
        <v>3</v>
      </c>
      <c r="AU15" s="696">
        <v>1.5</v>
      </c>
      <c r="AV15" s="41">
        <f>(AZ11+AZ13+AZ15)/AU15</f>
        <v>371.06073718541666</v>
      </c>
      <c r="AW15" s="41">
        <f>(BA11+BA13+BA15)/AU15</f>
        <v>292.25739206388891</v>
      </c>
      <c r="AX15" s="41">
        <f>(BB11+BB13+BB15)/AU15</f>
        <v>1015.5525292685193</v>
      </c>
      <c r="AY15" s="41">
        <v>6</v>
      </c>
      <c r="AZ15" s="41">
        <f t="shared" si="7"/>
        <v>135.36042131562499</v>
      </c>
      <c r="BA15" s="41">
        <f t="shared" ref="BA15" si="28">(AJ15-AM15)</f>
        <v>119.21821801250002</v>
      </c>
      <c r="BB15" s="41">
        <f t="shared" ref="BB15" si="29">(AK15-AN15)</f>
        <v>49.866644250000263</v>
      </c>
      <c r="BJ15" s="13"/>
    </row>
    <row r="16" spans="2:62" s="693" customFormat="1" x14ac:dyDescent="0.3">
      <c r="B16" s="495">
        <v>7</v>
      </c>
      <c r="C16" s="689"/>
      <c r="D16" s="495">
        <v>2</v>
      </c>
      <c r="E16" s="496">
        <v>46279</v>
      </c>
      <c r="F16" s="689"/>
      <c r="G16" s="689"/>
      <c r="H16" s="689"/>
      <c r="I16" s="689"/>
      <c r="J16" s="689"/>
      <c r="K16" s="689"/>
      <c r="L16" s="689"/>
      <c r="M16" s="689"/>
      <c r="N16" s="495">
        <v>2</v>
      </c>
      <c r="O16" s="689"/>
      <c r="P16" s="689"/>
      <c r="Q16" s="689"/>
      <c r="R16" s="689"/>
      <c r="S16" s="494" t="str">
        <f>IFERROR(K16*((1-J16)/J16),"")</f>
        <v/>
      </c>
      <c r="T16" s="689"/>
      <c r="U16" s="689"/>
      <c r="V16" s="689"/>
      <c r="W16" s="689"/>
      <c r="X16" s="689"/>
      <c r="Y16" s="689"/>
      <c r="Z16" s="689"/>
      <c r="AA16" s="689"/>
      <c r="AB16" s="689"/>
      <c r="AC16" s="689"/>
      <c r="AD16" s="689"/>
      <c r="AE16" s="689"/>
      <c r="AF16" s="689"/>
      <c r="AG16" s="689"/>
      <c r="AH16" s="689"/>
      <c r="AI16" s="689"/>
      <c r="AJ16" s="689"/>
      <c r="AK16" s="689"/>
      <c r="AL16" s="689"/>
      <c r="AM16" s="689"/>
      <c r="AN16" s="689"/>
      <c r="AO16" s="689"/>
      <c r="AP16" s="494">
        <v>7</v>
      </c>
      <c r="AQ16" s="499" t="str">
        <f t="shared" si="18"/>
        <v/>
      </c>
      <c r="AR16" s="499" t="str">
        <f t="shared" si="19"/>
        <v/>
      </c>
      <c r="AS16" s="499" t="str">
        <f t="shared" si="20"/>
        <v/>
      </c>
      <c r="AT16" s="690"/>
      <c r="AU16" s="689"/>
      <c r="AV16" s="689"/>
      <c r="AW16" s="689"/>
      <c r="AX16" s="691"/>
      <c r="AY16" s="692"/>
      <c r="AZ16" s="243"/>
      <c r="BA16" s="243"/>
      <c r="BB16" s="243"/>
      <c r="BJ16" s="502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8"/>
        <v/>
      </c>
      <c r="AR17" s="40" t="str">
        <f t="shared" si="19"/>
        <v/>
      </c>
      <c r="AS17" s="40" t="str">
        <f t="shared" si="20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/>
    </row>
    <row r="18" spans="2:62" s="693" customFormat="1" x14ac:dyDescent="0.3">
      <c r="B18" s="495">
        <v>9</v>
      </c>
      <c r="C18" s="689"/>
      <c r="D18" s="495">
        <v>2</v>
      </c>
      <c r="E18" s="495"/>
      <c r="F18" s="689"/>
      <c r="G18" s="689"/>
      <c r="H18" s="689"/>
      <c r="I18" s="689"/>
      <c r="J18" s="689"/>
      <c r="K18" s="689"/>
      <c r="L18" s="689"/>
      <c r="M18" s="689"/>
      <c r="N18" s="495">
        <v>2</v>
      </c>
      <c r="O18" s="689"/>
      <c r="P18" s="689"/>
      <c r="Q18" s="689"/>
      <c r="R18" s="689"/>
      <c r="S18" s="494" t="str">
        <f t="shared" si="30"/>
        <v/>
      </c>
      <c r="T18" s="689"/>
      <c r="U18" s="689"/>
      <c r="V18" s="689"/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494">
        <v>9</v>
      </c>
      <c r="AQ18" s="499" t="str">
        <f t="shared" si="18"/>
        <v/>
      </c>
      <c r="AR18" s="499" t="str">
        <f t="shared" si="19"/>
        <v/>
      </c>
      <c r="AS18" s="499" t="str">
        <f t="shared" si="20"/>
        <v/>
      </c>
      <c r="AT18" s="690"/>
      <c r="AU18" s="689"/>
      <c r="AV18" s="689"/>
      <c r="AW18" s="689"/>
      <c r="AX18" s="691"/>
      <c r="AY18" s="691"/>
      <c r="AZ18" s="689"/>
      <c r="BA18" s="689"/>
      <c r="BB18" s="689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8"/>
        <v/>
      </c>
      <c r="AR19" s="40" t="str">
        <f t="shared" si="19"/>
        <v/>
      </c>
      <c r="AS19" s="40" t="str">
        <f t="shared" si="20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5">
        <v>11</v>
      </c>
      <c r="C20" s="6"/>
      <c r="D20" s="495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4">
        <v>11</v>
      </c>
      <c r="AQ20" s="40" t="str">
        <f t="shared" si="18"/>
        <v/>
      </c>
      <c r="AR20" s="40" t="str">
        <f t="shared" si="19"/>
        <v/>
      </c>
      <c r="AS20" s="40" t="str">
        <f t="shared" si="20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/>
      <c r="BF20" s="45"/>
      <c r="BG20" s="45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8"/>
        <v/>
      </c>
      <c r="AR21" s="40" t="str">
        <f t="shared" si="19"/>
        <v/>
      </c>
      <c r="AS21" s="40" t="str">
        <f t="shared" si="20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8"/>
        <v/>
      </c>
      <c r="AR22" s="40" t="str">
        <f t="shared" si="19"/>
        <v/>
      </c>
      <c r="AS22" s="40" t="str">
        <f t="shared" si="20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8"/>
        <v/>
      </c>
      <c r="AR23" s="40" t="str">
        <f t="shared" si="19"/>
        <v/>
      </c>
      <c r="AS23" s="40" t="str">
        <f t="shared" si="20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8"/>
        <v/>
      </c>
      <c r="AR24" s="40" t="str">
        <f t="shared" si="19"/>
        <v/>
      </c>
      <c r="AS24" s="40" t="str">
        <f t="shared" si="20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1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8"/>
        <v/>
      </c>
      <c r="AR25" s="40" t="str">
        <f t="shared" si="19"/>
        <v/>
      </c>
      <c r="AS25" s="40" t="str">
        <f t="shared" si="20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4">
        <v>17</v>
      </c>
      <c r="AQ26" s="40" t="str">
        <f t="shared" si="18"/>
        <v/>
      </c>
      <c r="AR26" s="40" t="str">
        <f t="shared" si="19"/>
        <v/>
      </c>
      <c r="AS26" s="40" t="str">
        <f t="shared" si="20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8"/>
        <v/>
      </c>
      <c r="AR27" s="40" t="str">
        <f t="shared" si="19"/>
        <v/>
      </c>
      <c r="AS27" s="40" t="str">
        <f t="shared" si="20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8"/>
        <v/>
      </c>
      <c r="AR28" s="40" t="str">
        <f t="shared" si="19"/>
        <v/>
      </c>
      <c r="AS28" s="40" t="str">
        <f t="shared" si="20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8"/>
        <v/>
      </c>
      <c r="AR29" s="40" t="str">
        <f t="shared" si="19"/>
        <v/>
      </c>
      <c r="AS29" s="40" t="str">
        <f t="shared" si="20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8"/>
        <v/>
      </c>
      <c r="AR30" s="40" t="str">
        <f t="shared" si="19"/>
        <v/>
      </c>
      <c r="AS30" s="40" t="str">
        <f t="shared" si="20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8"/>
        <v/>
      </c>
      <c r="AR31" s="40" t="str">
        <f t="shared" si="19"/>
        <v/>
      </c>
      <c r="AS31" s="40" t="str">
        <f t="shared" si="20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4">
        <v>23</v>
      </c>
      <c r="AQ32" s="40" t="str">
        <f t="shared" si="18"/>
        <v/>
      </c>
      <c r="AR32" s="40" t="str">
        <f t="shared" si="19"/>
        <v/>
      </c>
      <c r="AS32" s="40" t="str">
        <f t="shared" si="20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8"/>
        <v/>
      </c>
      <c r="AR33" s="40" t="str">
        <f t="shared" si="19"/>
        <v/>
      </c>
      <c r="AS33" s="40" t="str">
        <f t="shared" si="20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8"/>
        <v/>
      </c>
      <c r="AR34" s="40" t="str">
        <f t="shared" si="19"/>
        <v/>
      </c>
      <c r="AS34" s="40" t="str">
        <f t="shared" si="20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8"/>
        <v/>
      </c>
      <c r="AR35" s="40" t="str">
        <f t="shared" si="19"/>
        <v/>
      </c>
      <c r="AS35" s="40" t="str">
        <f t="shared" si="20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8"/>
        <v/>
      </c>
      <c r="AR36" s="40" t="str">
        <f t="shared" si="19"/>
        <v/>
      </c>
      <c r="AS36" s="40" t="str">
        <f t="shared" si="20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8"/>
        <v/>
      </c>
      <c r="AR37" s="40" t="str">
        <f t="shared" si="19"/>
        <v/>
      </c>
      <c r="AS37" s="40" t="str">
        <f t="shared" si="20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4">
        <v>29</v>
      </c>
      <c r="AQ38" s="40" t="str">
        <f t="shared" si="18"/>
        <v/>
      </c>
      <c r="AR38" s="40" t="str">
        <f t="shared" si="19"/>
        <v/>
      </c>
      <c r="AS38" s="40" t="str">
        <f t="shared" si="20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8"/>
        <v/>
      </c>
      <c r="AR39" s="40" t="str">
        <f t="shared" si="19"/>
        <v/>
      </c>
      <c r="AS39" s="40" t="str">
        <f t="shared" si="20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8"/>
        <v/>
      </c>
      <c r="AR40" s="40" t="str">
        <f t="shared" si="19"/>
        <v/>
      </c>
      <c r="AS40" s="40" t="str">
        <f t="shared" si="20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8"/>
        <v/>
      </c>
      <c r="AR41" s="40" t="str">
        <f t="shared" si="19"/>
        <v/>
      </c>
      <c r="AS41" s="40" t="str">
        <f t="shared" si="20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8"/>
        <v/>
      </c>
      <c r="AR42" s="40" t="str">
        <f t="shared" si="19"/>
        <v/>
      </c>
      <c r="AS42" s="40" t="str">
        <f t="shared" si="20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8"/>
        <v/>
      </c>
      <c r="AR43" s="40" t="str">
        <f t="shared" si="19"/>
        <v/>
      </c>
      <c r="AS43" s="40" t="str">
        <f t="shared" si="20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4">
        <v>35</v>
      </c>
      <c r="AQ44" s="40" t="str">
        <f t="shared" si="18"/>
        <v/>
      </c>
      <c r="AR44" s="40" t="str">
        <f t="shared" si="19"/>
        <v/>
      </c>
      <c r="AS44" s="40" t="str">
        <f t="shared" si="20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8"/>
        <v/>
      </c>
      <c r="AR45" s="40" t="str">
        <f t="shared" si="19"/>
        <v/>
      </c>
      <c r="AS45" s="40" t="str">
        <f t="shared" si="20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8"/>
        <v/>
      </c>
      <c r="AR46" s="40" t="str">
        <f t="shared" si="19"/>
        <v/>
      </c>
      <c r="AS46" s="40" t="str">
        <f t="shared" si="20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8"/>
        <v/>
      </c>
      <c r="AR47" s="40" t="str">
        <f t="shared" si="19"/>
        <v/>
      </c>
      <c r="AS47" s="40" t="str">
        <f t="shared" si="20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8"/>
        <v/>
      </c>
      <c r="AR48" s="40" t="str">
        <f t="shared" si="19"/>
        <v/>
      </c>
      <c r="AS48" s="40" t="str">
        <f t="shared" si="20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8"/>
        <v/>
      </c>
      <c r="AR49" s="40" t="str">
        <f t="shared" si="19"/>
        <v/>
      </c>
      <c r="AS49" s="40" t="str">
        <f t="shared" si="20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4">
        <v>41</v>
      </c>
      <c r="AQ50" s="40" t="str">
        <f t="shared" si="18"/>
        <v/>
      </c>
      <c r="AR50" s="40" t="str">
        <f t="shared" si="19"/>
        <v/>
      </c>
      <c r="AS50" s="40" t="str">
        <f t="shared" si="20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8"/>
        <v/>
      </c>
      <c r="AR51" s="40" t="str">
        <f t="shared" si="19"/>
        <v/>
      </c>
      <c r="AS51" s="40" t="str">
        <f t="shared" si="20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8"/>
        <v/>
      </c>
      <c r="AR52" s="40" t="str">
        <f t="shared" si="19"/>
        <v/>
      </c>
      <c r="AS52" s="40" t="str">
        <f t="shared" si="20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8"/>
        <v/>
      </c>
      <c r="AR53" s="40" t="str">
        <f t="shared" si="19"/>
        <v/>
      </c>
      <c r="AS53" s="40" t="str">
        <f t="shared" si="20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8"/>
        <v/>
      </c>
      <c r="AR54" s="40" t="str">
        <f t="shared" si="19"/>
        <v/>
      </c>
      <c r="AS54" s="40" t="str">
        <f t="shared" si="20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8"/>
        <v/>
      </c>
      <c r="AR55" s="40" t="str">
        <f t="shared" si="19"/>
        <v/>
      </c>
      <c r="AS55" s="40" t="str">
        <f t="shared" si="20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4">
        <v>47</v>
      </c>
      <c r="AQ56" s="40" t="str">
        <f t="shared" si="18"/>
        <v/>
      </c>
      <c r="AR56" s="40" t="str">
        <f t="shared" si="19"/>
        <v/>
      </c>
      <c r="AS56" s="40" t="str">
        <f t="shared" si="20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8"/>
        <v/>
      </c>
      <c r="AR57" s="40" t="str">
        <f t="shared" si="19"/>
        <v/>
      </c>
      <c r="AS57" s="40" t="str">
        <f t="shared" si="20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8"/>
        <v/>
      </c>
      <c r="AR58" s="40" t="str">
        <f t="shared" si="19"/>
        <v/>
      </c>
      <c r="AS58" s="40" t="str">
        <f t="shared" si="20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8"/>
        <v/>
      </c>
      <c r="AR59" s="40" t="str">
        <f t="shared" si="19"/>
        <v/>
      </c>
      <c r="AS59" s="40" t="str">
        <f t="shared" si="20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0"/>
        <v/>
      </c>
      <c r="T60" s="137"/>
      <c r="U60" s="211">
        <f>AVERAGE(U10:U59)</f>
        <v>0.7364814814814814</v>
      </c>
      <c r="V60" s="211">
        <f t="shared" ref="V60:W60" si="31">AVERAGE(V10:V59)</f>
        <v>0.64749537037037042</v>
      </c>
      <c r="W60" s="211">
        <f t="shared" si="31"/>
        <v>8.5190601851851842</v>
      </c>
      <c r="X60" s="211">
        <f>AVERAGE(X10:X59)</f>
        <v>0.71303796459565127</v>
      </c>
      <c r="Y60" s="211">
        <f t="shared" ref="Y60:Z60" si="32">AVERAGE(Y10:Y59)</f>
        <v>0.61383008833510078</v>
      </c>
      <c r="Z60" s="211">
        <f t="shared" si="32"/>
        <v>7.9962294278959858</v>
      </c>
      <c r="AA60" s="137"/>
      <c r="AB60" s="137"/>
      <c r="AC60" s="211">
        <f>AVERAGE(AC10:AC59)</f>
        <v>9.0708333333333335E-2</v>
      </c>
      <c r="AD60" s="211">
        <f t="shared" ref="AD60:AF60" si="33">AVERAGE(AD10:AD59)</f>
        <v>0.25161111111111112</v>
      </c>
      <c r="AE60" s="211">
        <f t="shared" si="33"/>
        <v>7.324583333333333</v>
      </c>
      <c r="AF60" s="211">
        <f t="shared" si="33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0.81758806547187923</v>
      </c>
      <c r="AR60" s="241">
        <f t="shared" ref="AR60:AS60" si="34">AVERAGE(AR10:AR15)</f>
        <v>0.59168777196566225</v>
      </c>
      <c r="AS60" s="241">
        <f t="shared" si="34"/>
        <v>0.13833121272083179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0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1095.5648448233333</v>
      </c>
      <c r="BA61" s="227">
        <f t="shared" ref="BA61:BB61" si="35">SUM(BA10:BA15)</f>
        <v>725.00730651032677</v>
      </c>
      <c r="BB61" s="227">
        <f t="shared" si="35"/>
        <v>2223.503301337189</v>
      </c>
      <c r="BC61" s="45"/>
      <c r="BD61" s="13"/>
      <c r="BE61" s="13"/>
    </row>
    <row r="62" spans="2:57" x14ac:dyDescent="0.3">
      <c r="K62" s="11"/>
      <c r="S62" s="41" t="str">
        <f t="shared" si="30"/>
        <v/>
      </c>
      <c r="T62" s="1" t="s">
        <v>206</v>
      </c>
      <c r="U62" s="256">
        <f>MEDIAN(U10:U59)</f>
        <v>0.69599999999999995</v>
      </c>
      <c r="V62" s="256">
        <f t="shared" ref="V62:W62" si="36">MEDIAN(V10:V59)</f>
        <v>0.66361111111111115</v>
      </c>
      <c r="W62" s="256">
        <f t="shared" si="36"/>
        <v>9.0461111111111094</v>
      </c>
      <c r="X62" s="256">
        <f>MEDIAN(X10:X59)</f>
        <v>0.67216021885388333</v>
      </c>
      <c r="Y62" s="256">
        <f t="shared" ref="Y62:Z62" si="37">MEDIAN(Y10:Y59)</f>
        <v>0.60942687707624221</v>
      </c>
      <c r="Z62" s="256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1" t="str">
        <f t="shared" si="30"/>
        <v/>
      </c>
      <c r="AI63" s="1">
        <f>(U60*K61)*AQ60</f>
        <v>1072.0380541564912</v>
      </c>
    </row>
    <row r="64" spans="2:57" x14ac:dyDescent="0.3">
      <c r="K64" s="11"/>
      <c r="V64" s="139"/>
    </row>
    <row r="65" spans="9:52" x14ac:dyDescent="0.3">
      <c r="AL65" s="918" t="s">
        <v>312</v>
      </c>
      <c r="AM65" s="918"/>
      <c r="AN65" s="918"/>
      <c r="AO65" s="918"/>
      <c r="AP65" s="262"/>
      <c r="AX65" s="1" t="s">
        <v>589</v>
      </c>
      <c r="AY65" s="139">
        <v>2400000</v>
      </c>
      <c r="AZ65" s="759">
        <f>AZ61*AY65</f>
        <v>2629355627.5759997</v>
      </c>
    </row>
    <row r="66" spans="9:52" x14ac:dyDescent="0.3">
      <c r="I66" s="230" t="s">
        <v>307</v>
      </c>
      <c r="J66" s="230" t="s">
        <v>308</v>
      </c>
      <c r="K66" s="230" t="s">
        <v>309</v>
      </c>
      <c r="L66" s="230"/>
      <c r="M66" s="230" t="s">
        <v>310</v>
      </c>
      <c r="N66" s="230"/>
      <c r="O66" s="230"/>
      <c r="P66" s="230"/>
      <c r="Q66" s="230"/>
      <c r="R66" s="230" t="s">
        <v>311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198.76666666666668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16.021527777777777</v>
      </c>
      <c r="AL67" s="14" t="s">
        <v>335</v>
      </c>
      <c r="AM67" s="136">
        <f>AVERAGE(U10:U15)</f>
        <v>0.7364814814814814</v>
      </c>
      <c r="AN67" s="136">
        <f t="shared" ref="AN67:AO67" si="38">AVERAGE(V10:V15)</f>
        <v>0.64749537037037042</v>
      </c>
      <c r="AO67" s="136">
        <f t="shared" si="38"/>
        <v>8.5190601851851842</v>
      </c>
      <c r="AP67" s="256"/>
    </row>
    <row r="68" spans="9:52" x14ac:dyDescent="0.3">
      <c r="I68" s="45">
        <f>I67/24</f>
        <v>7.739583333333333</v>
      </c>
      <c r="AA68" s="928" t="s">
        <v>261</v>
      </c>
      <c r="AB68" s="928"/>
      <c r="AC68" s="928"/>
      <c r="AD68" s="928"/>
      <c r="AE68" s="928"/>
      <c r="AL68" s="14" t="s">
        <v>202</v>
      </c>
      <c r="AM68" s="136">
        <f>MEDIAN(U10:U15)</f>
        <v>0.69599999999999995</v>
      </c>
      <c r="AN68" s="136">
        <f t="shared" ref="AN68:AO68" si="39">MEDIAN(V10:V15)</f>
        <v>0.66361111111111115</v>
      </c>
      <c r="AO68" s="136">
        <f t="shared" si="39"/>
        <v>9.0461111111111094</v>
      </c>
      <c r="AP68" s="256"/>
    </row>
    <row r="69" spans="9:52" x14ac:dyDescent="0.3">
      <c r="AA69" s="1021" t="s">
        <v>260</v>
      </c>
      <c r="AB69" s="1021" t="s">
        <v>496</v>
      </c>
      <c r="AC69" s="928" t="s">
        <v>262</v>
      </c>
      <c r="AD69" s="928"/>
      <c r="AE69" s="928"/>
      <c r="AL69" s="14" t="s">
        <v>204</v>
      </c>
      <c r="AM69" s="136">
        <f>MIN(U10:U15)</f>
        <v>0.57608333333333328</v>
      </c>
      <c r="AN69" s="136">
        <f t="shared" ref="AN69:AO69" si="40">MIN(V10:V15)</f>
        <v>0.49666666666666665</v>
      </c>
      <c r="AO69" s="136">
        <f t="shared" si="40"/>
        <v>7.2224166666666676</v>
      </c>
      <c r="AP69" s="256"/>
    </row>
    <row r="70" spans="9:52" x14ac:dyDescent="0.3">
      <c r="I70" s="146" t="s">
        <v>307</v>
      </c>
      <c r="J70" s="68">
        <f>I67</f>
        <v>185.75</v>
      </c>
      <c r="L70" s="11"/>
      <c r="AA70" s="1021"/>
      <c r="AB70" s="1021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1">MAX(V10:V15)</f>
        <v>0.79333333333333333</v>
      </c>
      <c r="AO70" s="136">
        <f t="shared" si="41"/>
        <v>9.1508333333333347</v>
      </c>
      <c r="AP70" s="256"/>
    </row>
    <row r="71" spans="9:52" x14ac:dyDescent="0.3">
      <c r="I71" s="146" t="s">
        <v>308</v>
      </c>
      <c r="J71" s="68">
        <f>J67</f>
        <v>198.76666666666668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315</v>
      </c>
      <c r="J72" s="68">
        <f>SUM(J70:J71)</f>
        <v>384.51666666666665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316</v>
      </c>
      <c r="J73" s="65">
        <f>J70/J72</f>
        <v>0.48307398899050757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311</v>
      </c>
      <c r="J76" s="68">
        <f>R67</f>
        <v>16.021527777777777</v>
      </c>
      <c r="AA76" s="13"/>
    </row>
    <row r="77" spans="9:52" x14ac:dyDescent="0.3">
      <c r="I77" s="146" t="s">
        <v>334</v>
      </c>
      <c r="J77" s="65">
        <f>J67/(I67+J67)</f>
        <v>0.51692601100949254</v>
      </c>
    </row>
    <row r="92" spans="9:20" x14ac:dyDescent="0.3">
      <c r="I92" s="134" t="s">
        <v>260</v>
      </c>
      <c r="J92" s="134" t="s">
        <v>320</v>
      </c>
      <c r="K92" s="134" t="s">
        <v>321</v>
      </c>
      <c r="L92" s="928" t="s">
        <v>326</v>
      </c>
      <c r="M92" s="928"/>
      <c r="N92" s="928"/>
      <c r="O92" s="457"/>
      <c r="P92" s="457"/>
      <c r="Q92" s="457"/>
      <c r="R92" s="1030" t="s">
        <v>329</v>
      </c>
      <c r="S92" s="1031"/>
      <c r="T92" s="1032"/>
    </row>
    <row r="93" spans="9:20" x14ac:dyDescent="0.3">
      <c r="I93" s="134" t="s">
        <v>325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2">V10</f>
        <v>0.53525</v>
      </c>
      <c r="N94" s="136">
        <f t="shared" si="42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3">AD10</f>
        <v>0.17</v>
      </c>
      <c r="T94" s="136">
        <f t="shared" si="43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4">U11</f>
        <v>0.68400000000000005</v>
      </c>
      <c r="M95" s="136">
        <f t="shared" si="42"/>
        <v>0.79333333333333333</v>
      </c>
      <c r="N95" s="136">
        <f t="shared" si="42"/>
        <v>9.051111111111112</v>
      </c>
      <c r="O95" s="136"/>
      <c r="P95" s="136"/>
      <c r="Q95" s="136"/>
      <c r="R95" s="136">
        <f t="shared" ref="R95:R98" si="45">AC11</f>
        <v>5.5749999999999994E-2</v>
      </c>
      <c r="S95" s="136">
        <f t="shared" si="43"/>
        <v>0.25</v>
      </c>
      <c r="T95" s="136">
        <f t="shared" si="43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4"/>
        <v>0.93455555555555547</v>
      </c>
      <c r="M96" s="136">
        <f t="shared" si="42"/>
        <v>0.65888888888888886</v>
      </c>
      <c r="N96" s="136">
        <f t="shared" si="42"/>
        <v>9.0688888888888908</v>
      </c>
      <c r="O96" s="136"/>
      <c r="P96" s="136"/>
      <c r="Q96" s="136"/>
      <c r="R96" s="136">
        <f t="shared" si="45"/>
        <v>9.816666666666668E-2</v>
      </c>
      <c r="S96" s="136">
        <f t="shared" si="43"/>
        <v>0.23333333333333331</v>
      </c>
      <c r="T96" s="136">
        <f t="shared" si="43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6">L13</f>
        <v>316.93530000000004</v>
      </c>
      <c r="L97" s="136">
        <f t="shared" si="44"/>
        <v>0.92891666666666661</v>
      </c>
      <c r="M97" s="136">
        <f t="shared" si="42"/>
        <v>0.73249999999999993</v>
      </c>
      <c r="N97" s="136">
        <f t="shared" si="42"/>
        <v>9.1508333333333347</v>
      </c>
      <c r="O97" s="136"/>
      <c r="P97" s="136"/>
      <c r="Q97" s="136"/>
      <c r="R97" s="136">
        <f t="shared" si="45"/>
        <v>0.10916666666666668</v>
      </c>
      <c r="S97" s="136">
        <f t="shared" si="43"/>
        <v>0.24</v>
      </c>
      <c r="T97" s="136">
        <f t="shared" si="43"/>
        <v>5.1633333333333331</v>
      </c>
    </row>
    <row r="98" spans="9:20" x14ac:dyDescent="0.3">
      <c r="I98" s="14">
        <v>5</v>
      </c>
      <c r="J98" s="14">
        <v>2</v>
      </c>
      <c r="K98" s="41">
        <f t="shared" si="46"/>
        <v>266.98580000000004</v>
      </c>
      <c r="L98" s="136">
        <f t="shared" si="44"/>
        <v>0.58733333333333337</v>
      </c>
      <c r="M98" s="136">
        <f t="shared" si="42"/>
        <v>0.49666666666666665</v>
      </c>
      <c r="N98" s="136">
        <f t="shared" si="42"/>
        <v>9.0411111111111087</v>
      </c>
      <c r="O98" s="136"/>
      <c r="P98" s="136"/>
      <c r="Q98" s="136"/>
      <c r="R98" s="136">
        <f t="shared" si="45"/>
        <v>0.12466666666666666</v>
      </c>
      <c r="S98" s="136">
        <f t="shared" si="43"/>
        <v>0.37833333333333335</v>
      </c>
      <c r="T98" s="136">
        <f t="shared" si="43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2"/>
        <v>0.66833333333333333</v>
      </c>
      <c r="N99" s="136">
        <f t="shared" si="42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327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47">AVERAGE(S94:S98)</f>
        <v>0.25433333333333336</v>
      </c>
      <c r="T100" s="253">
        <f t="shared" si="47"/>
        <v>7.3094999999999999</v>
      </c>
    </row>
    <row r="101" spans="9:20" x14ac:dyDescent="0.3">
      <c r="I101" s="15" t="s">
        <v>328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F1" zoomScale="88" zoomScaleNormal="85" workbookViewId="0">
      <pane ySplit="4" topLeftCell="A27" activePane="bottomLeft" state="frozen"/>
      <selection pane="bottomLeft" activeCell="R32" sqref="R32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1" t="s">
        <v>168</v>
      </c>
      <c r="C2" s="131" t="s">
        <v>169</v>
      </c>
      <c r="D2" s="552"/>
      <c r="E2" s="552"/>
      <c r="H2" s="906" t="s">
        <v>33</v>
      </c>
      <c r="I2" s="906"/>
      <c r="J2" s="906"/>
      <c r="K2" s="906"/>
      <c r="O2" s="1">
        <f>720+180</f>
        <v>900</v>
      </c>
    </row>
    <row r="3" spans="1:92" ht="15" thickBot="1" x14ac:dyDescent="0.35"/>
    <row r="4" spans="1:92" ht="29.4" thickBot="1" x14ac:dyDescent="0.35">
      <c r="A4" s="629" t="s">
        <v>553</v>
      </c>
      <c r="B4" s="907" t="s">
        <v>1</v>
      </c>
      <c r="C4" s="908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24" t="s">
        <v>155</v>
      </c>
      <c r="V4" s="760" t="s">
        <v>156</v>
      </c>
      <c r="W4" s="24" t="s">
        <v>220</v>
      </c>
      <c r="X4" s="24" t="s">
        <v>221</v>
      </c>
      <c r="Y4" s="760" t="s">
        <v>222</v>
      </c>
      <c r="Z4" s="848" t="s">
        <v>592</v>
      </c>
      <c r="AB4" s="801" t="s">
        <v>521</v>
      </c>
      <c r="AC4" s="803" t="s">
        <v>589</v>
      </c>
    </row>
    <row r="5" spans="1:92" ht="30.6" customHeight="1" thickBot="1" x14ac:dyDescent="0.35">
      <c r="A5" s="898">
        <v>1</v>
      </c>
      <c r="B5" s="891">
        <v>46265</v>
      </c>
      <c r="C5" s="891"/>
      <c r="D5" s="828" t="s">
        <v>449</v>
      </c>
      <c r="E5" s="828" t="s">
        <v>448</v>
      </c>
      <c r="F5" s="609" t="s">
        <v>13</v>
      </c>
      <c r="G5" s="855">
        <v>0.2271</v>
      </c>
      <c r="H5" s="597">
        <v>116.84</v>
      </c>
      <c r="I5" s="510">
        <f t="shared" ref="I5:I11" si="0">H5/((720-R5)/60)</f>
        <v>11.198722044728434</v>
      </c>
      <c r="J5" s="510">
        <f>H5</f>
        <v>116.84</v>
      </c>
      <c r="K5" s="856">
        <v>1.135</v>
      </c>
      <c r="L5" s="525">
        <v>0.68</v>
      </c>
      <c r="M5" s="510">
        <f>H5*K5*G5</f>
        <v>30.116503140000003</v>
      </c>
      <c r="N5" s="892">
        <f>SUM(M5:M6)</f>
        <v>74.069659139999999</v>
      </c>
      <c r="O5" s="510">
        <f t="shared" ref="O5:O11" si="1">M5/((720-R5)/60)</f>
        <v>2.8865657961661344</v>
      </c>
      <c r="P5" s="892">
        <f>'Milling Down Time Hours'!M5</f>
        <v>22.433333333333334</v>
      </c>
      <c r="Q5" s="597">
        <f t="shared" ref="Q5:Q15" si="2">720-R5</f>
        <v>626</v>
      </c>
      <c r="R5" s="510">
        <f>'Milling Down Time Hours'!L5</f>
        <v>94</v>
      </c>
      <c r="S5" s="892">
        <f>SUM(M5:M8)</f>
        <v>292.31360000000001</v>
      </c>
      <c r="T5" s="599">
        <f>AVERAGE('LT Ball Mill'!F4:F6)</f>
        <v>0.96699999999999997</v>
      </c>
      <c r="U5" s="599">
        <f>AVERAGE('LT Ball Mill'!G4:G6)</f>
        <v>0.41</v>
      </c>
      <c r="V5" s="599">
        <f>AVERAGE('LT Ball Mill'!H4:H6)</f>
        <v>6.1096666666666666</v>
      </c>
      <c r="W5" s="513">
        <f t="shared" ref="W5:W46" si="3">T5*M5</f>
        <v>29.122658536380001</v>
      </c>
      <c r="X5" s="597">
        <f t="shared" ref="X5:X46" si="4">M5*U5</f>
        <v>12.347766287400001</v>
      </c>
      <c r="Y5" s="597">
        <f t="shared" ref="Y5:Y46" si="5">M5*V5</f>
        <v>184.00179535102001</v>
      </c>
      <c r="Z5" s="660"/>
      <c r="AB5" s="802">
        <f t="shared" ref="AB5:AB31" si="6">W5*$AC$5</f>
        <v>72806646.340949997</v>
      </c>
      <c r="AC5" s="804">
        <v>2500000</v>
      </c>
      <c r="AE5" s="798"/>
      <c r="AG5" s="863" t="s">
        <v>39</v>
      </c>
      <c r="AH5" s="864"/>
      <c r="AI5" s="864"/>
      <c r="AJ5" s="865"/>
      <c r="AL5" s="785" t="s">
        <v>215</v>
      </c>
      <c r="AM5" s="786">
        <v>10.7</v>
      </c>
      <c r="AN5" s="787" t="s">
        <v>217</v>
      </c>
    </row>
    <row r="6" spans="1:92" ht="16.2" thickBot="1" x14ac:dyDescent="0.35">
      <c r="A6" s="898"/>
      <c r="B6" s="891"/>
      <c r="C6" s="891"/>
      <c r="D6" s="828" t="s">
        <v>450</v>
      </c>
      <c r="E6" s="828" t="s">
        <v>448</v>
      </c>
      <c r="F6" s="609" t="s">
        <v>14</v>
      </c>
      <c r="G6" s="855">
        <v>0.36</v>
      </c>
      <c r="H6" s="857">
        <f>J6-H5</f>
        <v>98.859999999999985</v>
      </c>
      <c r="I6" s="510">
        <f t="shared" si="0"/>
        <v>8.2383333333333315</v>
      </c>
      <c r="J6" s="510">
        <v>215.7</v>
      </c>
      <c r="K6" s="856">
        <v>1.2350000000000001</v>
      </c>
      <c r="L6" s="525">
        <v>0.68</v>
      </c>
      <c r="M6" s="510">
        <f>H6*K6*G6</f>
        <v>43.953155999999993</v>
      </c>
      <c r="N6" s="892"/>
      <c r="O6" s="510">
        <f t="shared" si="1"/>
        <v>3.6627629999999995</v>
      </c>
      <c r="P6" s="892"/>
      <c r="Q6" s="597">
        <f t="shared" si="2"/>
        <v>720</v>
      </c>
      <c r="R6" s="510">
        <v>0</v>
      </c>
      <c r="S6" s="892"/>
      <c r="T6" s="599">
        <f>AVERAGE('LT Ball Mill'!F7:F9)</f>
        <v>0.60899999999999999</v>
      </c>
      <c r="U6" s="599">
        <f>AVERAGE('LT Ball Mill'!G7:G9)</f>
        <v>0.52833333333333343</v>
      </c>
      <c r="V6" s="599">
        <f>AVERAGE('LT Ball Mill'!H7:H9)</f>
        <v>7.623333333333334</v>
      </c>
      <c r="W6" s="513">
        <f t="shared" si="3"/>
        <v>26.767472003999995</v>
      </c>
      <c r="X6" s="597">
        <f t="shared" si="4"/>
        <v>23.22191742</v>
      </c>
      <c r="Y6" s="597">
        <f t="shared" si="5"/>
        <v>335.06955923999999</v>
      </c>
      <c r="Z6" s="660"/>
      <c r="AB6" s="794">
        <f t="shared" si="6"/>
        <v>66918680.00999999</v>
      </c>
      <c r="AD6" s="798"/>
      <c r="AE6" s="798"/>
      <c r="AG6" s="775"/>
      <c r="AH6" s="782" t="s">
        <v>40</v>
      </c>
      <c r="AI6" s="799">
        <v>1250</v>
      </c>
      <c r="AJ6" s="776" t="s">
        <v>41</v>
      </c>
      <c r="AK6" s="781"/>
      <c r="AL6" s="788" t="s">
        <v>216</v>
      </c>
      <c r="AM6" s="797">
        <v>3.2</v>
      </c>
      <c r="AN6" s="790" t="s">
        <v>217</v>
      </c>
    </row>
    <row r="7" spans="1:92" s="454" customFormat="1" ht="15.6" x14ac:dyDescent="0.3">
      <c r="A7" s="898"/>
      <c r="B7" s="891">
        <v>46266</v>
      </c>
      <c r="C7" s="891"/>
      <c r="D7" s="828" t="s">
        <v>449</v>
      </c>
      <c r="E7" s="828" t="s">
        <v>448</v>
      </c>
      <c r="F7" s="609" t="s">
        <v>13</v>
      </c>
      <c r="G7" s="525">
        <v>0.38790000000000002</v>
      </c>
      <c r="H7" s="858">
        <f>J7-SUM(H5:H6)</f>
        <v>143.30000000000001</v>
      </c>
      <c r="I7" s="510">
        <f t="shared" si="0"/>
        <v>12.371223021582734</v>
      </c>
      <c r="J7" s="510">
        <v>359</v>
      </c>
      <c r="K7" s="526">
        <v>1.2549999999999999</v>
      </c>
      <c r="L7" s="525">
        <v>0.7</v>
      </c>
      <c r="M7" s="510">
        <f>(K7*J7*G7)-(SUM(M5:M6))</f>
        <v>100.69674635999999</v>
      </c>
      <c r="N7" s="892">
        <f>SUM(M7:M8)</f>
        <v>218.24394086000001</v>
      </c>
      <c r="O7" s="510">
        <f t="shared" si="1"/>
        <v>8.6932442900719415</v>
      </c>
      <c r="P7" s="901">
        <f>'Milling Down Time Hours'!M6</f>
        <v>22.9</v>
      </c>
      <c r="Q7" s="597">
        <f t="shared" si="2"/>
        <v>695</v>
      </c>
      <c r="R7" s="510">
        <v>25</v>
      </c>
      <c r="S7" s="892"/>
      <c r="T7" s="599">
        <f>AVERAGE('LT Ball Mill'!F10:F12)</f>
        <v>0.64699999999999991</v>
      </c>
      <c r="U7" s="599">
        <f>AVERAGE('LT Ball Mill'!G10:G12)</f>
        <v>0.67433333333333334</v>
      </c>
      <c r="V7" s="599">
        <f>AVERAGE('LT Ball Mill'!H10:H12)</f>
        <v>7.5333333333333341</v>
      </c>
      <c r="W7" s="513">
        <f t="shared" si="3"/>
        <v>65.150794894919983</v>
      </c>
      <c r="X7" s="597">
        <f t="shared" si="4"/>
        <v>67.903172628759989</v>
      </c>
      <c r="Y7" s="597">
        <f t="shared" si="5"/>
        <v>758.58215591199996</v>
      </c>
      <c r="Z7" s="660"/>
      <c r="AA7" s="1"/>
      <c r="AB7" s="794">
        <f t="shared" si="6"/>
        <v>162876987.23729995</v>
      </c>
      <c r="AC7" s="1"/>
      <c r="AD7" s="1"/>
      <c r="AE7" s="1"/>
      <c r="AF7" s="1"/>
      <c r="AG7" s="775"/>
      <c r="AH7" s="31" t="s">
        <v>42</v>
      </c>
      <c r="AI7" s="783">
        <v>1000</v>
      </c>
      <c r="AJ7" s="776" t="s">
        <v>43</v>
      </c>
      <c r="AK7" s="1"/>
      <c r="AL7" s="788" t="s">
        <v>218</v>
      </c>
      <c r="AM7" s="789">
        <f>AM5*0.5</f>
        <v>5.35</v>
      </c>
      <c r="AN7" s="79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4" customFormat="1" ht="16.2" thickBot="1" x14ac:dyDescent="0.35">
      <c r="A8" s="898"/>
      <c r="B8" s="891"/>
      <c r="C8" s="891"/>
      <c r="D8" s="829" t="s">
        <v>450</v>
      </c>
      <c r="E8" s="829" t="s">
        <v>451</v>
      </c>
      <c r="F8" s="609" t="s">
        <v>14</v>
      </c>
      <c r="G8" s="525">
        <v>0.41</v>
      </c>
      <c r="H8" s="597">
        <f>J8-SUM(H5:H7)</f>
        <v>198</v>
      </c>
      <c r="I8" s="510">
        <f t="shared" si="0"/>
        <v>17.496318114874818</v>
      </c>
      <c r="J8" s="510">
        <v>557</v>
      </c>
      <c r="K8" s="526">
        <v>1.28</v>
      </c>
      <c r="L8" s="525">
        <v>0.7</v>
      </c>
      <c r="M8" s="510">
        <f>(K8*J8*G8)-(SUM(M5:M7))</f>
        <v>117.54719450000002</v>
      </c>
      <c r="N8" s="892"/>
      <c r="O8" s="510">
        <f t="shared" si="1"/>
        <v>10.387086406480119</v>
      </c>
      <c r="P8" s="901"/>
      <c r="Q8" s="597">
        <f t="shared" si="2"/>
        <v>679</v>
      </c>
      <c r="R8" s="510">
        <v>41</v>
      </c>
      <c r="S8" s="892"/>
      <c r="T8" s="599">
        <f>AVERAGE('LT Ball Mill'!F13:F15)</f>
        <v>0.60899999999999999</v>
      </c>
      <c r="U8" s="599">
        <f>AVERAGE('LT Ball Mill'!G13:G15)</f>
        <v>0.52833333333333343</v>
      </c>
      <c r="V8" s="599">
        <f>AVERAGE('LT Ball Mill'!H13:H15)</f>
        <v>7.623333333333334</v>
      </c>
      <c r="W8" s="513">
        <f t="shared" si="3"/>
        <v>71.586241450500012</v>
      </c>
      <c r="X8" s="597">
        <f t="shared" si="4"/>
        <v>62.104101094166687</v>
      </c>
      <c r="Y8" s="597">
        <f t="shared" si="5"/>
        <v>896.10144607166683</v>
      </c>
      <c r="Z8" s="660"/>
      <c r="AA8" s="1"/>
      <c r="AB8" s="794">
        <f t="shared" si="6"/>
        <v>178965603.62625003</v>
      </c>
      <c r="AC8" s="1"/>
      <c r="AD8" s="1"/>
      <c r="AE8" s="1"/>
      <c r="AF8" s="1"/>
      <c r="AG8" s="775"/>
      <c r="AH8" s="31" t="s">
        <v>44</v>
      </c>
      <c r="AI8" s="777">
        <f>+AI6/AI7</f>
        <v>1.25</v>
      </c>
      <c r="AJ8" s="776" t="s">
        <v>45</v>
      </c>
      <c r="AK8" s="1"/>
      <c r="AL8" s="791" t="s">
        <v>219</v>
      </c>
      <c r="AM8" s="792">
        <f>3.14*AM7*AM7*AM6</f>
        <v>287.59887999999995</v>
      </c>
      <c r="AN8" s="79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895">
        <v>2</v>
      </c>
      <c r="B9" s="896">
        <v>46267</v>
      </c>
      <c r="C9" s="896"/>
      <c r="D9" s="830" t="s">
        <v>449</v>
      </c>
      <c r="E9" s="830" t="s">
        <v>454</v>
      </c>
      <c r="F9" s="611" t="s">
        <v>13</v>
      </c>
      <c r="G9" s="530">
        <v>0.39</v>
      </c>
      <c r="H9" s="531">
        <f>J9</f>
        <v>215</v>
      </c>
      <c r="I9" s="515">
        <f t="shared" si="0"/>
        <v>21.5</v>
      </c>
      <c r="J9" s="531">
        <v>215</v>
      </c>
      <c r="K9" s="531">
        <v>1.26</v>
      </c>
      <c r="L9" s="530">
        <v>0.72</v>
      </c>
      <c r="M9" s="515">
        <f>H9*K9*G9</f>
        <v>105.651</v>
      </c>
      <c r="N9" s="894">
        <f>SUM(M9:M10)</f>
        <v>209.804</v>
      </c>
      <c r="O9" s="515">
        <f t="shared" si="1"/>
        <v>10.565099999999999</v>
      </c>
      <c r="P9" s="903">
        <f>'Milling Down Time Hours'!M7</f>
        <v>22</v>
      </c>
      <c r="Q9" s="529">
        <f t="shared" si="2"/>
        <v>600</v>
      </c>
      <c r="R9" s="515">
        <f>'Milling Down Time Hours'!L7</f>
        <v>120.00000000000001</v>
      </c>
      <c r="S9" s="894">
        <f>SUM(M9:M11)</f>
        <v>300.14215000000002</v>
      </c>
      <c r="T9" s="627">
        <f>AVERAGE('LT Ball Mill'!F16:F18)</f>
        <v>0.7446666666666667</v>
      </c>
      <c r="U9" s="627">
        <f>AVERAGE('LT Ball Mill'!G16:G18)</f>
        <v>0.59</v>
      </c>
      <c r="V9" s="627">
        <f>AVERAGE('LT Ball Mill'!H16:H18)</f>
        <v>9.8400000000000016</v>
      </c>
      <c r="W9" s="516">
        <f t="shared" si="3"/>
        <v>78.674778000000003</v>
      </c>
      <c r="X9" s="529">
        <f t="shared" si="4"/>
        <v>62.334089999999996</v>
      </c>
      <c r="Y9" s="529">
        <f t="shared" si="5"/>
        <v>1039.6058400000002</v>
      </c>
      <c r="Z9" s="663"/>
      <c r="AB9" s="795">
        <f t="shared" si="6"/>
        <v>196686945</v>
      </c>
      <c r="AG9" s="805"/>
      <c r="AH9" s="806" t="s">
        <v>46</v>
      </c>
      <c r="AI9" s="807">
        <f>2.1</f>
        <v>2.1</v>
      </c>
      <c r="AJ9" s="808" t="s">
        <v>45</v>
      </c>
    </row>
    <row r="10" spans="1:92" ht="16.2" thickBot="1" x14ac:dyDescent="0.35">
      <c r="A10" s="895"/>
      <c r="B10" s="896"/>
      <c r="C10" s="896"/>
      <c r="D10" s="830" t="s">
        <v>453</v>
      </c>
      <c r="E10" s="541"/>
      <c r="F10" s="611" t="s">
        <v>14</v>
      </c>
      <c r="G10" s="530">
        <v>0.4</v>
      </c>
      <c r="H10" s="531">
        <f>J10-H9</f>
        <v>198</v>
      </c>
      <c r="I10" s="515">
        <f t="shared" si="0"/>
        <v>16.5</v>
      </c>
      <c r="J10" s="531">
        <v>413</v>
      </c>
      <c r="K10" s="531">
        <v>1.27</v>
      </c>
      <c r="L10" s="530">
        <v>0.72</v>
      </c>
      <c r="M10" s="515">
        <f>K10*J10*G10-SUM(M9)</f>
        <v>104.15300000000001</v>
      </c>
      <c r="N10" s="894"/>
      <c r="O10" s="515">
        <f t="shared" si="1"/>
        <v>8.6794166666666666</v>
      </c>
      <c r="P10" s="903"/>
      <c r="Q10" s="529">
        <f t="shared" si="2"/>
        <v>720</v>
      </c>
      <c r="R10" s="515">
        <v>0</v>
      </c>
      <c r="S10" s="894"/>
      <c r="T10" s="627">
        <f>AVERAGE('LT Ball Mill'!F19:F21)</f>
        <v>0.64600000000000002</v>
      </c>
      <c r="U10" s="627">
        <f>AVERAGE('LT Ball Mill'!G19:G21)</f>
        <v>1.0666666666666667</v>
      </c>
      <c r="V10" s="627">
        <f>AVERAGE('LT Ball Mill'!H19:H21)</f>
        <v>9.2566666666666659</v>
      </c>
      <c r="W10" s="516">
        <f t="shared" si="3"/>
        <v>67.282838000000012</v>
      </c>
      <c r="X10" s="529">
        <f t="shared" si="4"/>
        <v>111.09653333333334</v>
      </c>
      <c r="Y10" s="529">
        <f t="shared" si="5"/>
        <v>964.10960333333333</v>
      </c>
      <c r="Z10" s="663"/>
      <c r="AB10" s="795">
        <f t="shared" si="6"/>
        <v>168207095.00000003</v>
      </c>
      <c r="AG10" s="805"/>
      <c r="AH10" s="806" t="s">
        <v>47</v>
      </c>
      <c r="AI10" s="807">
        <v>1</v>
      </c>
      <c r="AJ10" s="808" t="s">
        <v>45</v>
      </c>
    </row>
    <row r="11" spans="1:92" s="454" customFormat="1" ht="16.2" thickBot="1" x14ac:dyDescent="0.35">
      <c r="A11" s="895"/>
      <c r="B11" s="896">
        <v>46268</v>
      </c>
      <c r="C11" s="896"/>
      <c r="D11" s="830" t="s">
        <v>449</v>
      </c>
      <c r="E11" s="831" t="s">
        <v>480</v>
      </c>
      <c r="F11" s="611" t="s">
        <v>13</v>
      </c>
      <c r="G11" s="530">
        <v>0.43</v>
      </c>
      <c r="H11" s="531">
        <f>J11-H10-H9</f>
        <v>126</v>
      </c>
      <c r="I11" s="515">
        <f t="shared" si="0"/>
        <v>11.454545454545455</v>
      </c>
      <c r="J11" s="531">
        <v>539</v>
      </c>
      <c r="K11" s="531">
        <v>1.2949999999999999</v>
      </c>
      <c r="L11" s="530">
        <v>0.71</v>
      </c>
      <c r="M11" s="515">
        <f>J11*K11*G11-SUM(M9:M10)</f>
        <v>90.338150000000013</v>
      </c>
      <c r="N11" s="894">
        <f>SUM(M11:M12)</f>
        <v>90.338150000000013</v>
      </c>
      <c r="O11" s="515">
        <f t="shared" si="1"/>
        <v>8.2125590909090924</v>
      </c>
      <c r="P11" s="903">
        <f>'Milling Down Time Hours'!M8</f>
        <v>11.016666666666667</v>
      </c>
      <c r="Q11" s="529">
        <f t="shared" si="2"/>
        <v>660</v>
      </c>
      <c r="R11" s="515">
        <v>60</v>
      </c>
      <c r="S11" s="894"/>
      <c r="T11" s="627">
        <f>AVERAGE('LT Ball Mill'!F22:F24)</f>
        <v>0.66133333333333333</v>
      </c>
      <c r="U11" s="627">
        <f>AVERAGE('LT Ball Mill'!G22:G24)</f>
        <v>0.72333333333333327</v>
      </c>
      <c r="V11" s="627">
        <f>AVERAGE('LT Ball Mill'!H22:H24)</f>
        <v>8.0566666666666666</v>
      </c>
      <c r="W11" s="516">
        <f t="shared" si="3"/>
        <v>59.743629866666673</v>
      </c>
      <c r="X11" s="529">
        <f t="shared" si="4"/>
        <v>65.344595166666664</v>
      </c>
      <c r="Y11" s="529">
        <f t="shared" si="5"/>
        <v>727.82436183333346</v>
      </c>
      <c r="Z11" s="663"/>
      <c r="AA11" s="1"/>
      <c r="AB11" s="795">
        <f t="shared" si="6"/>
        <v>149359074.66666669</v>
      </c>
      <c r="AC11" s="1"/>
      <c r="AD11" s="1"/>
      <c r="AE11" s="1"/>
      <c r="AF11" s="1"/>
      <c r="AG11" s="775"/>
      <c r="AH11" s="782" t="s">
        <v>48</v>
      </c>
      <c r="AI11" s="784">
        <f>+(AI8-1)/(AI8-AI8/AI9)</f>
        <v>0.38181818181818183</v>
      </c>
      <c r="AJ11" s="77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4" customFormat="1" ht="15.6" x14ac:dyDescent="0.3">
      <c r="A12" s="895"/>
      <c r="B12" s="896"/>
      <c r="C12" s="896"/>
      <c r="D12" s="830" t="s">
        <v>453</v>
      </c>
      <c r="E12" s="831" t="s">
        <v>476</v>
      </c>
      <c r="F12" s="611" t="s">
        <v>14</v>
      </c>
      <c r="G12" s="859"/>
      <c r="H12" s="531"/>
      <c r="I12" s="515"/>
      <c r="J12" s="531"/>
      <c r="K12" s="531"/>
      <c r="L12" s="530"/>
      <c r="M12" s="515">
        <f t="shared" ref="M12:M75" si="7">H12*K12*G12</f>
        <v>0</v>
      </c>
      <c r="N12" s="894"/>
      <c r="O12" s="515"/>
      <c r="P12" s="903"/>
      <c r="Q12" s="529">
        <f t="shared" si="2"/>
        <v>0</v>
      </c>
      <c r="R12" s="515">
        <v>720</v>
      </c>
      <c r="S12" s="894"/>
      <c r="T12" s="860"/>
      <c r="U12" s="860"/>
      <c r="V12" s="860"/>
      <c r="W12" s="516">
        <f t="shared" si="3"/>
        <v>0</v>
      </c>
      <c r="X12" s="529">
        <f t="shared" si="4"/>
        <v>0</v>
      </c>
      <c r="Y12" s="529">
        <f t="shared" si="5"/>
        <v>0</v>
      </c>
      <c r="Z12" s="663"/>
      <c r="AA12" s="1"/>
      <c r="AB12" s="795">
        <f t="shared" si="6"/>
        <v>0</v>
      </c>
      <c r="AC12" s="1"/>
      <c r="AD12" s="1"/>
      <c r="AE12" s="1"/>
      <c r="AF12" s="1"/>
      <c r="AG12" s="805"/>
      <c r="AH12" s="806" t="s">
        <v>49</v>
      </c>
      <c r="AI12" s="809">
        <f>+AI11*AI6</f>
        <v>477.27272727272731</v>
      </c>
      <c r="AJ12" s="808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895"/>
      <c r="B13" s="896">
        <v>46269</v>
      </c>
      <c r="C13" s="896"/>
      <c r="D13" s="904" t="s">
        <v>493</v>
      </c>
      <c r="E13" s="541"/>
      <c r="F13" s="611" t="s">
        <v>13</v>
      </c>
      <c r="G13" s="530"/>
      <c r="H13" s="531"/>
      <c r="I13" s="515"/>
      <c r="J13" s="531"/>
      <c r="K13" s="531"/>
      <c r="L13" s="531"/>
      <c r="M13" s="515">
        <f t="shared" si="7"/>
        <v>0</v>
      </c>
      <c r="N13" s="515"/>
      <c r="O13" s="531"/>
      <c r="P13" s="903">
        <f>'Milling Down Time Hours'!M9</f>
        <v>3.3333333333333333E-2</v>
      </c>
      <c r="Q13" s="529"/>
      <c r="R13" s="903">
        <f>'Milling Down Time Hours'!L9</f>
        <v>1438</v>
      </c>
      <c r="S13" s="515"/>
      <c r="T13" s="627"/>
      <c r="U13" s="627"/>
      <c r="V13" s="627"/>
      <c r="W13" s="516">
        <f t="shared" si="3"/>
        <v>0</v>
      </c>
      <c r="X13" s="529">
        <f t="shared" si="4"/>
        <v>0</v>
      </c>
      <c r="Y13" s="529">
        <f t="shared" si="5"/>
        <v>0</v>
      </c>
      <c r="Z13" s="663"/>
      <c r="AB13" s="795">
        <f t="shared" si="6"/>
        <v>0</v>
      </c>
      <c r="AG13" s="805"/>
      <c r="AH13" s="806" t="s">
        <v>50</v>
      </c>
      <c r="AI13" s="809">
        <f>(AI6-AI12)</f>
        <v>772.72727272727275</v>
      </c>
      <c r="AJ13" s="808" t="s">
        <v>41</v>
      </c>
      <c r="AK13" s="8"/>
    </row>
    <row r="14" spans="1:92" ht="16.2" thickBot="1" x14ac:dyDescent="0.35">
      <c r="A14" s="895"/>
      <c r="B14" s="896"/>
      <c r="C14" s="896"/>
      <c r="D14" s="905"/>
      <c r="E14" s="832"/>
      <c r="F14" s="611" t="s">
        <v>14</v>
      </c>
      <c r="G14" s="530"/>
      <c r="H14" s="531"/>
      <c r="I14" s="515"/>
      <c r="J14" s="531"/>
      <c r="K14" s="531"/>
      <c r="L14" s="530"/>
      <c r="M14" s="515">
        <f t="shared" si="7"/>
        <v>0</v>
      </c>
      <c r="N14" s="515"/>
      <c r="O14" s="515">
        <f>(N14/SUM(P5:P14))</f>
        <v>0</v>
      </c>
      <c r="P14" s="903"/>
      <c r="Q14" s="529">
        <v>0</v>
      </c>
      <c r="R14" s="903"/>
      <c r="S14" s="531"/>
      <c r="T14" s="627"/>
      <c r="U14" s="627"/>
      <c r="V14" s="627"/>
      <c r="W14" s="516">
        <f t="shared" si="3"/>
        <v>0</v>
      </c>
      <c r="X14" s="529">
        <f t="shared" si="4"/>
        <v>0</v>
      </c>
      <c r="Y14" s="529">
        <f t="shared" si="5"/>
        <v>0</v>
      </c>
      <c r="Z14" s="663"/>
      <c r="AB14" s="795">
        <f t="shared" si="6"/>
        <v>0</v>
      </c>
      <c r="AG14" s="778"/>
      <c r="AH14" s="779"/>
      <c r="AI14" s="779"/>
      <c r="AJ14" s="780"/>
      <c r="AK14" s="8"/>
    </row>
    <row r="15" spans="1:92" x14ac:dyDescent="0.3">
      <c r="A15" s="833"/>
      <c r="B15" s="900">
        <v>46270</v>
      </c>
      <c r="C15" s="900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7"/>
        <v>0</v>
      </c>
      <c r="N15" s="14"/>
      <c r="O15" s="14"/>
      <c r="P15" s="157">
        <v>0</v>
      </c>
      <c r="Q15" s="157">
        <f t="shared" si="2"/>
        <v>0</v>
      </c>
      <c r="R15" s="41">
        <v>720</v>
      </c>
      <c r="S15" s="14"/>
      <c r="T15" s="479"/>
      <c r="U15" s="479"/>
      <c r="V15" s="479"/>
      <c r="W15" s="162">
        <f t="shared" si="3"/>
        <v>0</v>
      </c>
      <c r="X15" s="157">
        <f t="shared" si="4"/>
        <v>0</v>
      </c>
      <c r="Y15" s="157">
        <f t="shared" si="5"/>
        <v>0</v>
      </c>
      <c r="Z15" s="6"/>
      <c r="AB15" s="796">
        <f t="shared" si="6"/>
        <v>0</v>
      </c>
    </row>
    <row r="16" spans="1:92" x14ac:dyDescent="0.3">
      <c r="A16" s="898">
        <v>3</v>
      </c>
      <c r="B16" s="891">
        <v>46270</v>
      </c>
      <c r="C16" s="891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10">
        <f>SUM(M15:M16)</f>
        <v>26.314330250000005</v>
      </c>
      <c r="O16" s="510">
        <f t="shared" ref="O16:O23" si="8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892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si="3"/>
        <v>28.603676981750006</v>
      </c>
      <c r="X16" s="597">
        <f t="shared" si="4"/>
        <v>20.349748726666668</v>
      </c>
      <c r="Y16" s="597">
        <f t="shared" si="5"/>
        <v>213.58464719583338</v>
      </c>
      <c r="Z16" s="660"/>
      <c r="AB16" s="794">
        <f t="shared" si="6"/>
        <v>71509192.454375014</v>
      </c>
    </row>
    <row r="17" spans="1:32" x14ac:dyDescent="0.3">
      <c r="A17" s="898"/>
      <c r="B17" s="891">
        <v>46271</v>
      </c>
      <c r="C17" s="891"/>
      <c r="D17" s="644" t="s">
        <v>450</v>
      </c>
      <c r="E17" s="644" t="s">
        <v>515</v>
      </c>
      <c r="F17" s="609" t="s">
        <v>13</v>
      </c>
      <c r="G17" s="525">
        <v>0.47</v>
      </c>
      <c r="H17" s="510">
        <f>J17-SUM(H16)-'Au Cal Leaching Tank'!$Q$10</f>
        <v>45</v>
      </c>
      <c r="I17" s="510">
        <f t="shared" ref="I17:I22" si="9">H17/((720-R17)/60)</f>
        <v>4.5762711864406773</v>
      </c>
      <c r="J17" s="526">
        <v>215</v>
      </c>
      <c r="K17" s="526">
        <v>1.33</v>
      </c>
      <c r="L17" s="525">
        <v>0.65</v>
      </c>
      <c r="M17" s="510">
        <f>J17*K17*G17-SUM(M16)-'Au Cal Leaching Tank'!$R$10</f>
        <v>53.646499999999968</v>
      </c>
      <c r="N17" s="901">
        <f>SUM(M17:M18)</f>
        <v>173.32450000000003</v>
      </c>
      <c r="O17" s="510">
        <f t="shared" si="8"/>
        <v>5.4555762711864366</v>
      </c>
      <c r="P17" s="510">
        <f>(720-R17)/60</f>
        <v>9.8333333333333339</v>
      </c>
      <c r="Q17" s="597">
        <f t="shared" ref="Q17" si="10">720-R17</f>
        <v>590</v>
      </c>
      <c r="R17" s="510">
        <f>'Milling Down Time Hours'!L11</f>
        <v>130</v>
      </c>
      <c r="S17" s="899"/>
      <c r="T17" s="599">
        <f>AVERAGE('LT Ball Mill'!F28:F30)</f>
        <v>0.90233333333333332</v>
      </c>
      <c r="U17" s="599">
        <f>AVERAGE('LT Ball Mill'!G28:G30)</f>
        <v>0.56999999999999995</v>
      </c>
      <c r="V17" s="599">
        <f>AVERAGE('LT Ball Mill'!H28:H30)</f>
        <v>9.6533333333333342</v>
      </c>
      <c r="W17" s="513">
        <f t="shared" si="3"/>
        <v>48.407025166666635</v>
      </c>
      <c r="X17" s="597">
        <f t="shared" si="4"/>
        <v>30.578504999999979</v>
      </c>
      <c r="Y17" s="597">
        <f t="shared" si="5"/>
        <v>517.86754666666639</v>
      </c>
      <c r="Z17" s="660"/>
      <c r="AB17" s="794">
        <f t="shared" si="6"/>
        <v>121017562.91666658</v>
      </c>
      <c r="AE17" s="45"/>
      <c r="AF17" s="8"/>
    </row>
    <row r="18" spans="1:32" x14ac:dyDescent="0.3">
      <c r="A18" s="898"/>
      <c r="B18" s="891"/>
      <c r="C18" s="891"/>
      <c r="D18" s="644" t="s">
        <v>449</v>
      </c>
      <c r="E18" s="645"/>
      <c r="F18" s="609" t="s">
        <v>14</v>
      </c>
      <c r="G18" s="855">
        <v>0.45</v>
      </c>
      <c r="H18" s="510">
        <f>J18-SUM(H16:H17)-'Au Cal Leaching Tank'!$Q$10</f>
        <v>216.00000000000003</v>
      </c>
      <c r="I18" s="510">
        <f t="shared" si="9"/>
        <v>18.000000000000004</v>
      </c>
      <c r="J18" s="526">
        <v>431</v>
      </c>
      <c r="K18" s="526">
        <v>1.31</v>
      </c>
      <c r="L18" s="525">
        <v>0.65</v>
      </c>
      <c r="M18" s="510">
        <f>J18*K18*G18-SUM(M16:M17)-'Au Cal Leaching Tank'!$R$10</f>
        <v>119.67800000000005</v>
      </c>
      <c r="N18" s="901"/>
      <c r="O18" s="510">
        <f t="shared" si="8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899"/>
      <c r="T18" s="599">
        <f>AVERAGE('LT Ball Mill'!F31:F33)</f>
        <v>0.81433333333333335</v>
      </c>
      <c r="U18" s="599">
        <f>AVERAGE('LT Ball Mill'!G31:G33)</f>
        <v>0.6333333333333333</v>
      </c>
      <c r="V18" s="599">
        <f>AVERAGE('LT Ball Mill'!H31:H33)</f>
        <v>9.4366666666666674</v>
      </c>
      <c r="W18" s="513">
        <f t="shared" si="3"/>
        <v>97.457784666666711</v>
      </c>
      <c r="X18" s="597">
        <f t="shared" si="4"/>
        <v>75.796066666666704</v>
      </c>
      <c r="Y18" s="597">
        <f t="shared" si="5"/>
        <v>1129.361393333334</v>
      </c>
      <c r="Z18" s="660"/>
      <c r="AB18" s="794">
        <f t="shared" si="6"/>
        <v>243644461.66666678</v>
      </c>
      <c r="AC18" s="120"/>
    </row>
    <row r="19" spans="1:32" x14ac:dyDescent="0.3">
      <c r="A19" s="898"/>
      <c r="B19" s="891">
        <v>46272</v>
      </c>
      <c r="C19" s="891"/>
      <c r="D19" s="644" t="s">
        <v>170</v>
      </c>
      <c r="E19" s="834" t="s">
        <v>527</v>
      </c>
      <c r="F19" s="609" t="s">
        <v>13</v>
      </c>
      <c r="G19" s="525">
        <v>0.45</v>
      </c>
      <c r="H19" s="510">
        <f>J19-SUM(H16:H18)-'Au Cal Leaching Tank'!$Q$10</f>
        <v>215.99999999999997</v>
      </c>
      <c r="I19" s="510">
        <f t="shared" si="9"/>
        <v>19.31445603576751</v>
      </c>
      <c r="J19" s="526">
        <v>647</v>
      </c>
      <c r="K19" s="526">
        <v>1.31</v>
      </c>
      <c r="L19" s="525">
        <v>0.73</v>
      </c>
      <c r="M19" s="510">
        <f>J19*K19*G19-SUM(M16:M18)-'Au Cal Leaching Tank'!$R$10</f>
        <v>127.33200000000005</v>
      </c>
      <c r="N19" s="902">
        <f>SUM(M19:M20)</f>
        <v>185.59190000000007</v>
      </c>
      <c r="O19" s="510">
        <f t="shared" si="8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Hours'!G13+30</f>
        <v>49</v>
      </c>
      <c r="S19" s="899"/>
      <c r="T19" s="599">
        <f>AVERAGE('LT Ball Mill'!F34:F36)</f>
        <v>0.91199999999999992</v>
      </c>
      <c r="U19" s="599">
        <f>AVERAGE('LT Ball Mill'!G34:G36)</f>
        <v>0.95333333333333325</v>
      </c>
      <c r="V19" s="599">
        <f>AVERAGE('LT Ball Mill'!H34:H36)</f>
        <v>9.3966666666666665</v>
      </c>
      <c r="W19" s="513">
        <f t="shared" si="3"/>
        <v>116.12678400000003</v>
      </c>
      <c r="X19" s="597">
        <f t="shared" si="4"/>
        <v>121.38984000000004</v>
      </c>
      <c r="Y19" s="597">
        <f t="shared" si="5"/>
        <v>1196.4963600000005</v>
      </c>
      <c r="Z19" s="660"/>
      <c r="AB19" s="794">
        <f t="shared" si="6"/>
        <v>290316960.00000006</v>
      </c>
    </row>
    <row r="20" spans="1:32" x14ac:dyDescent="0.3">
      <c r="A20" s="895">
        <v>4</v>
      </c>
      <c r="B20" s="896">
        <v>46272</v>
      </c>
      <c r="C20" s="896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15">
        <f>H20/((720-R20)/60)</f>
        <v>9.5103550295857993</v>
      </c>
      <c r="J20" s="531">
        <v>215</v>
      </c>
      <c r="K20" s="531">
        <v>1.28</v>
      </c>
      <c r="L20" s="530">
        <v>0.73</v>
      </c>
      <c r="M20" s="515">
        <f>J20*K20*G20-'Au Cal Leaching Tank'!$R$11</f>
        <v>58.259900000000002</v>
      </c>
      <c r="N20" s="899"/>
      <c r="O20" s="515">
        <f t="shared" si="8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Hours'!G14-30</f>
        <v>44</v>
      </c>
      <c r="S20" s="894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3"/>
        <v>30.897166966666674</v>
      </c>
      <c r="X20" s="529">
        <f t="shared" si="4"/>
        <v>62.338093000000008</v>
      </c>
      <c r="Y20" s="529">
        <f t="shared" si="5"/>
        <v>520.0667073333334</v>
      </c>
      <c r="Z20" s="663"/>
      <c r="AB20" s="795">
        <f t="shared" si="6"/>
        <v>77242917.416666687</v>
      </c>
    </row>
    <row r="21" spans="1:32" x14ac:dyDescent="0.3">
      <c r="A21" s="895"/>
      <c r="B21" s="896">
        <v>46273</v>
      </c>
      <c r="C21" s="896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15">
        <f t="shared" si="9"/>
        <v>18.290322580645157</v>
      </c>
      <c r="J21" s="531">
        <v>404</v>
      </c>
      <c r="K21" s="531">
        <v>1.29</v>
      </c>
      <c r="L21" s="530">
        <v>0.75</v>
      </c>
      <c r="M21" s="515">
        <f>J21*K21*G21-'Au Cal Leaching Tank'!$R$11-SUM(M20)</f>
        <v>106.05519999999997</v>
      </c>
      <c r="N21" s="894">
        <f>SUM(M21:M22)</f>
        <v>193.82679999999999</v>
      </c>
      <c r="O21" s="515">
        <f t="shared" si="8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Hours'!G15</f>
        <v>100</v>
      </c>
      <c r="S21" s="894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3"/>
        <v>68.582362666666654</v>
      </c>
      <c r="X21" s="529">
        <f t="shared" si="4"/>
        <v>102.16650933333329</v>
      </c>
      <c r="Y21" s="529">
        <f t="shared" si="5"/>
        <v>965.45583733333308</v>
      </c>
      <c r="Z21" s="663"/>
      <c r="AB21" s="795">
        <f t="shared" si="6"/>
        <v>171455906.66666663</v>
      </c>
    </row>
    <row r="22" spans="1:32" x14ac:dyDescent="0.3">
      <c r="A22" s="895"/>
      <c r="B22" s="896"/>
      <c r="C22" s="896"/>
      <c r="D22" s="835" t="s">
        <v>532</v>
      </c>
      <c r="E22" s="836" t="s">
        <v>538</v>
      </c>
      <c r="F22" s="611" t="s">
        <v>14</v>
      </c>
      <c r="G22" s="530">
        <v>0.42</v>
      </c>
      <c r="H22" s="515">
        <f>J22-'Au Cal Leaching Tank'!$Q$11-SUM(H20:H21)</f>
        <v>162</v>
      </c>
      <c r="I22" s="515">
        <f t="shared" si="9"/>
        <v>17.142857142857146</v>
      </c>
      <c r="J22" s="531">
        <v>566</v>
      </c>
      <c r="K22" s="531">
        <v>1.29</v>
      </c>
      <c r="L22" s="530">
        <v>0.75</v>
      </c>
      <c r="M22" s="515">
        <f>J22*K22*G22-'Au Cal Leaching Tank'!$R$11-SUM(M20:M21)</f>
        <v>87.771600000000035</v>
      </c>
      <c r="N22" s="897"/>
      <c r="O22" s="515">
        <f t="shared" si="8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Hours'!G16</f>
        <v>153</v>
      </c>
      <c r="S22" s="894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3"/>
        <v>55.734966000000014</v>
      </c>
      <c r="X22" s="529">
        <f t="shared" si="4"/>
        <v>90.697320000000047</v>
      </c>
      <c r="Y22" s="529">
        <f t="shared" si="5"/>
        <v>685.49619600000028</v>
      </c>
      <c r="Z22" s="663"/>
      <c r="AB22" s="795">
        <f t="shared" si="6"/>
        <v>139337415.00000003</v>
      </c>
    </row>
    <row r="23" spans="1:32" ht="28.8" x14ac:dyDescent="0.3">
      <c r="A23" s="895"/>
      <c r="B23" s="896">
        <v>46274</v>
      </c>
      <c r="C23" s="896"/>
      <c r="D23" s="836" t="s">
        <v>170</v>
      </c>
      <c r="E23" s="837" t="s">
        <v>530</v>
      </c>
      <c r="F23" s="611" t="s">
        <v>13</v>
      </c>
      <c r="G23" s="530">
        <v>0.44</v>
      </c>
      <c r="H23" s="515">
        <f>J23-'Au Cal Leaching Tank'!$Q$11-SUM(H20:H22)</f>
        <v>81</v>
      </c>
      <c r="I23" s="515">
        <f>H23/((720-R23)/60)</f>
        <v>27</v>
      </c>
      <c r="J23" s="531">
        <v>647</v>
      </c>
      <c r="K23" s="531">
        <v>1.3049999999999999</v>
      </c>
      <c r="L23" s="530">
        <v>0.75</v>
      </c>
      <c r="M23" s="515">
        <f>J23*K23*G23-'Au Cal Leaching Tank'!$R$11-SUM(M20:M22)</f>
        <v>64.848599999999976</v>
      </c>
      <c r="N23" s="529">
        <f>SUM(M23:M24)</f>
        <v>64.848599999999976</v>
      </c>
      <c r="O23" s="515">
        <f t="shared" si="8"/>
        <v>21.616199999999992</v>
      </c>
      <c r="P23" s="515">
        <f>(720-R23)/60</f>
        <v>3</v>
      </c>
      <c r="Q23" s="515">
        <f>720-R23</f>
        <v>180</v>
      </c>
      <c r="R23" s="515">
        <f>'Milling Down Time Hours'!G17</f>
        <v>540</v>
      </c>
      <c r="S23" s="894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3"/>
        <v>38.41198739999998</v>
      </c>
      <c r="X23" s="529">
        <f t="shared" si="4"/>
        <v>43.232399999999984</v>
      </c>
      <c r="Y23" s="529">
        <f t="shared" si="5"/>
        <v>469.50386399999979</v>
      </c>
      <c r="Z23" s="663"/>
      <c r="AB23" s="795">
        <f t="shared" si="6"/>
        <v>96029968.499999955</v>
      </c>
    </row>
    <row r="24" spans="1:32" x14ac:dyDescent="0.3">
      <c r="A24" s="833"/>
      <c r="B24" s="890">
        <v>46274</v>
      </c>
      <c r="C24" s="890"/>
      <c r="D24" s="838" t="s">
        <v>532</v>
      </c>
      <c r="E24" s="839" t="s">
        <v>557</v>
      </c>
      <c r="F24" s="439" t="s">
        <v>14</v>
      </c>
      <c r="G24" s="42"/>
      <c r="H24" s="14"/>
      <c r="I24" s="41"/>
      <c r="J24" s="14"/>
      <c r="K24" s="14"/>
      <c r="L24" s="42"/>
      <c r="M24" s="41">
        <f>H24*K24*G24</f>
        <v>0</v>
      </c>
      <c r="N24" s="861"/>
      <c r="O24" s="41" t="str">
        <f>IFERROR(M24/P24,"")</f>
        <v/>
      </c>
      <c r="P24" s="41">
        <f>(720-R24)/60</f>
        <v>0</v>
      </c>
      <c r="Q24" s="41">
        <f>720-R24</f>
        <v>0</v>
      </c>
      <c r="R24" s="41">
        <f>'Milling Down Time Hours'!G18</f>
        <v>720</v>
      </c>
      <c r="S24" s="157"/>
      <c r="T24" s="479"/>
      <c r="U24" s="479"/>
      <c r="V24" s="479"/>
      <c r="W24" s="162">
        <f t="shared" si="3"/>
        <v>0</v>
      </c>
      <c r="X24" s="157">
        <f t="shared" si="4"/>
        <v>0</v>
      </c>
      <c r="Y24" s="157">
        <f t="shared" si="5"/>
        <v>0</v>
      </c>
      <c r="Z24" s="6"/>
      <c r="AB24" s="796">
        <f t="shared" si="6"/>
        <v>0</v>
      </c>
    </row>
    <row r="25" spans="1:32" x14ac:dyDescent="0.3">
      <c r="A25" s="898">
        <v>5</v>
      </c>
      <c r="B25" s="891">
        <v>46275</v>
      </c>
      <c r="C25" s="891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33" si="11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892">
        <f>SUM(M25:M26)</f>
        <v>262.08779999999996</v>
      </c>
      <c r="O25" s="510">
        <f t="shared" ref="O25:O26" si="12">M25/P25</f>
        <v>11.646605678233442</v>
      </c>
      <c r="P25" s="510">
        <f t="shared" ref="P25:P26" si="13">(720-R25)/60</f>
        <v>10.566666666666666</v>
      </c>
      <c r="Q25" s="510">
        <f t="shared" ref="Q25:Q26" si="14">720-R25</f>
        <v>634</v>
      </c>
      <c r="R25" s="510">
        <f>'Milling Down Time Hours'!G19</f>
        <v>86</v>
      </c>
      <c r="S25" s="892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3"/>
        <v>89.838034000000022</v>
      </c>
      <c r="X25" s="597">
        <f t="shared" si="4"/>
        <v>77.531454000000025</v>
      </c>
      <c r="Y25" s="597">
        <f t="shared" si="5"/>
        <v>1054.6739060000004</v>
      </c>
      <c r="Z25" s="660"/>
      <c r="AB25" s="794">
        <f t="shared" si="6"/>
        <v>224595085.00000006</v>
      </c>
    </row>
    <row r="26" spans="1:32" x14ac:dyDescent="0.3">
      <c r="A26" s="898"/>
      <c r="B26" s="891"/>
      <c r="C26" s="891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1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899"/>
      <c r="O26" s="510">
        <f t="shared" si="12"/>
        <v>13.282356687898083</v>
      </c>
      <c r="P26" s="510">
        <f t="shared" si="13"/>
        <v>10.466666666666667</v>
      </c>
      <c r="Q26" s="510">
        <f t="shared" si="14"/>
        <v>628</v>
      </c>
      <c r="R26" s="510">
        <f>'Milling Down Time Hours'!G20</f>
        <v>92.000000000000014</v>
      </c>
      <c r="S26" s="892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3"/>
        <v>71.735351999999963</v>
      </c>
      <c r="X26" s="597">
        <f t="shared" si="4"/>
        <v>59.779459999999972</v>
      </c>
      <c r="Y26" s="597">
        <f t="shared" si="5"/>
        <v>1289.6607533333327</v>
      </c>
      <c r="Z26" s="660"/>
      <c r="AB26" s="794">
        <f t="shared" si="6"/>
        <v>179338379.99999991</v>
      </c>
    </row>
    <row r="27" spans="1:32" ht="28.8" x14ac:dyDescent="0.3">
      <c r="A27" s="898"/>
      <c r="B27" s="891">
        <v>46276</v>
      </c>
      <c r="C27" s="891"/>
      <c r="D27" s="621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1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892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Hours'!G21</f>
        <v>61</v>
      </c>
      <c r="S27" s="892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Z27" s="660"/>
      <c r="AB27" s="794">
        <f t="shared" si="6"/>
        <v>6318420.0000001052</v>
      </c>
      <c r="AD27" s="478"/>
    </row>
    <row r="28" spans="1:32" x14ac:dyDescent="0.3">
      <c r="A28" s="840"/>
      <c r="B28" s="893">
        <v>46276</v>
      </c>
      <c r="C28" s="893"/>
      <c r="D28" s="746" t="s">
        <v>549</v>
      </c>
      <c r="E28" s="841" t="s">
        <v>591</v>
      </c>
      <c r="F28" s="109" t="s">
        <v>13</v>
      </c>
      <c r="G28" s="862">
        <v>0.42</v>
      </c>
      <c r="H28" s="741">
        <f>J28-'Au Cal Leaching Tank'!$Q$15</f>
        <v>107.15</v>
      </c>
      <c r="I28" s="741">
        <f>H28/((360-R28)/60)</f>
        <v>17.858333333333334</v>
      </c>
      <c r="J28" s="741">
        <v>215</v>
      </c>
      <c r="K28" s="485">
        <v>1.29</v>
      </c>
      <c r="L28" s="862">
        <v>0.75</v>
      </c>
      <c r="M28" s="741">
        <f>(J28*K28*G28)-'Au Cal Leaching Tank'!$R$13</f>
        <v>60.108412500000014</v>
      </c>
      <c r="N28" s="892"/>
      <c r="O28" s="741">
        <f>M28/P28</f>
        <v>10.018068750000003</v>
      </c>
      <c r="P28" s="741">
        <f>(360-R28)/60</f>
        <v>6</v>
      </c>
      <c r="Q28" s="741">
        <v>360</v>
      </c>
      <c r="R28" s="741">
        <v>0</v>
      </c>
      <c r="S28" s="894">
        <f>SUM(M28:M31)</f>
        <v>277.03691250000003</v>
      </c>
      <c r="T28" s="627">
        <f>AVERAGE('LT Ball Mill'!F58:F60)</f>
        <v>1.4286666666666665</v>
      </c>
      <c r="U28" s="627">
        <f>AVERAGE('LT Ball Mill'!G58:G60)</f>
        <v>0.99333333333333329</v>
      </c>
      <c r="V28" s="627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Z28" s="663"/>
      <c r="AB28" s="795">
        <f t="shared" si="6"/>
        <v>214687213.31250003</v>
      </c>
      <c r="AD28" s="478"/>
    </row>
    <row r="29" spans="1:32" ht="43.2" x14ac:dyDescent="0.3">
      <c r="A29" s="895">
        <v>6</v>
      </c>
      <c r="B29" s="896">
        <v>46276</v>
      </c>
      <c r="C29" s="896"/>
      <c r="D29" s="531" t="s">
        <v>559</v>
      </c>
      <c r="E29" s="842" t="s">
        <v>556</v>
      </c>
      <c r="F29" s="611" t="s">
        <v>14</v>
      </c>
      <c r="G29" s="530">
        <v>0.45</v>
      </c>
      <c r="H29" s="515">
        <f>J29-'Au Cal Leaching Tank'!$Q$15-SUM(H28)</f>
        <v>72</v>
      </c>
      <c r="I29" s="515">
        <f t="shared" si="11"/>
        <v>36</v>
      </c>
      <c r="J29" s="531">
        <v>287</v>
      </c>
      <c r="K29" s="531">
        <v>1.29</v>
      </c>
      <c r="L29" s="530">
        <v>0.75</v>
      </c>
      <c r="M29" s="515">
        <f>(J29*K29*G29)-'Au Cal Leaching Tank'!$R$13-SUM(M28)</f>
        <v>50.116500000000016</v>
      </c>
      <c r="N29" s="529">
        <f>M29</f>
        <v>50.116500000000016</v>
      </c>
      <c r="O29" s="515">
        <f>M29/P29</f>
        <v>25.058250000000008</v>
      </c>
      <c r="P29" s="515">
        <f>(720-R29)/60</f>
        <v>2</v>
      </c>
      <c r="Q29" s="515">
        <f>720-R29</f>
        <v>120</v>
      </c>
      <c r="R29" s="515">
        <f>'Milling Down Time Hours'!G22</f>
        <v>600</v>
      </c>
      <c r="S29" s="894"/>
      <c r="T29" s="627">
        <f>AVERAGE('LT Ball Mill'!F61:F63)</f>
        <v>0.26499999999999996</v>
      </c>
      <c r="U29" s="627">
        <f>AVERAGE('LT Ball Mill'!G61:G63)</f>
        <v>0.57333333333333336</v>
      </c>
      <c r="V29" s="627">
        <f>AVERAGE('LT Ball Mill'!H61:H63)</f>
        <v>7.5933333333333337</v>
      </c>
      <c r="W29" s="516">
        <f>T29*M29</f>
        <v>13.280872500000003</v>
      </c>
      <c r="X29" s="529">
        <f>M29*U29</f>
        <v>28.733460000000012</v>
      </c>
      <c r="Y29" s="529">
        <f>M29*V29</f>
        <v>380.55129000000017</v>
      </c>
      <c r="Z29" s="663"/>
      <c r="AB29" s="795">
        <f t="shared" si="6"/>
        <v>33202181.250000007</v>
      </c>
    </row>
    <row r="30" spans="1:32" ht="28.8" x14ac:dyDescent="0.3">
      <c r="A30" s="895"/>
      <c r="B30" s="896">
        <v>46277</v>
      </c>
      <c r="C30" s="896"/>
      <c r="D30" s="668" t="s">
        <v>560</v>
      </c>
      <c r="E30" s="842" t="s">
        <v>561</v>
      </c>
      <c r="F30" s="611" t="s">
        <v>13</v>
      </c>
      <c r="G30" s="530">
        <v>0.33</v>
      </c>
      <c r="H30" s="515">
        <f>J30-'Au Cal Leaching Tank'!$Q$15-SUM(H28:H29)</f>
        <v>432</v>
      </c>
      <c r="I30" s="515"/>
      <c r="J30" s="531">
        <v>719</v>
      </c>
      <c r="K30" s="531">
        <v>1.21</v>
      </c>
      <c r="L30" s="530">
        <v>0.75</v>
      </c>
      <c r="M30" s="515">
        <f>(J30*K30*G30)-'Au Cal Leaching Tank'!$R$13-SUM(M28:M29)</f>
        <v>120.49319999999999</v>
      </c>
      <c r="N30" s="894">
        <f>SUM(M30:M31)</f>
        <v>166.81200000000001</v>
      </c>
      <c r="O30" s="515" t="str">
        <f>IFERROR(M30/P30,"")</f>
        <v/>
      </c>
      <c r="P30" s="515">
        <f>(720-R30)/60</f>
        <v>0</v>
      </c>
      <c r="Q30" s="515">
        <f>720-R30</f>
        <v>0</v>
      </c>
      <c r="R30" s="515">
        <f>'Milling Down Time Hours'!G23</f>
        <v>720</v>
      </c>
      <c r="S30" s="894"/>
      <c r="T30" s="627">
        <f>AVERAGE('LT Ball Mill'!F64:F66)</f>
        <v>0.30533333333333329</v>
      </c>
      <c r="U30" s="627">
        <f>AVERAGE('LT Ball Mill'!G64:G66)</f>
        <v>0.55333333333333334</v>
      </c>
      <c r="V30" s="627">
        <f>AVERAGE('LT Ball Mill'!H64:H66)</f>
        <v>6.7966666666666669</v>
      </c>
      <c r="W30" s="516">
        <f t="shared" si="3"/>
        <v>36.790590399999992</v>
      </c>
      <c r="X30" s="529">
        <f t="shared" si="4"/>
        <v>66.672903999999988</v>
      </c>
      <c r="Y30" s="529">
        <f t="shared" si="5"/>
        <v>818.95211599999993</v>
      </c>
      <c r="Z30" s="663"/>
      <c r="AB30" s="795">
        <f t="shared" si="6"/>
        <v>91976475.999999985</v>
      </c>
    </row>
    <row r="31" spans="1:32" x14ac:dyDescent="0.3">
      <c r="A31" s="895"/>
      <c r="B31" s="896"/>
      <c r="C31" s="896"/>
      <c r="D31" s="843" t="s">
        <v>579</v>
      </c>
      <c r="E31" s="843" t="s">
        <v>580</v>
      </c>
      <c r="F31" s="611" t="s">
        <v>14</v>
      </c>
      <c r="G31" s="530">
        <v>0.33</v>
      </c>
      <c r="H31" s="515">
        <f>J31-'Au Cal Leaching Tank'!$Q$15-SUM(H28:H30)</f>
        <v>116</v>
      </c>
      <c r="I31" s="515"/>
      <c r="J31" s="531">
        <v>835</v>
      </c>
      <c r="K31" s="531">
        <v>1.21</v>
      </c>
      <c r="L31" s="530">
        <v>0.75</v>
      </c>
      <c r="M31" s="515">
        <f>(J31*K31*G31)-'Au Cal Leaching Tank'!$R$13-SUM(M28:M30)</f>
        <v>46.31880000000001</v>
      </c>
      <c r="N31" s="894"/>
      <c r="O31" s="515" t="str">
        <f t="shared" ref="O31:O43" si="15">IFERROR(M31/P31,"")</f>
        <v/>
      </c>
      <c r="P31" s="515">
        <f>'Milling Down Time Hours'!M18</f>
        <v>0</v>
      </c>
      <c r="Q31" s="515">
        <f>720-R31</f>
        <v>0</v>
      </c>
      <c r="R31" s="515">
        <f>'Milling Down Time Hours'!G24</f>
        <v>720</v>
      </c>
      <c r="S31" s="894"/>
      <c r="T31" s="627">
        <f>AVERAGE('LT Ball Mill'!F64:F66)</f>
        <v>0.30533333333333329</v>
      </c>
      <c r="U31" s="627">
        <f>AVERAGE('LT Ball Mill'!G64:G66)</f>
        <v>0.55333333333333334</v>
      </c>
      <c r="V31" s="627">
        <f>AVERAGE('LT Ball Mill'!H64:H66)</f>
        <v>6.7966666666666669</v>
      </c>
      <c r="W31" s="516">
        <f t="shared" si="3"/>
        <v>14.142673600000002</v>
      </c>
      <c r="X31" s="529">
        <f t="shared" si="4"/>
        <v>25.629736000000005</v>
      </c>
      <c r="Y31" s="529">
        <f t="shared" si="5"/>
        <v>314.81344400000006</v>
      </c>
      <c r="Z31" s="663"/>
      <c r="AB31" s="795">
        <f t="shared" si="6"/>
        <v>35356684.000000007</v>
      </c>
      <c r="AC31" s="139"/>
    </row>
    <row r="32" spans="1:32" x14ac:dyDescent="0.3">
      <c r="A32" s="833"/>
      <c r="B32" s="890">
        <v>46278</v>
      </c>
      <c r="C32" s="890"/>
      <c r="D32" s="844" t="s">
        <v>581</v>
      </c>
      <c r="E32" s="844" t="s">
        <v>580</v>
      </c>
      <c r="F32" s="439" t="s">
        <v>13</v>
      </c>
      <c r="G32" s="42"/>
      <c r="H32" s="14"/>
      <c r="I32" s="41"/>
      <c r="J32" s="14"/>
      <c r="K32" s="14"/>
      <c r="L32" s="42"/>
      <c r="M32" s="41">
        <f t="shared" si="7"/>
        <v>0</v>
      </c>
      <c r="N32" s="157"/>
      <c r="O32" s="41" t="str">
        <f t="shared" si="15"/>
        <v/>
      </c>
      <c r="P32" s="41"/>
      <c r="Q32" s="41">
        <f>720-R32</f>
        <v>0</v>
      </c>
      <c r="R32" s="41">
        <f>'Milling Down Time Hours'!G25</f>
        <v>720</v>
      </c>
      <c r="S32" s="14"/>
      <c r="T32" s="479"/>
      <c r="U32" s="479"/>
      <c r="V32" s="479"/>
      <c r="W32" s="162">
        <f t="shared" si="3"/>
        <v>0</v>
      </c>
      <c r="X32" s="157">
        <f t="shared" si="4"/>
        <v>0</v>
      </c>
      <c r="Y32" s="157">
        <f t="shared" si="5"/>
        <v>0</v>
      </c>
      <c r="Z32" s="6"/>
    </row>
    <row r="33" spans="1:32" x14ac:dyDescent="0.3">
      <c r="A33" s="827"/>
      <c r="B33" s="1136">
        <v>46278</v>
      </c>
      <c r="C33" s="1136"/>
      <c r="D33" s="845" t="s">
        <v>170</v>
      </c>
      <c r="E33" s="846" t="s">
        <v>590</v>
      </c>
      <c r="F33" s="609" t="s">
        <v>14</v>
      </c>
      <c r="G33" s="525">
        <v>0.38</v>
      </c>
      <c r="H33" s="510">
        <f>J33-'Au Cal Leaching Tank'!$Q$14</f>
        <v>179.74888000000001</v>
      </c>
      <c r="I33" s="733">
        <f>H33/((720-R33)/60)</f>
        <v>-14.979073333333334</v>
      </c>
      <c r="J33" s="510">
        <f>3.14*Z33*((10.7/2)^2)</f>
        <v>287.59888000000001</v>
      </c>
      <c r="K33" s="526">
        <v>1.25</v>
      </c>
      <c r="L33" s="525">
        <v>0.75</v>
      </c>
      <c r="M33" s="510">
        <f>(J33*K33*G33)-'Au Cal Leaching Tank'!$Q$14</f>
        <v>28.759467999999998</v>
      </c>
      <c r="N33" s="597"/>
      <c r="O33" s="510" t="str">
        <f t="shared" si="15"/>
        <v/>
      </c>
      <c r="P33" s="800">
        <f>'Milling Down Time Hours'!M19</f>
        <v>0</v>
      </c>
      <c r="Q33" s="733">
        <f>720-R33</f>
        <v>-720</v>
      </c>
      <c r="R33" s="800">
        <f>'Milling Down Time Hours'!L19</f>
        <v>1440</v>
      </c>
      <c r="S33" s="526"/>
      <c r="T33" s="599"/>
      <c r="U33" s="599"/>
      <c r="V33" s="599"/>
      <c r="W33" s="513">
        <f t="shared" si="3"/>
        <v>0</v>
      </c>
      <c r="X33" s="597">
        <f t="shared" si="4"/>
        <v>0</v>
      </c>
      <c r="Y33" s="597">
        <f t="shared" si="5"/>
        <v>0</v>
      </c>
      <c r="Z33" s="609">
        <v>3.2</v>
      </c>
    </row>
    <row r="34" spans="1:32" x14ac:dyDescent="0.3">
      <c r="B34" s="882">
        <v>46279</v>
      </c>
      <c r="C34" s="883"/>
      <c r="D34" s="35"/>
      <c r="E34" s="35"/>
      <c r="F34" s="847" t="s">
        <v>13</v>
      </c>
      <c r="G34" s="42"/>
      <c r="H34" s="14"/>
      <c r="I34" s="14"/>
      <c r="J34" s="14"/>
      <c r="K34" s="14"/>
      <c r="L34" s="42"/>
      <c r="M34" s="41">
        <f t="shared" si="7"/>
        <v>0</v>
      </c>
      <c r="N34" s="157"/>
      <c r="O34" s="510" t="str">
        <f t="shared" si="15"/>
        <v/>
      </c>
      <c r="P34" s="800"/>
      <c r="Q34" s="510"/>
      <c r="R34" s="800"/>
      <c r="S34" s="526"/>
      <c r="T34" s="599"/>
      <c r="U34" s="599"/>
      <c r="V34" s="599"/>
      <c r="W34" s="513">
        <f t="shared" si="3"/>
        <v>0</v>
      </c>
      <c r="X34" s="597">
        <f t="shared" si="4"/>
        <v>0</v>
      </c>
      <c r="Y34" s="597">
        <f t="shared" si="5"/>
        <v>0</v>
      </c>
      <c r="Z34" s="660"/>
    </row>
    <row r="35" spans="1:32" ht="15" thickBot="1" x14ac:dyDescent="0.35">
      <c r="B35" s="884"/>
      <c r="C35" s="885"/>
      <c r="D35" s="38"/>
      <c r="E35" s="38"/>
      <c r="F35" s="612" t="s">
        <v>14</v>
      </c>
      <c r="G35" s="167"/>
      <c r="H35" s="36"/>
      <c r="I35" s="36"/>
      <c r="J35" s="36"/>
      <c r="K35" s="36"/>
      <c r="L35" s="849"/>
      <c r="M35" s="229">
        <f t="shared" si="7"/>
        <v>0</v>
      </c>
      <c r="N35" s="850"/>
      <c r="O35" s="659">
        <f t="shared" si="15"/>
        <v>0</v>
      </c>
      <c r="P35" s="872">
        <f>'Milling Down Time Hours'!M20</f>
        <v>22</v>
      </c>
      <c r="Q35" s="451"/>
      <c r="R35" s="872">
        <f>'Milling Down Time Hours'!L20</f>
        <v>120.00000000000001</v>
      </c>
      <c r="S35" s="36"/>
      <c r="T35" s="851"/>
      <c r="U35" s="851"/>
      <c r="V35" s="852"/>
      <c r="W35" s="853">
        <f t="shared" si="3"/>
        <v>0</v>
      </c>
      <c r="X35" s="854">
        <f t="shared" si="4"/>
        <v>0</v>
      </c>
      <c r="Y35" s="854">
        <f t="shared" si="5"/>
        <v>0</v>
      </c>
      <c r="AC35" s="11"/>
    </row>
    <row r="36" spans="1:32" ht="15" thickBot="1" x14ac:dyDescent="0.35">
      <c r="B36" s="880">
        <v>46280</v>
      </c>
      <c r="C36" s="881"/>
      <c r="D36" s="38"/>
      <c r="E36" s="245"/>
      <c r="F36" s="613" t="s">
        <v>13</v>
      </c>
      <c r="G36" s="42"/>
      <c r="H36" s="14"/>
      <c r="I36" s="14"/>
      <c r="J36" s="14"/>
      <c r="K36" s="14"/>
      <c r="L36" s="42"/>
      <c r="M36" s="28">
        <f t="shared" si="7"/>
        <v>0</v>
      </c>
      <c r="N36" s="233"/>
      <c r="O36" s="659" t="str">
        <f t="shared" si="15"/>
        <v/>
      </c>
      <c r="P36" s="867"/>
      <c r="Q36" s="229"/>
      <c r="R36" s="867"/>
      <c r="S36" s="14"/>
      <c r="T36" s="156"/>
      <c r="U36" s="156"/>
      <c r="V36" s="161"/>
      <c r="W36" s="162">
        <f t="shared" si="3"/>
        <v>0</v>
      </c>
      <c r="X36" s="157">
        <f t="shared" si="4"/>
        <v>0</v>
      </c>
      <c r="Y36" s="157">
        <f t="shared" si="5"/>
        <v>0</v>
      </c>
      <c r="AC36" s="11"/>
    </row>
    <row r="37" spans="1:32" ht="15" thickBot="1" x14ac:dyDescent="0.35">
      <c r="B37" s="884"/>
      <c r="C37" s="885"/>
      <c r="D37" s="438"/>
      <c r="E37" s="438"/>
      <c r="F37" s="612" t="s">
        <v>14</v>
      </c>
      <c r="G37" s="440"/>
      <c r="H37" s="439"/>
      <c r="I37" s="439"/>
      <c r="J37" s="439"/>
      <c r="K37" s="439"/>
      <c r="L37" s="440"/>
      <c r="M37" s="28">
        <f t="shared" si="7"/>
        <v>0</v>
      </c>
      <c r="N37" s="441"/>
      <c r="O37" s="659">
        <f t="shared" si="15"/>
        <v>0</v>
      </c>
      <c r="P37" s="669">
        <f>'Milling Down Time Hours'!M21</f>
        <v>24</v>
      </c>
      <c r="Q37" s="472"/>
      <c r="R37" s="669">
        <f>'Milling Down Time Hours'!L21</f>
        <v>0</v>
      </c>
      <c r="S37" s="439"/>
      <c r="T37" s="442"/>
      <c r="U37" s="442"/>
      <c r="V37" s="443"/>
      <c r="W37" s="162">
        <f t="shared" si="3"/>
        <v>0</v>
      </c>
      <c r="X37" s="157">
        <f t="shared" si="4"/>
        <v>0</v>
      </c>
      <c r="Y37" s="157">
        <f t="shared" si="5"/>
        <v>0</v>
      </c>
    </row>
    <row r="38" spans="1:32" ht="15" thickBot="1" x14ac:dyDescent="0.35">
      <c r="B38" s="880">
        <v>46281</v>
      </c>
      <c r="C38" s="881"/>
      <c r="D38" s="438"/>
      <c r="E38" s="438"/>
      <c r="F38" s="613" t="s">
        <v>13</v>
      </c>
      <c r="G38" s="440"/>
      <c r="H38" s="439"/>
      <c r="I38" s="439"/>
      <c r="J38" s="439"/>
      <c r="K38" s="439"/>
      <c r="L38" s="440"/>
      <c r="M38" s="28">
        <f t="shared" si="7"/>
        <v>0</v>
      </c>
      <c r="N38" s="441"/>
      <c r="O38" s="659" t="str">
        <f t="shared" si="15"/>
        <v/>
      </c>
      <c r="P38" s="670"/>
      <c r="Q38" s="473"/>
      <c r="R38" s="670"/>
      <c r="S38" s="439"/>
      <c r="T38" s="444"/>
      <c r="U38" s="444"/>
      <c r="V38" s="445"/>
      <c r="W38" s="162">
        <f t="shared" si="3"/>
        <v>0</v>
      </c>
      <c r="X38" s="157">
        <f t="shared" si="4"/>
        <v>0</v>
      </c>
      <c r="Y38" s="157">
        <f t="shared" si="5"/>
        <v>0</v>
      </c>
    </row>
    <row r="39" spans="1:32" ht="15" thickBot="1" x14ac:dyDescent="0.35">
      <c r="B39" s="884"/>
      <c r="C39" s="885"/>
      <c r="D39" s="38"/>
      <c r="E39" s="244"/>
      <c r="F39" s="612" t="s">
        <v>14</v>
      </c>
      <c r="G39" s="6"/>
      <c r="H39" s="14"/>
      <c r="I39" s="6"/>
      <c r="J39" s="6"/>
      <c r="K39" s="14"/>
      <c r="L39" s="14"/>
      <c r="M39" s="28">
        <f t="shared" si="7"/>
        <v>0</v>
      </c>
      <c r="N39" s="14"/>
      <c r="O39" s="659">
        <f t="shared" si="15"/>
        <v>0</v>
      </c>
      <c r="P39" s="866">
        <f>'Milling Down Time Hours'!M22</f>
        <v>24</v>
      </c>
      <c r="Q39" s="246"/>
      <c r="R39" s="866">
        <f>'Milling Down Time Hours'!L22</f>
        <v>0</v>
      </c>
      <c r="S39" s="14"/>
      <c r="T39" s="868"/>
      <c r="U39" s="868"/>
      <c r="V39" s="870"/>
      <c r="W39" s="162">
        <f t="shared" si="3"/>
        <v>0</v>
      </c>
      <c r="X39" s="157">
        <f t="shared" si="4"/>
        <v>0</v>
      </c>
      <c r="Y39" s="157">
        <f t="shared" si="5"/>
        <v>0</v>
      </c>
    </row>
    <row r="40" spans="1:32" ht="15" thickBot="1" x14ac:dyDescent="0.35">
      <c r="B40" s="880">
        <v>46282</v>
      </c>
      <c r="C40" s="881"/>
      <c r="D40" s="14"/>
      <c r="E40" s="14"/>
      <c r="F40" s="613" t="s">
        <v>13</v>
      </c>
      <c r="G40" s="6"/>
      <c r="H40" s="14"/>
      <c r="I40" s="6"/>
      <c r="J40" s="6"/>
      <c r="K40" s="14"/>
      <c r="L40" s="14"/>
      <c r="M40" s="28">
        <f t="shared" si="7"/>
        <v>0</v>
      </c>
      <c r="N40" s="14"/>
      <c r="O40" s="659" t="str">
        <f t="shared" si="15"/>
        <v/>
      </c>
      <c r="P40" s="867"/>
      <c r="Q40" s="229"/>
      <c r="R40" s="867"/>
      <c r="S40" s="14"/>
      <c r="T40" s="869"/>
      <c r="U40" s="869"/>
      <c r="V40" s="871"/>
      <c r="W40" s="162">
        <f t="shared" si="3"/>
        <v>0</v>
      </c>
      <c r="X40" s="157">
        <f t="shared" si="4"/>
        <v>0</v>
      </c>
      <c r="Y40" s="157">
        <f t="shared" si="5"/>
        <v>0</v>
      </c>
      <c r="AC40" s="139" t="s">
        <v>516</v>
      </c>
      <c r="AF40" s="1">
        <f>53-6-17</f>
        <v>30</v>
      </c>
    </row>
    <row r="41" spans="1:32" ht="15" thickBot="1" x14ac:dyDescent="0.35">
      <c r="B41" s="884"/>
      <c r="C41" s="885"/>
      <c r="D41" s="38"/>
      <c r="E41" s="244"/>
      <c r="F41" s="612" t="s">
        <v>14</v>
      </c>
      <c r="G41" s="42"/>
      <c r="H41" s="41"/>
      <c r="I41" s="41"/>
      <c r="J41" s="41"/>
      <c r="K41" s="14"/>
      <c r="L41" s="42"/>
      <c r="M41" s="28">
        <f t="shared" si="7"/>
        <v>0</v>
      </c>
      <c r="N41" s="41"/>
      <c r="O41" s="659">
        <f t="shared" si="15"/>
        <v>0</v>
      </c>
      <c r="P41" s="866">
        <f>'Milling Down Time Hours'!M23</f>
        <v>24</v>
      </c>
      <c r="Q41" s="246"/>
      <c r="R41" s="866">
        <f>'Milling Down Time Hours'!L23</f>
        <v>0</v>
      </c>
      <c r="S41" s="14"/>
      <c r="T41" s="169"/>
      <c r="U41" s="169"/>
      <c r="V41" s="170"/>
      <c r="W41" s="162">
        <f t="shared" si="3"/>
        <v>0</v>
      </c>
      <c r="X41" s="157">
        <f t="shared" si="4"/>
        <v>0</v>
      </c>
      <c r="Y41" s="157">
        <f t="shared" si="5"/>
        <v>0</v>
      </c>
      <c r="AC41" s="139"/>
      <c r="AD41" s="139"/>
      <c r="AE41" s="139"/>
    </row>
    <row r="42" spans="1:32" ht="15" thickBot="1" x14ac:dyDescent="0.35">
      <c r="B42" s="880">
        <v>46283</v>
      </c>
      <c r="C42" s="881"/>
      <c r="D42" s="14"/>
      <c r="E42" s="14"/>
      <c r="F42" s="613" t="s">
        <v>13</v>
      </c>
      <c r="G42" s="42"/>
      <c r="H42" s="14"/>
      <c r="I42" s="14"/>
      <c r="J42" s="14"/>
      <c r="K42" s="14"/>
      <c r="L42" s="42"/>
      <c r="M42" s="28">
        <f t="shared" si="7"/>
        <v>0</v>
      </c>
      <c r="N42" s="41"/>
      <c r="O42" s="659" t="str">
        <f t="shared" si="15"/>
        <v/>
      </c>
      <c r="P42" s="867"/>
      <c r="Q42" s="229"/>
      <c r="R42" s="867"/>
      <c r="S42" s="14"/>
      <c r="T42" s="179"/>
      <c r="U42" s="179"/>
      <c r="V42" s="247"/>
      <c r="W42" s="162">
        <f t="shared" si="3"/>
        <v>0</v>
      </c>
      <c r="X42" s="157">
        <f t="shared" si="4"/>
        <v>0</v>
      </c>
      <c r="Y42" s="157">
        <f t="shared" si="5"/>
        <v>0</v>
      </c>
    </row>
    <row r="43" spans="1:32" ht="15" thickBot="1" x14ac:dyDescent="0.35">
      <c r="B43" s="884"/>
      <c r="C43" s="885"/>
      <c r="D43" s="38"/>
      <c r="E43" s="38"/>
      <c r="F43" s="612" t="s">
        <v>14</v>
      </c>
      <c r="G43" s="42"/>
      <c r="H43" s="14"/>
      <c r="I43" s="14"/>
      <c r="J43" s="14"/>
      <c r="K43" s="14"/>
      <c r="L43" s="42"/>
      <c r="M43" s="28">
        <f t="shared" si="7"/>
        <v>0</v>
      </c>
      <c r="N43" s="41"/>
      <c r="O43" s="659">
        <f t="shared" si="15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3"/>
        <v>0</v>
      </c>
      <c r="X43" s="157">
        <f t="shared" si="4"/>
        <v>0</v>
      </c>
      <c r="Y43" s="157">
        <f t="shared" si="5"/>
        <v>0</v>
      </c>
    </row>
    <row r="44" spans="1:32" ht="15" thickBot="1" x14ac:dyDescent="0.35">
      <c r="B44" s="880">
        <v>46284</v>
      </c>
      <c r="C44" s="881"/>
      <c r="D44" s="14"/>
      <c r="E44" s="14"/>
      <c r="F44" s="613" t="s">
        <v>13</v>
      </c>
      <c r="G44" s="42"/>
      <c r="H44" s="14"/>
      <c r="I44" s="14"/>
      <c r="J44" s="14"/>
      <c r="K44" s="14"/>
      <c r="L44" s="42"/>
      <c r="M44" s="28">
        <f t="shared" si="7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3"/>
        <v>0</v>
      </c>
      <c r="X44" s="157">
        <f t="shared" si="4"/>
        <v>0</v>
      </c>
      <c r="Y44" s="157">
        <f t="shared" si="5"/>
        <v>0</v>
      </c>
    </row>
    <row r="45" spans="1:32" ht="15" thickBot="1" x14ac:dyDescent="0.35">
      <c r="B45" s="884"/>
      <c r="C45" s="885"/>
      <c r="D45" s="38"/>
      <c r="E45" s="38"/>
      <c r="F45" s="612" t="s">
        <v>14</v>
      </c>
      <c r="G45" s="42"/>
      <c r="H45" s="14"/>
      <c r="I45" s="14"/>
      <c r="J45" s="14"/>
      <c r="K45" s="14"/>
      <c r="L45" s="42"/>
      <c r="M45" s="28">
        <f t="shared" si="7"/>
        <v>0</v>
      </c>
      <c r="N45" s="41"/>
      <c r="O45" s="13"/>
      <c r="P45" s="866">
        <f>'Milling Down Time Hours'!M25</f>
        <v>12</v>
      </c>
      <c r="Q45" s="246"/>
      <c r="R45" s="866">
        <f>'Milling Down Time Hours'!L25</f>
        <v>720</v>
      </c>
      <c r="S45" s="14"/>
      <c r="T45" s="169"/>
      <c r="U45" s="169"/>
      <c r="V45" s="170"/>
      <c r="W45" s="162">
        <f t="shared" si="3"/>
        <v>0</v>
      </c>
      <c r="X45" s="157">
        <f t="shared" si="4"/>
        <v>0</v>
      </c>
      <c r="Y45" s="157">
        <f t="shared" si="5"/>
        <v>0</v>
      </c>
    </row>
    <row r="46" spans="1:32" ht="15" thickBot="1" x14ac:dyDescent="0.35">
      <c r="B46" s="880">
        <v>46285</v>
      </c>
      <c r="C46" s="881"/>
      <c r="D46" s="14"/>
      <c r="E46" s="14"/>
      <c r="F46" s="613" t="s">
        <v>13</v>
      </c>
      <c r="G46" s="6"/>
      <c r="H46" s="14"/>
      <c r="I46" s="6"/>
      <c r="J46" s="6"/>
      <c r="K46" s="14"/>
      <c r="L46" s="14"/>
      <c r="M46" s="28">
        <f t="shared" si="7"/>
        <v>0</v>
      </c>
      <c r="N46" s="41"/>
      <c r="O46" s="14"/>
      <c r="P46" s="867"/>
      <c r="Q46" s="229"/>
      <c r="R46" s="867"/>
      <c r="S46" s="14"/>
      <c r="T46" s="248"/>
      <c r="U46" s="248"/>
      <c r="V46" s="249"/>
      <c r="W46" s="162">
        <f t="shared" si="3"/>
        <v>0</v>
      </c>
      <c r="X46" s="157">
        <f t="shared" si="4"/>
        <v>0</v>
      </c>
      <c r="Y46" s="157">
        <f t="shared" si="5"/>
        <v>0</v>
      </c>
    </row>
    <row r="47" spans="1:32" ht="15" thickBot="1" x14ac:dyDescent="0.35">
      <c r="B47" s="884"/>
      <c r="C47" s="885"/>
      <c r="D47" s="38"/>
      <c r="E47" s="38"/>
      <c r="F47" s="612" t="s">
        <v>14</v>
      </c>
      <c r="G47" s="254"/>
      <c r="H47" s="14"/>
      <c r="I47" s="14"/>
      <c r="J47" s="14"/>
      <c r="K47" s="14"/>
      <c r="L47" s="42"/>
      <c r="M47" s="28">
        <f t="shared" si="7"/>
        <v>0</v>
      </c>
      <c r="N47" s="41"/>
      <c r="O47" s="6"/>
      <c r="P47" s="866">
        <f>'Milling Down Time Hours'!M26</f>
        <v>12</v>
      </c>
      <c r="Q47" s="246"/>
      <c r="R47" s="866">
        <f>'Milling Down Time Hours'!L26</f>
        <v>720</v>
      </c>
      <c r="S47" s="14"/>
      <c r="T47" s="868"/>
      <c r="U47" s="868"/>
      <c r="V47" s="870"/>
      <c r="W47" s="162"/>
      <c r="X47" s="157"/>
      <c r="Y47" s="157"/>
    </row>
    <row r="48" spans="1:32" ht="15" thickBot="1" x14ac:dyDescent="0.35">
      <c r="B48" s="880">
        <v>46286</v>
      </c>
      <c r="C48" s="881"/>
      <c r="D48" s="14"/>
      <c r="E48" s="14"/>
      <c r="F48" s="613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867"/>
      <c r="Q48" s="229"/>
      <c r="R48" s="867"/>
      <c r="S48" s="14"/>
      <c r="T48" s="869"/>
      <c r="U48" s="869"/>
      <c r="V48" s="871"/>
      <c r="W48" s="162"/>
      <c r="X48" s="157"/>
      <c r="Y48" s="157"/>
    </row>
    <row r="49" spans="2:28" ht="15" thickBot="1" x14ac:dyDescent="0.35">
      <c r="B49" s="884"/>
      <c r="C49" s="885"/>
      <c r="D49" s="38"/>
      <c r="E49" s="258"/>
      <c r="F49" s="612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866">
        <f>'Milling Down Time Hours'!M54</f>
        <v>0</v>
      </c>
      <c r="Q49" s="246"/>
      <c r="R49" s="866">
        <f>'Milling Down Time Hours'!L54</f>
        <v>0</v>
      </c>
      <c r="S49" s="14"/>
      <c r="T49" s="868"/>
      <c r="U49" s="868"/>
      <c r="V49" s="870"/>
      <c r="W49" s="162"/>
      <c r="X49" s="157"/>
      <c r="Y49" s="157"/>
    </row>
    <row r="50" spans="2:28" ht="15" thickBot="1" x14ac:dyDescent="0.35">
      <c r="B50" s="880">
        <v>46287</v>
      </c>
      <c r="C50" s="881"/>
      <c r="D50" s="14"/>
      <c r="E50" s="14"/>
      <c r="F50" s="613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867"/>
      <c r="Q50" s="229"/>
      <c r="R50" s="867"/>
      <c r="S50" s="14"/>
      <c r="T50" s="869"/>
      <c r="U50" s="869"/>
      <c r="V50" s="871"/>
      <c r="W50" s="162"/>
      <c r="X50" s="157"/>
      <c r="Y50" s="157"/>
    </row>
    <row r="51" spans="2:28" ht="15" thickBot="1" x14ac:dyDescent="0.35">
      <c r="B51" s="884"/>
      <c r="C51" s="885"/>
      <c r="D51" s="38"/>
      <c r="E51" s="258"/>
      <c r="F51" s="612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866">
        <f>'Milling Down Time Hours'!M56</f>
        <v>0</v>
      </c>
      <c r="Q51" s="246"/>
      <c r="R51" s="866">
        <f>'Milling Down Time Hours'!L56</f>
        <v>0</v>
      </c>
      <c r="S51" s="14"/>
      <c r="T51" s="868"/>
      <c r="U51" s="868"/>
      <c r="V51" s="870"/>
      <c r="W51" s="162"/>
      <c r="X51" s="157"/>
      <c r="Y51" s="157"/>
    </row>
    <row r="52" spans="2:28" ht="15" thickBot="1" x14ac:dyDescent="0.35">
      <c r="B52" s="880">
        <v>46288</v>
      </c>
      <c r="C52" s="881"/>
      <c r="D52" s="14"/>
      <c r="E52" s="14"/>
      <c r="F52" s="613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867"/>
      <c r="Q52" s="229"/>
      <c r="R52" s="867"/>
      <c r="S52" s="14"/>
      <c r="T52" s="869"/>
      <c r="U52" s="869"/>
      <c r="V52" s="871"/>
      <c r="W52" s="162"/>
      <c r="X52" s="157"/>
      <c r="Y52" s="157"/>
    </row>
    <row r="53" spans="2:28" ht="15" thickBot="1" x14ac:dyDescent="0.35">
      <c r="B53" s="884"/>
      <c r="C53" s="885"/>
      <c r="D53" s="38"/>
      <c r="E53" s="38"/>
      <c r="F53" s="612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866"/>
      <c r="Q53" s="246"/>
      <c r="R53" s="866"/>
      <c r="S53" s="14"/>
      <c r="T53" s="868"/>
      <c r="U53" s="868"/>
      <c r="V53" s="870"/>
      <c r="W53" s="162"/>
      <c r="X53" s="157"/>
      <c r="Y53" s="157"/>
    </row>
    <row r="54" spans="2:28" ht="15" thickBot="1" x14ac:dyDescent="0.35">
      <c r="B54" s="880">
        <v>46289</v>
      </c>
      <c r="C54" s="881"/>
      <c r="D54" s="14"/>
      <c r="E54" s="14"/>
      <c r="F54" s="613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867"/>
      <c r="Q54" s="229"/>
      <c r="R54" s="867"/>
      <c r="S54" s="14"/>
      <c r="T54" s="869"/>
      <c r="U54" s="869"/>
      <c r="V54" s="871"/>
      <c r="W54" s="162"/>
      <c r="X54" s="157"/>
      <c r="Y54" s="157"/>
      <c r="AB54" s="1">
        <v>9570</v>
      </c>
    </row>
    <row r="55" spans="2:28" ht="15" thickBot="1" x14ac:dyDescent="0.35">
      <c r="B55" s="884"/>
      <c r="C55" s="885"/>
      <c r="D55" s="38"/>
      <c r="E55" s="38"/>
      <c r="F55" s="612" t="s">
        <v>14</v>
      </c>
      <c r="G55" s="42"/>
      <c r="H55" s="14"/>
      <c r="I55" s="6"/>
      <c r="J55" s="6"/>
      <c r="K55" s="14"/>
      <c r="L55" s="42"/>
      <c r="M55" s="28">
        <f t="shared" si="7"/>
        <v>0</v>
      </c>
      <c r="N55" s="42"/>
      <c r="O55" s="6"/>
      <c r="P55" s="866">
        <f>'Milling Down Time Hours'!M60</f>
        <v>16.166666666666664</v>
      </c>
      <c r="Q55" s="246"/>
      <c r="R55" s="866">
        <f>'Milling Down Time Hours'!L60</f>
        <v>0</v>
      </c>
      <c r="S55" s="14"/>
      <c r="T55" s="868"/>
      <c r="U55" s="868"/>
      <c r="V55" s="870"/>
      <c r="W55" s="162"/>
      <c r="X55" s="157"/>
      <c r="Y55" s="157"/>
      <c r="AB55" s="1">
        <v>8795</v>
      </c>
    </row>
    <row r="56" spans="2:28" ht="15" thickBot="1" x14ac:dyDescent="0.35">
      <c r="B56" s="880">
        <v>46290</v>
      </c>
      <c r="C56" s="881"/>
      <c r="D56" s="14"/>
      <c r="E56" s="14"/>
      <c r="F56" s="613" t="s">
        <v>13</v>
      </c>
      <c r="G56" s="42"/>
      <c r="H56" s="14"/>
      <c r="I56" s="6"/>
      <c r="J56" s="6"/>
      <c r="K56" s="14"/>
      <c r="L56" s="42"/>
      <c r="M56" s="28">
        <f t="shared" si="7"/>
        <v>0</v>
      </c>
      <c r="N56" s="42"/>
      <c r="O56" s="6"/>
      <c r="P56" s="867"/>
      <c r="Q56" s="229"/>
      <c r="R56" s="867"/>
      <c r="S56" s="14"/>
      <c r="T56" s="869"/>
      <c r="U56" s="869"/>
      <c r="V56" s="871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84"/>
      <c r="C57" s="885"/>
      <c r="D57" s="38"/>
      <c r="E57" s="38"/>
      <c r="F57" s="612" t="s">
        <v>14</v>
      </c>
      <c r="G57" s="42"/>
      <c r="H57" s="14"/>
      <c r="I57" s="6"/>
      <c r="J57" s="6"/>
      <c r="K57" s="14"/>
      <c r="L57" s="42"/>
      <c r="M57" s="28">
        <f t="shared" si="7"/>
        <v>0</v>
      </c>
      <c r="N57" s="42"/>
      <c r="O57" s="6"/>
      <c r="P57" s="866">
        <f>'Milling Down Time Hours'!M62</f>
        <v>0</v>
      </c>
      <c r="Q57" s="246"/>
      <c r="R57" s="866">
        <f>'Milling Down Time Hours'!L62</f>
        <v>0</v>
      </c>
      <c r="S57" s="14"/>
      <c r="T57" s="868"/>
      <c r="U57" s="868"/>
      <c r="V57" s="870"/>
      <c r="W57" s="162"/>
      <c r="X57" s="157"/>
      <c r="Y57" s="157"/>
    </row>
    <row r="58" spans="2:28" ht="15" thickBot="1" x14ac:dyDescent="0.35">
      <c r="B58" s="880">
        <v>46291</v>
      </c>
      <c r="C58" s="881"/>
      <c r="D58" s="14"/>
      <c r="E58" s="14"/>
      <c r="F58" s="613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867"/>
      <c r="Q58" s="229"/>
      <c r="R58" s="867"/>
      <c r="S58" s="14"/>
      <c r="T58" s="869"/>
      <c r="U58" s="869"/>
      <c r="V58" s="871"/>
      <c r="W58" s="162"/>
      <c r="X58" s="157"/>
      <c r="Y58" s="157"/>
    </row>
    <row r="59" spans="2:28" ht="15" thickBot="1" x14ac:dyDescent="0.35">
      <c r="B59" s="884"/>
      <c r="C59" s="885"/>
      <c r="D59" s="38"/>
      <c r="E59" s="38"/>
      <c r="F59" s="612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866">
        <f>'Milling Down Time Hours'!M64</f>
        <v>0</v>
      </c>
      <c r="Q59" s="246"/>
      <c r="R59" s="866">
        <f>'Milling Down Time Hours'!L64</f>
        <v>0</v>
      </c>
      <c r="S59" s="14"/>
      <c r="T59" s="868"/>
      <c r="U59" s="868"/>
      <c r="V59" s="870"/>
      <c r="W59" s="162"/>
      <c r="X59" s="157"/>
      <c r="Y59" s="157"/>
    </row>
    <row r="60" spans="2:28" ht="15" thickBot="1" x14ac:dyDescent="0.35">
      <c r="B60" s="880">
        <v>46292</v>
      </c>
      <c r="C60" s="881"/>
      <c r="D60" s="14"/>
      <c r="E60" s="14"/>
      <c r="F60" s="613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867"/>
      <c r="Q60" s="229"/>
      <c r="R60" s="867"/>
      <c r="S60" s="14"/>
      <c r="T60" s="869"/>
      <c r="U60" s="869"/>
      <c r="V60" s="871"/>
      <c r="W60" s="162"/>
      <c r="X60" s="157"/>
      <c r="Y60" s="157"/>
    </row>
    <row r="61" spans="2:28" ht="15" thickBot="1" x14ac:dyDescent="0.35">
      <c r="B61" s="884"/>
      <c r="C61" s="885"/>
      <c r="D61" s="38"/>
      <c r="E61" s="38"/>
      <c r="F61" s="612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866">
        <f>'Milling Down Time Hours'!M66</f>
        <v>0</v>
      </c>
      <c r="Q61" s="246"/>
      <c r="R61" s="866">
        <f>'Milling Down Time Hours'!L66</f>
        <v>0</v>
      </c>
      <c r="S61" s="14"/>
      <c r="T61" s="868"/>
      <c r="U61" s="868"/>
      <c r="V61" s="870"/>
      <c r="W61" s="162"/>
      <c r="X61" s="157"/>
      <c r="Y61" s="157"/>
    </row>
    <row r="62" spans="2:28" ht="15" thickBot="1" x14ac:dyDescent="0.35">
      <c r="B62" s="880">
        <v>46293</v>
      </c>
      <c r="C62" s="881"/>
      <c r="D62" s="14"/>
      <c r="E62" s="14"/>
      <c r="F62" s="613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867"/>
      <c r="Q62" s="229"/>
      <c r="R62" s="867"/>
      <c r="S62" s="14"/>
      <c r="T62" s="869"/>
      <c r="U62" s="869"/>
      <c r="V62" s="871"/>
      <c r="W62" s="162"/>
      <c r="X62" s="157"/>
      <c r="Y62" s="157"/>
    </row>
    <row r="63" spans="2:28" ht="15" thickBot="1" x14ac:dyDescent="0.35">
      <c r="B63" s="884"/>
      <c r="C63" s="885"/>
      <c r="D63" s="38"/>
      <c r="E63" s="38"/>
      <c r="F63" s="612" t="s">
        <v>14</v>
      </c>
      <c r="G63" s="6"/>
      <c r="H63" s="14"/>
      <c r="I63" s="6"/>
      <c r="J63" s="6"/>
      <c r="K63" s="14"/>
      <c r="L63" s="42"/>
      <c r="M63" s="28">
        <f t="shared" si="7"/>
        <v>0</v>
      </c>
      <c r="N63" s="42"/>
      <c r="O63" s="6"/>
      <c r="P63" s="866">
        <f>'Milling Down Time Hours'!M34</f>
        <v>24</v>
      </c>
      <c r="Q63" s="246"/>
      <c r="R63" s="866">
        <f>'Milling Down Time Hours'!L68</f>
        <v>0</v>
      </c>
      <c r="S63" s="14"/>
      <c r="T63" s="876"/>
      <c r="U63" s="876"/>
      <c r="V63" s="878"/>
      <c r="W63" s="162">
        <f t="shared" ref="W63:W98" si="16">T63*M63</f>
        <v>0</v>
      </c>
      <c r="X63" s="157">
        <f t="shared" ref="X63:X98" si="17">M63*U63</f>
        <v>0</v>
      </c>
      <c r="Y63" s="157">
        <f t="shared" ref="Y63:Y98" si="18">M63*V63</f>
        <v>0</v>
      </c>
    </row>
    <row r="64" spans="2:28" ht="15" thickBot="1" x14ac:dyDescent="0.35">
      <c r="B64" s="880">
        <v>46294</v>
      </c>
      <c r="C64" s="881"/>
      <c r="D64" s="14"/>
      <c r="E64" s="14"/>
      <c r="F64" s="613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867"/>
      <c r="Q64" s="229"/>
      <c r="R64" s="867"/>
      <c r="S64" s="14"/>
      <c r="T64" s="877"/>
      <c r="U64" s="877"/>
      <c r="V64" s="879"/>
      <c r="W64" s="162">
        <f t="shared" si="16"/>
        <v>0</v>
      </c>
      <c r="X64" s="157">
        <f t="shared" si="17"/>
        <v>0</v>
      </c>
      <c r="Y64" s="157">
        <f t="shared" si="18"/>
        <v>0</v>
      </c>
    </row>
    <row r="65" spans="2:30" ht="15" thickBot="1" x14ac:dyDescent="0.35">
      <c r="B65" s="884"/>
      <c r="C65" s="885"/>
      <c r="D65" s="38"/>
      <c r="E65" s="38"/>
      <c r="F65" s="612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866">
        <f>'Milling Down Time Hours'!M35</f>
        <v>24</v>
      </c>
      <c r="Q65" s="246"/>
      <c r="R65" s="866">
        <f>'Milling Down Time Hours'!L70</f>
        <v>0</v>
      </c>
      <c r="S65" s="14"/>
      <c r="T65" s="876"/>
      <c r="U65" s="876"/>
      <c r="V65" s="886"/>
      <c r="W65" s="162">
        <f t="shared" si="16"/>
        <v>0</v>
      </c>
      <c r="X65" s="157">
        <f t="shared" si="17"/>
        <v>0</v>
      </c>
      <c r="Y65" s="157">
        <f t="shared" si="18"/>
        <v>0</v>
      </c>
    </row>
    <row r="66" spans="2:30" ht="15" thickBot="1" x14ac:dyDescent="0.35">
      <c r="B66" s="880">
        <v>46295</v>
      </c>
      <c r="C66" s="881"/>
      <c r="D66" s="14"/>
      <c r="E66" s="14"/>
      <c r="F66" s="613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867"/>
      <c r="Q66" s="229"/>
      <c r="R66" s="867"/>
      <c r="S66" s="14"/>
      <c r="T66" s="877"/>
      <c r="U66" s="877"/>
      <c r="V66" s="887"/>
      <c r="W66" s="162">
        <f t="shared" si="16"/>
        <v>0</v>
      </c>
      <c r="X66" s="157">
        <f t="shared" si="17"/>
        <v>0</v>
      </c>
      <c r="Y66" s="157">
        <f t="shared" si="18"/>
        <v>0</v>
      </c>
    </row>
    <row r="67" spans="2:30" ht="15" thickBot="1" x14ac:dyDescent="0.35">
      <c r="B67" s="884"/>
      <c r="C67" s="885"/>
      <c r="D67" s="38"/>
      <c r="E67" s="38"/>
      <c r="F67" s="612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888"/>
      <c r="Q67" s="470"/>
      <c r="R67" s="866">
        <f>'Milling Down Time Hours'!L72</f>
        <v>0</v>
      </c>
      <c r="S67" s="14"/>
      <c r="T67" s="876"/>
      <c r="U67" s="876"/>
      <c r="V67" s="886"/>
      <c r="W67" s="162">
        <f t="shared" si="16"/>
        <v>0</v>
      </c>
      <c r="X67" s="157">
        <f t="shared" si="17"/>
        <v>0</v>
      </c>
      <c r="Y67" s="157">
        <f t="shared" si="18"/>
        <v>0</v>
      </c>
    </row>
    <row r="68" spans="2:30" ht="15" thickBot="1" x14ac:dyDescent="0.35">
      <c r="B68" s="880">
        <v>46296</v>
      </c>
      <c r="C68" s="881"/>
      <c r="D68" s="14"/>
      <c r="E68" s="14"/>
      <c r="F68" s="613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889"/>
      <c r="Q68" s="471"/>
      <c r="R68" s="867"/>
      <c r="S68" s="14"/>
      <c r="T68" s="877"/>
      <c r="U68" s="877"/>
      <c r="V68" s="887"/>
      <c r="W68" s="162">
        <f t="shared" si="16"/>
        <v>0</v>
      </c>
      <c r="X68" s="157">
        <f t="shared" si="17"/>
        <v>0</v>
      </c>
      <c r="Y68" s="157">
        <f t="shared" si="18"/>
        <v>0</v>
      </c>
    </row>
    <row r="69" spans="2:30" ht="15" thickBot="1" x14ac:dyDescent="0.35">
      <c r="B69" s="884"/>
      <c r="C69" s="885"/>
      <c r="D69" s="38"/>
      <c r="E69" s="38"/>
      <c r="F69" s="612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866">
        <f>'Milling Down Time Hours'!M37</f>
        <v>24</v>
      </c>
      <c r="Q69" s="246"/>
      <c r="R69" s="866">
        <f>'Milling Down Time Hours'!L74</f>
        <v>0</v>
      </c>
      <c r="S69" s="14"/>
      <c r="T69" s="876"/>
      <c r="U69" s="876"/>
      <c r="V69" s="878"/>
      <c r="W69" s="162">
        <f t="shared" si="16"/>
        <v>0</v>
      </c>
      <c r="X69" s="157">
        <f t="shared" si="17"/>
        <v>0</v>
      </c>
      <c r="Y69" s="157">
        <f t="shared" si="18"/>
        <v>0</v>
      </c>
    </row>
    <row r="70" spans="2:30" ht="15" thickBot="1" x14ac:dyDescent="0.35">
      <c r="B70" s="880">
        <v>46297</v>
      </c>
      <c r="C70" s="881"/>
      <c r="D70" s="14"/>
      <c r="E70" s="14"/>
      <c r="F70" s="613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867"/>
      <c r="Q70" s="229"/>
      <c r="R70" s="867"/>
      <c r="S70" s="14"/>
      <c r="T70" s="877"/>
      <c r="U70" s="877"/>
      <c r="V70" s="879"/>
      <c r="W70" s="162">
        <f t="shared" si="16"/>
        <v>0</v>
      </c>
      <c r="X70" s="157">
        <f t="shared" si="17"/>
        <v>0</v>
      </c>
      <c r="Y70" s="157">
        <f t="shared" si="18"/>
        <v>0</v>
      </c>
    </row>
    <row r="71" spans="2:30" ht="15" thickBot="1" x14ac:dyDescent="0.35">
      <c r="B71" s="884"/>
      <c r="C71" s="885"/>
      <c r="D71" s="38"/>
      <c r="E71" s="38"/>
      <c r="F71" s="612" t="s">
        <v>14</v>
      </c>
      <c r="G71" s="42"/>
      <c r="H71" s="14"/>
      <c r="I71" s="6"/>
      <c r="J71" s="6"/>
      <c r="K71" s="14"/>
      <c r="L71" s="42"/>
      <c r="M71" s="28">
        <f t="shared" si="7"/>
        <v>0</v>
      </c>
      <c r="N71" s="42"/>
      <c r="O71" s="6"/>
      <c r="P71" s="866">
        <f>'Milling Down Time Hours'!M38</f>
        <v>24</v>
      </c>
      <c r="Q71" s="246"/>
      <c r="R71" s="866">
        <f>'Milling Down Time Hours'!L76</f>
        <v>0</v>
      </c>
      <c r="S71" s="14"/>
      <c r="T71" s="876"/>
      <c r="U71" s="876"/>
      <c r="V71" s="878"/>
      <c r="W71" s="162">
        <f t="shared" si="16"/>
        <v>0</v>
      </c>
      <c r="X71" s="157">
        <f t="shared" si="17"/>
        <v>0</v>
      </c>
      <c r="Y71" s="157">
        <f t="shared" si="18"/>
        <v>0</v>
      </c>
    </row>
    <row r="72" spans="2:30" ht="15" thickBot="1" x14ac:dyDescent="0.35">
      <c r="B72" s="880">
        <v>46298</v>
      </c>
      <c r="C72" s="881"/>
      <c r="D72" s="14"/>
      <c r="E72" s="14"/>
      <c r="F72" s="613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867"/>
      <c r="Q72" s="229"/>
      <c r="R72" s="867"/>
      <c r="S72" s="14"/>
      <c r="T72" s="877"/>
      <c r="U72" s="877"/>
      <c r="V72" s="879"/>
      <c r="W72" s="162">
        <f t="shared" si="16"/>
        <v>0</v>
      </c>
      <c r="X72" s="157">
        <f t="shared" si="17"/>
        <v>0</v>
      </c>
      <c r="Y72" s="157">
        <f t="shared" si="18"/>
        <v>0</v>
      </c>
    </row>
    <row r="73" spans="2:30" ht="15" thickBot="1" x14ac:dyDescent="0.35">
      <c r="B73" s="884"/>
      <c r="C73" s="885"/>
      <c r="D73" s="38"/>
      <c r="E73" s="38"/>
      <c r="F73" s="612" t="s">
        <v>14</v>
      </c>
      <c r="G73" s="42"/>
      <c r="H73" s="14"/>
      <c r="I73" s="6"/>
      <c r="J73" s="6"/>
      <c r="K73" s="14"/>
      <c r="L73" s="42"/>
      <c r="M73" s="28">
        <f t="shared" si="7"/>
        <v>0</v>
      </c>
      <c r="N73" s="42"/>
      <c r="O73" s="6"/>
      <c r="P73" s="866">
        <f>'Milling Down Time Hours'!M39</f>
        <v>24</v>
      </c>
      <c r="Q73" s="246"/>
      <c r="R73" s="866">
        <f>'Milling Down Time Hours'!L78</f>
        <v>0</v>
      </c>
      <c r="S73" s="14"/>
      <c r="T73" s="876"/>
      <c r="U73" s="876"/>
      <c r="V73" s="878"/>
      <c r="W73" s="162">
        <f t="shared" si="16"/>
        <v>0</v>
      </c>
      <c r="X73" s="157">
        <f t="shared" si="17"/>
        <v>0</v>
      </c>
      <c r="Y73" s="157">
        <f t="shared" si="18"/>
        <v>0</v>
      </c>
    </row>
    <row r="74" spans="2:30" ht="15" thickBot="1" x14ac:dyDescent="0.35">
      <c r="B74" s="880">
        <v>46299</v>
      </c>
      <c r="C74" s="881"/>
      <c r="D74" s="14"/>
      <c r="E74" s="14"/>
      <c r="F74" s="613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867"/>
      <c r="Q74" s="229"/>
      <c r="R74" s="867"/>
      <c r="S74" s="14"/>
      <c r="T74" s="877"/>
      <c r="U74" s="877"/>
      <c r="V74" s="879"/>
      <c r="W74" s="162">
        <f t="shared" si="16"/>
        <v>0</v>
      </c>
      <c r="X74" s="157">
        <f t="shared" si="17"/>
        <v>0</v>
      </c>
      <c r="Y74" s="157">
        <f t="shared" si="18"/>
        <v>0</v>
      </c>
      <c r="AD74" s="1">
        <v>0.41899999999999998</v>
      </c>
    </row>
    <row r="75" spans="2:30" ht="15" thickBot="1" x14ac:dyDescent="0.35">
      <c r="B75" s="884"/>
      <c r="C75" s="885"/>
      <c r="D75" s="38"/>
      <c r="E75" s="38"/>
      <c r="F75" s="612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866">
        <f>'Milling Down Time Hours'!M40</f>
        <v>24</v>
      </c>
      <c r="Q75" s="246"/>
      <c r="R75" s="866">
        <f>'Milling Down Time Hours'!L80</f>
        <v>0</v>
      </c>
      <c r="S75" s="14"/>
      <c r="T75" s="868"/>
      <c r="U75" s="868"/>
      <c r="V75" s="870"/>
      <c r="W75" s="162">
        <f t="shared" si="16"/>
        <v>0</v>
      </c>
      <c r="X75" s="157">
        <f t="shared" si="17"/>
        <v>0</v>
      </c>
      <c r="Y75" s="157">
        <f t="shared" si="18"/>
        <v>0</v>
      </c>
      <c r="AD75" s="1">
        <v>0.41299999999999998</v>
      </c>
    </row>
    <row r="76" spans="2:30" ht="15" thickBot="1" x14ac:dyDescent="0.35">
      <c r="B76" s="880">
        <v>46300</v>
      </c>
      <c r="C76" s="881"/>
      <c r="D76" s="14"/>
      <c r="E76" s="14"/>
      <c r="F76" s="613" t="s">
        <v>13</v>
      </c>
      <c r="G76" s="14"/>
      <c r="H76" s="14"/>
      <c r="I76" s="6"/>
      <c r="J76" s="6"/>
      <c r="K76" s="14"/>
      <c r="L76" s="14"/>
      <c r="M76" s="28">
        <f t="shared" ref="M76:M98" si="19">H76*K76*G76</f>
        <v>0</v>
      </c>
      <c r="N76" s="14"/>
      <c r="O76" s="6"/>
      <c r="P76" s="867"/>
      <c r="Q76" s="229"/>
      <c r="R76" s="867"/>
      <c r="S76" s="14"/>
      <c r="T76" s="869"/>
      <c r="U76" s="869"/>
      <c r="V76" s="871"/>
      <c r="W76" s="162">
        <f t="shared" si="16"/>
        <v>0</v>
      </c>
      <c r="X76" s="157">
        <f t="shared" si="17"/>
        <v>0</v>
      </c>
      <c r="Y76" s="157">
        <f t="shared" si="18"/>
        <v>0</v>
      </c>
      <c r="AD76" s="1">
        <v>0.40400000000000003</v>
      </c>
    </row>
    <row r="77" spans="2:30" ht="15" thickBot="1" x14ac:dyDescent="0.35">
      <c r="B77" s="884"/>
      <c r="C77" s="885"/>
      <c r="D77" s="38"/>
      <c r="E77" s="38"/>
      <c r="F77" s="612" t="s">
        <v>14</v>
      </c>
      <c r="G77" s="42"/>
      <c r="H77" s="14"/>
      <c r="I77" s="6"/>
      <c r="J77" s="6"/>
      <c r="K77" s="14"/>
      <c r="L77" s="42"/>
      <c r="M77" s="28">
        <f t="shared" si="19"/>
        <v>0</v>
      </c>
      <c r="N77" s="42"/>
      <c r="O77" s="6"/>
      <c r="P77" s="866">
        <f>'Milling Down Time Hours'!M41</f>
        <v>24</v>
      </c>
      <c r="Q77" s="246"/>
      <c r="R77" s="866">
        <f>'Milling Down Time Hours'!L82</f>
        <v>0</v>
      </c>
      <c r="S77" s="14"/>
      <c r="T77" s="876"/>
      <c r="U77" s="876"/>
      <c r="V77" s="878"/>
      <c r="W77" s="162">
        <f t="shared" si="16"/>
        <v>0</v>
      </c>
      <c r="X77" s="157">
        <f t="shared" si="17"/>
        <v>0</v>
      </c>
      <c r="Y77" s="157">
        <f t="shared" si="18"/>
        <v>0</v>
      </c>
      <c r="AD77" s="1">
        <v>0.47</v>
      </c>
    </row>
    <row r="78" spans="2:30" ht="15" thickBot="1" x14ac:dyDescent="0.35">
      <c r="B78" s="880">
        <v>46301</v>
      </c>
      <c r="C78" s="881"/>
      <c r="D78" s="14"/>
      <c r="E78" s="14"/>
      <c r="F78" s="613" t="s">
        <v>13</v>
      </c>
      <c r="G78" s="14"/>
      <c r="H78" s="14"/>
      <c r="I78" s="6"/>
      <c r="J78" s="6"/>
      <c r="K78" s="14"/>
      <c r="L78" s="14"/>
      <c r="M78" s="28">
        <f t="shared" si="19"/>
        <v>0</v>
      </c>
      <c r="N78" s="14"/>
      <c r="O78" s="6"/>
      <c r="P78" s="867"/>
      <c r="Q78" s="229"/>
      <c r="R78" s="867"/>
      <c r="S78" s="14"/>
      <c r="T78" s="877"/>
      <c r="U78" s="877"/>
      <c r="V78" s="879"/>
      <c r="W78" s="162">
        <f t="shared" si="16"/>
        <v>0</v>
      </c>
      <c r="X78" s="157">
        <f t="shared" si="17"/>
        <v>0</v>
      </c>
      <c r="Y78" s="157">
        <f t="shared" si="18"/>
        <v>0</v>
      </c>
      <c r="AD78" s="1">
        <v>0.46500000000000002</v>
      </c>
    </row>
    <row r="79" spans="2:30" ht="14.55" hidden="1" customHeight="1" thickBot="1" x14ac:dyDescent="0.35">
      <c r="B79" s="882"/>
      <c r="C79" s="883"/>
      <c r="D79" s="38"/>
      <c r="E79" s="38"/>
      <c r="F79" s="612" t="s">
        <v>14</v>
      </c>
      <c r="G79" s="42"/>
      <c r="H79" s="14"/>
      <c r="I79" s="6"/>
      <c r="J79" s="6"/>
      <c r="K79" s="14"/>
      <c r="L79" s="14"/>
      <c r="M79" s="28">
        <f t="shared" si="19"/>
        <v>0</v>
      </c>
      <c r="N79" s="14"/>
      <c r="O79" s="6"/>
      <c r="P79" s="866">
        <f>'Milling Down Time Hours'!M42</f>
        <v>24</v>
      </c>
      <c r="Q79" s="246"/>
      <c r="R79" s="866">
        <f>'Milling Down Time Hours'!L84</f>
        <v>0</v>
      </c>
      <c r="S79" s="14"/>
      <c r="T79" s="876">
        <v>0.35699999999999998</v>
      </c>
      <c r="U79" s="876">
        <v>1.056</v>
      </c>
      <c r="V79" s="878">
        <v>32.25</v>
      </c>
      <c r="W79" s="162">
        <f t="shared" si="16"/>
        <v>0</v>
      </c>
      <c r="X79" s="157">
        <f t="shared" si="17"/>
        <v>0</v>
      </c>
      <c r="Y79" s="157">
        <f t="shared" si="18"/>
        <v>0</v>
      </c>
      <c r="AD79" s="1">
        <v>0.51600000000000001</v>
      </c>
    </row>
    <row r="80" spans="2:30" ht="15" hidden="1" customHeight="1" thickBot="1" x14ac:dyDescent="0.35">
      <c r="B80" s="882"/>
      <c r="C80" s="883"/>
      <c r="D80" s="14"/>
      <c r="E80" s="14"/>
      <c r="F80" s="613" t="s">
        <v>13</v>
      </c>
      <c r="G80" s="6"/>
      <c r="H80" s="14"/>
      <c r="I80" s="6"/>
      <c r="J80" s="6"/>
      <c r="K80" s="14"/>
      <c r="L80" s="14"/>
      <c r="M80" s="28">
        <f t="shared" si="19"/>
        <v>0</v>
      </c>
      <c r="N80" s="14"/>
      <c r="O80" s="6"/>
      <c r="P80" s="867"/>
      <c r="Q80" s="229"/>
      <c r="R80" s="867"/>
      <c r="S80" s="14"/>
      <c r="T80" s="877"/>
      <c r="U80" s="877"/>
      <c r="V80" s="879"/>
      <c r="W80" s="162">
        <f t="shared" si="16"/>
        <v>0</v>
      </c>
      <c r="X80" s="157">
        <f t="shared" si="17"/>
        <v>0</v>
      </c>
      <c r="Y80" s="157">
        <f t="shared" si="18"/>
        <v>0</v>
      </c>
      <c r="AD80" s="120">
        <f>AVERAGE(AD74:AD79)</f>
        <v>0.44783333333333331</v>
      </c>
    </row>
    <row r="81" spans="2:25" ht="14.55" hidden="1" customHeight="1" thickBot="1" x14ac:dyDescent="0.35">
      <c r="B81" s="882"/>
      <c r="C81" s="883"/>
      <c r="D81" s="38"/>
      <c r="E81" s="38"/>
      <c r="F81" s="612" t="s">
        <v>14</v>
      </c>
      <c r="G81" s="6"/>
      <c r="H81" s="14"/>
      <c r="I81" s="6"/>
      <c r="J81" s="6"/>
      <c r="K81" s="14"/>
      <c r="L81" s="14"/>
      <c r="M81" s="28">
        <f t="shared" si="19"/>
        <v>0</v>
      </c>
      <c r="N81" s="14"/>
      <c r="O81" s="6"/>
      <c r="P81" s="866">
        <f>'Milling Down Time Hours'!M86</f>
        <v>0</v>
      </c>
      <c r="Q81" s="246"/>
      <c r="R81" s="866">
        <f>'Milling Down Time Hours'!L86</f>
        <v>0</v>
      </c>
      <c r="S81" s="14"/>
      <c r="T81" s="868" t="e">
        <f>SUM(#REF!)</f>
        <v>#REF!</v>
      </c>
      <c r="U81" s="868" t="e">
        <f t="shared" ref="U81:V81" si="20">SUM(T81:T83)</f>
        <v>#REF!</v>
      </c>
      <c r="V81" s="870" t="e">
        <f t="shared" si="20"/>
        <v>#REF!</v>
      </c>
      <c r="W81" s="162" t="e">
        <f t="shared" si="16"/>
        <v>#REF!</v>
      </c>
      <c r="X81" s="157" t="e">
        <f t="shared" si="17"/>
        <v>#REF!</v>
      </c>
      <c r="Y81" s="157" t="e">
        <f t="shared" si="18"/>
        <v>#REF!</v>
      </c>
    </row>
    <row r="82" spans="2:25" ht="15" hidden="1" customHeight="1" thickBot="1" x14ac:dyDescent="0.35">
      <c r="B82" s="882"/>
      <c r="C82" s="883"/>
      <c r="D82" s="14"/>
      <c r="E82" s="14"/>
      <c r="F82" s="613" t="s">
        <v>13</v>
      </c>
      <c r="G82" s="6"/>
      <c r="H82" s="14"/>
      <c r="I82" s="6"/>
      <c r="J82" s="6"/>
      <c r="K82" s="14"/>
      <c r="L82" s="14"/>
      <c r="M82" s="28">
        <f t="shared" si="19"/>
        <v>0</v>
      </c>
      <c r="N82" s="14"/>
      <c r="O82" s="6"/>
      <c r="P82" s="867"/>
      <c r="Q82" s="229"/>
      <c r="R82" s="867"/>
      <c r="S82" s="14"/>
      <c r="T82" s="869"/>
      <c r="U82" s="869"/>
      <c r="V82" s="871"/>
      <c r="W82" s="162">
        <f t="shared" si="16"/>
        <v>0</v>
      </c>
      <c r="X82" s="157">
        <f t="shared" si="17"/>
        <v>0</v>
      </c>
      <c r="Y82" s="157">
        <f t="shared" si="18"/>
        <v>0</v>
      </c>
    </row>
    <row r="83" spans="2:25" ht="14.55" hidden="1" customHeight="1" thickBot="1" x14ac:dyDescent="0.35">
      <c r="B83" s="882"/>
      <c r="C83" s="883"/>
      <c r="D83" s="38"/>
      <c r="E83" s="38"/>
      <c r="F83" s="612" t="s">
        <v>14</v>
      </c>
      <c r="G83" s="6"/>
      <c r="H83" s="14"/>
      <c r="I83" s="6"/>
      <c r="J83" s="6"/>
      <c r="K83" s="14"/>
      <c r="L83" s="14"/>
      <c r="M83" s="28">
        <f t="shared" si="19"/>
        <v>0</v>
      </c>
      <c r="N83" s="14"/>
      <c r="O83" s="6"/>
      <c r="P83" s="866">
        <f>'Milling Down Time Hours'!M88</f>
        <v>0</v>
      </c>
      <c r="Q83" s="246"/>
      <c r="R83" s="866">
        <f>'Milling Down Time Hours'!L88</f>
        <v>0</v>
      </c>
      <c r="S83" s="14"/>
      <c r="T83" s="868" t="e">
        <f>SUM(#REF!)</f>
        <v>#REF!</v>
      </c>
      <c r="U83" s="868" t="e">
        <f t="shared" ref="U83:V83" si="21">SUM(T83:T85)</f>
        <v>#REF!</v>
      </c>
      <c r="V83" s="870" t="e">
        <f t="shared" si="21"/>
        <v>#REF!</v>
      </c>
      <c r="W83" s="162" t="e">
        <f t="shared" si="16"/>
        <v>#REF!</v>
      </c>
      <c r="X83" s="157" t="e">
        <f t="shared" si="17"/>
        <v>#REF!</v>
      </c>
      <c r="Y83" s="157" t="e">
        <f t="shared" si="18"/>
        <v>#REF!</v>
      </c>
    </row>
    <row r="84" spans="2:25" ht="15" hidden="1" customHeight="1" thickBot="1" x14ac:dyDescent="0.35">
      <c r="B84" s="882"/>
      <c r="C84" s="883"/>
      <c r="D84" s="14"/>
      <c r="E84" s="14"/>
      <c r="F84" s="613" t="s">
        <v>13</v>
      </c>
      <c r="G84" s="6"/>
      <c r="H84" s="14"/>
      <c r="I84" s="6"/>
      <c r="J84" s="6"/>
      <c r="K84" s="14"/>
      <c r="L84" s="14"/>
      <c r="M84" s="28">
        <f t="shared" si="19"/>
        <v>0</v>
      </c>
      <c r="N84" s="14"/>
      <c r="O84" s="6"/>
      <c r="P84" s="867"/>
      <c r="Q84" s="229"/>
      <c r="R84" s="867"/>
      <c r="S84" s="14"/>
      <c r="T84" s="869"/>
      <c r="U84" s="869"/>
      <c r="V84" s="871"/>
      <c r="W84" s="162">
        <f t="shared" si="16"/>
        <v>0</v>
      </c>
      <c r="X84" s="157">
        <f t="shared" si="17"/>
        <v>0</v>
      </c>
      <c r="Y84" s="157">
        <f t="shared" si="18"/>
        <v>0</v>
      </c>
    </row>
    <row r="85" spans="2:25" ht="14.55" hidden="1" customHeight="1" thickBot="1" x14ac:dyDescent="0.35">
      <c r="B85" s="882"/>
      <c r="C85" s="883"/>
      <c r="D85" s="38"/>
      <c r="E85" s="38"/>
      <c r="F85" s="612" t="s">
        <v>14</v>
      </c>
      <c r="G85" s="6"/>
      <c r="H85" s="14"/>
      <c r="I85" s="6"/>
      <c r="J85" s="6"/>
      <c r="K85" s="14"/>
      <c r="L85" s="14"/>
      <c r="M85" s="28">
        <f t="shared" si="19"/>
        <v>0</v>
      </c>
      <c r="N85" s="14"/>
      <c r="O85" s="6"/>
      <c r="P85" s="866">
        <f>'Milling Down Time Hours'!M90</f>
        <v>0</v>
      </c>
      <c r="Q85" s="246"/>
      <c r="R85" s="866">
        <f>'Milling Down Time Hours'!L90</f>
        <v>0</v>
      </c>
      <c r="S85" s="14"/>
      <c r="T85" s="868" t="e">
        <f>SUM(#REF!)</f>
        <v>#REF!</v>
      </c>
      <c r="U85" s="868" t="e">
        <f t="shared" ref="U85:V85" si="22">SUM(T85:T87)</f>
        <v>#REF!</v>
      </c>
      <c r="V85" s="870" t="e">
        <f t="shared" si="22"/>
        <v>#REF!</v>
      </c>
      <c r="W85" s="162" t="e">
        <f t="shared" si="16"/>
        <v>#REF!</v>
      </c>
      <c r="X85" s="157" t="e">
        <f t="shared" si="17"/>
        <v>#REF!</v>
      </c>
      <c r="Y85" s="157" t="e">
        <f t="shared" si="18"/>
        <v>#REF!</v>
      </c>
    </row>
    <row r="86" spans="2:25" ht="15" hidden="1" customHeight="1" thickBot="1" x14ac:dyDescent="0.35">
      <c r="B86" s="882"/>
      <c r="C86" s="883"/>
      <c r="D86" s="14"/>
      <c r="E86" s="14"/>
      <c r="F86" s="613" t="s">
        <v>13</v>
      </c>
      <c r="G86" s="6"/>
      <c r="H86" s="14"/>
      <c r="I86" s="6"/>
      <c r="J86" s="6"/>
      <c r="K86" s="14"/>
      <c r="L86" s="14"/>
      <c r="M86" s="28">
        <f t="shared" si="19"/>
        <v>0</v>
      </c>
      <c r="N86" s="14"/>
      <c r="O86" s="6"/>
      <c r="P86" s="867"/>
      <c r="Q86" s="229"/>
      <c r="R86" s="867"/>
      <c r="S86" s="14"/>
      <c r="T86" s="869"/>
      <c r="U86" s="869"/>
      <c r="V86" s="871"/>
      <c r="W86" s="162">
        <f t="shared" si="16"/>
        <v>0</v>
      </c>
      <c r="X86" s="157">
        <f t="shared" si="17"/>
        <v>0</v>
      </c>
      <c r="Y86" s="157">
        <f t="shared" si="18"/>
        <v>0</v>
      </c>
    </row>
    <row r="87" spans="2:25" ht="14.55" hidden="1" customHeight="1" thickBot="1" x14ac:dyDescent="0.35">
      <c r="B87" s="882"/>
      <c r="C87" s="883"/>
      <c r="D87" s="38"/>
      <c r="E87" s="38"/>
      <c r="F87" s="612" t="s">
        <v>14</v>
      </c>
      <c r="G87" s="6"/>
      <c r="H87" s="14"/>
      <c r="I87" s="6"/>
      <c r="J87" s="6"/>
      <c r="K87" s="14"/>
      <c r="L87" s="14"/>
      <c r="M87" s="28">
        <f t="shared" si="19"/>
        <v>0</v>
      </c>
      <c r="N87" s="14"/>
      <c r="O87" s="6"/>
      <c r="P87" s="866">
        <f>'Milling Down Time Hours'!M92</f>
        <v>0</v>
      </c>
      <c r="Q87" s="246"/>
      <c r="R87" s="866">
        <f>'Milling Down Time Hours'!L92</f>
        <v>0</v>
      </c>
      <c r="S87" s="14"/>
      <c r="T87" s="868" t="e">
        <f>SUM(#REF!)</f>
        <v>#REF!</v>
      </c>
      <c r="U87" s="868" t="e">
        <f t="shared" ref="U87:V87" si="23">SUM(T87:T89)</f>
        <v>#REF!</v>
      </c>
      <c r="V87" s="870" t="e">
        <f t="shared" si="23"/>
        <v>#REF!</v>
      </c>
      <c r="W87" s="162" t="e">
        <f t="shared" si="16"/>
        <v>#REF!</v>
      </c>
      <c r="X87" s="157" t="e">
        <f t="shared" si="17"/>
        <v>#REF!</v>
      </c>
      <c r="Y87" s="157" t="e">
        <f t="shared" si="18"/>
        <v>#REF!</v>
      </c>
    </row>
    <row r="88" spans="2:25" ht="15" hidden="1" customHeight="1" thickBot="1" x14ac:dyDescent="0.35">
      <c r="B88" s="882"/>
      <c r="C88" s="883"/>
      <c r="D88" s="14"/>
      <c r="E88" s="14"/>
      <c r="F88" s="613" t="s">
        <v>13</v>
      </c>
      <c r="G88" s="6"/>
      <c r="H88" s="14"/>
      <c r="I88" s="6"/>
      <c r="J88" s="6"/>
      <c r="K88" s="14"/>
      <c r="L88" s="14"/>
      <c r="M88" s="28">
        <f t="shared" si="19"/>
        <v>0</v>
      </c>
      <c r="N88" s="14"/>
      <c r="O88" s="6"/>
      <c r="P88" s="867"/>
      <c r="Q88" s="229"/>
      <c r="R88" s="867"/>
      <c r="S88" s="14"/>
      <c r="T88" s="869"/>
      <c r="U88" s="869"/>
      <c r="V88" s="871"/>
      <c r="W88" s="162">
        <f t="shared" si="16"/>
        <v>0</v>
      </c>
      <c r="X88" s="157">
        <f t="shared" si="17"/>
        <v>0</v>
      </c>
      <c r="Y88" s="157">
        <f t="shared" si="18"/>
        <v>0</v>
      </c>
    </row>
    <row r="89" spans="2:25" ht="14.55" hidden="1" customHeight="1" thickBot="1" x14ac:dyDescent="0.35">
      <c r="B89" s="882"/>
      <c r="C89" s="883"/>
      <c r="D89" s="38"/>
      <c r="E89" s="38"/>
      <c r="F89" s="612" t="s">
        <v>14</v>
      </c>
      <c r="G89" s="6"/>
      <c r="H89" s="14"/>
      <c r="I89" s="6"/>
      <c r="J89" s="6"/>
      <c r="K89" s="14"/>
      <c r="L89" s="14"/>
      <c r="M89" s="28">
        <f t="shared" si="19"/>
        <v>0</v>
      </c>
      <c r="N89" s="14"/>
      <c r="O89" s="6"/>
      <c r="P89" s="866">
        <f>'Milling Down Time Hours'!M94</f>
        <v>0</v>
      </c>
      <c r="Q89" s="246"/>
      <c r="R89" s="866">
        <f>'Milling Down Time Hours'!L94</f>
        <v>0</v>
      </c>
      <c r="S89" s="14"/>
      <c r="T89" s="868" t="e">
        <f>SUM(#REF!)</f>
        <v>#REF!</v>
      </c>
      <c r="U89" s="868" t="e">
        <f t="shared" ref="U89:V89" si="24">SUM(T89:T91)</f>
        <v>#REF!</v>
      </c>
      <c r="V89" s="870" t="e">
        <f t="shared" si="24"/>
        <v>#REF!</v>
      </c>
      <c r="W89" s="162" t="e">
        <f t="shared" si="16"/>
        <v>#REF!</v>
      </c>
      <c r="X89" s="157" t="e">
        <f t="shared" si="17"/>
        <v>#REF!</v>
      </c>
      <c r="Y89" s="157" t="e">
        <f t="shared" si="18"/>
        <v>#REF!</v>
      </c>
    </row>
    <row r="90" spans="2:25" ht="15" hidden="1" customHeight="1" thickBot="1" x14ac:dyDescent="0.35">
      <c r="B90" s="882"/>
      <c r="C90" s="883"/>
      <c r="D90" s="14"/>
      <c r="E90" s="14"/>
      <c r="F90" s="613" t="s">
        <v>13</v>
      </c>
      <c r="G90" s="6"/>
      <c r="H90" s="14"/>
      <c r="I90" s="6"/>
      <c r="J90" s="6"/>
      <c r="K90" s="14"/>
      <c r="L90" s="14"/>
      <c r="M90" s="28">
        <f t="shared" si="19"/>
        <v>0</v>
      </c>
      <c r="N90" s="14"/>
      <c r="O90" s="6"/>
      <c r="P90" s="867"/>
      <c r="Q90" s="229"/>
      <c r="R90" s="867"/>
      <c r="S90" s="14"/>
      <c r="T90" s="869"/>
      <c r="U90" s="869"/>
      <c r="V90" s="871"/>
      <c r="W90" s="162">
        <f t="shared" si="16"/>
        <v>0</v>
      </c>
      <c r="X90" s="157">
        <f t="shared" si="17"/>
        <v>0</v>
      </c>
      <c r="Y90" s="157">
        <f t="shared" si="18"/>
        <v>0</v>
      </c>
    </row>
    <row r="91" spans="2:25" ht="14.55" hidden="1" customHeight="1" thickBot="1" x14ac:dyDescent="0.35">
      <c r="B91" s="882"/>
      <c r="C91" s="883"/>
      <c r="D91" s="38"/>
      <c r="E91" s="38"/>
      <c r="F91" s="612" t="s">
        <v>14</v>
      </c>
      <c r="G91" s="6"/>
      <c r="H91" s="14"/>
      <c r="I91" s="6"/>
      <c r="J91" s="6"/>
      <c r="K91" s="14"/>
      <c r="L91" s="14"/>
      <c r="M91" s="28">
        <f t="shared" si="19"/>
        <v>0</v>
      </c>
      <c r="N91" s="14"/>
      <c r="O91" s="6"/>
      <c r="P91" s="866">
        <f>'Milling Down Time Hours'!M96</f>
        <v>0</v>
      </c>
      <c r="Q91" s="246"/>
      <c r="R91" s="866">
        <f>'Milling Down Time Hours'!L96</f>
        <v>0</v>
      </c>
      <c r="S91" s="14"/>
      <c r="T91" s="868" t="e">
        <f>SUM(#REF!)</f>
        <v>#REF!</v>
      </c>
      <c r="U91" s="868" t="e">
        <f t="shared" ref="U91:V91" si="25">SUM(T91:T93)</f>
        <v>#REF!</v>
      </c>
      <c r="V91" s="870" t="e">
        <f t="shared" si="25"/>
        <v>#REF!</v>
      </c>
      <c r="W91" s="162" t="e">
        <f t="shared" si="16"/>
        <v>#REF!</v>
      </c>
      <c r="X91" s="157" t="e">
        <f t="shared" si="17"/>
        <v>#REF!</v>
      </c>
      <c r="Y91" s="157" t="e">
        <f t="shared" si="18"/>
        <v>#REF!</v>
      </c>
    </row>
    <row r="92" spans="2:25" ht="15" hidden="1" customHeight="1" thickBot="1" x14ac:dyDescent="0.35">
      <c r="B92" s="882"/>
      <c r="C92" s="883"/>
      <c r="D92" s="14"/>
      <c r="E92" s="14"/>
      <c r="F92" s="613" t="s">
        <v>13</v>
      </c>
      <c r="G92" s="6"/>
      <c r="H92" s="14"/>
      <c r="I92" s="6"/>
      <c r="J92" s="6"/>
      <c r="K92" s="14"/>
      <c r="L92" s="14"/>
      <c r="M92" s="28">
        <f t="shared" si="19"/>
        <v>0</v>
      </c>
      <c r="N92" s="14"/>
      <c r="O92" s="6"/>
      <c r="P92" s="867"/>
      <c r="Q92" s="229"/>
      <c r="R92" s="867"/>
      <c r="S92" s="14"/>
      <c r="T92" s="869"/>
      <c r="U92" s="869"/>
      <c r="V92" s="871"/>
      <c r="W92" s="162">
        <f t="shared" si="16"/>
        <v>0</v>
      </c>
      <c r="X92" s="157">
        <f t="shared" si="17"/>
        <v>0</v>
      </c>
      <c r="Y92" s="157">
        <f t="shared" si="18"/>
        <v>0</v>
      </c>
    </row>
    <row r="93" spans="2:25" ht="14.55" hidden="1" customHeight="1" thickBot="1" x14ac:dyDescent="0.35">
      <c r="B93" s="882"/>
      <c r="C93" s="883"/>
      <c r="D93" s="38"/>
      <c r="E93" s="38"/>
      <c r="F93" s="612" t="s">
        <v>14</v>
      </c>
      <c r="G93" s="6"/>
      <c r="H93" s="14"/>
      <c r="I93" s="6"/>
      <c r="J93" s="6"/>
      <c r="K93" s="14"/>
      <c r="L93" s="14"/>
      <c r="M93" s="28">
        <f t="shared" si="19"/>
        <v>0</v>
      </c>
      <c r="N93" s="14"/>
      <c r="O93" s="6"/>
      <c r="P93" s="866">
        <f>'Milling Down Time Hours'!M98</f>
        <v>0</v>
      </c>
      <c r="Q93" s="246"/>
      <c r="R93" s="866">
        <f>'Milling Down Time Hours'!L98</f>
        <v>0</v>
      </c>
      <c r="S93" s="14"/>
      <c r="T93" s="868" t="e">
        <f>SUM(#REF!)</f>
        <v>#REF!</v>
      </c>
      <c r="U93" s="868" t="e">
        <f t="shared" ref="U93:V93" si="26">SUM(T93:T95)</f>
        <v>#REF!</v>
      </c>
      <c r="V93" s="870" t="e">
        <f t="shared" si="26"/>
        <v>#REF!</v>
      </c>
      <c r="W93" s="162" t="e">
        <f t="shared" si="16"/>
        <v>#REF!</v>
      </c>
      <c r="X93" s="157" t="e">
        <f t="shared" si="17"/>
        <v>#REF!</v>
      </c>
      <c r="Y93" s="157" t="e">
        <f t="shared" si="18"/>
        <v>#REF!</v>
      </c>
    </row>
    <row r="94" spans="2:25" ht="15" hidden="1" customHeight="1" thickBot="1" x14ac:dyDescent="0.35">
      <c r="B94" s="882"/>
      <c r="C94" s="883"/>
      <c r="D94" s="14"/>
      <c r="E94" s="14"/>
      <c r="F94" s="613" t="s">
        <v>13</v>
      </c>
      <c r="G94" s="6"/>
      <c r="H94" s="14"/>
      <c r="I94" s="6"/>
      <c r="J94" s="6"/>
      <c r="K94" s="14"/>
      <c r="L94" s="14"/>
      <c r="M94" s="28">
        <f t="shared" si="19"/>
        <v>0</v>
      </c>
      <c r="N94" s="14"/>
      <c r="O94" s="6"/>
      <c r="P94" s="867"/>
      <c r="Q94" s="229"/>
      <c r="R94" s="867"/>
      <c r="S94" s="14"/>
      <c r="T94" s="869"/>
      <c r="U94" s="869"/>
      <c r="V94" s="871"/>
      <c r="W94" s="162">
        <f t="shared" si="16"/>
        <v>0</v>
      </c>
      <c r="X94" s="157">
        <f t="shared" si="17"/>
        <v>0</v>
      </c>
      <c r="Y94" s="157">
        <f t="shared" si="18"/>
        <v>0</v>
      </c>
    </row>
    <row r="95" spans="2:25" ht="14.55" hidden="1" customHeight="1" thickBot="1" x14ac:dyDescent="0.35">
      <c r="B95" s="882"/>
      <c r="C95" s="883"/>
      <c r="D95" s="38"/>
      <c r="E95" s="38"/>
      <c r="F95" s="612" t="s">
        <v>14</v>
      </c>
      <c r="G95" s="6"/>
      <c r="H95" s="14"/>
      <c r="I95" s="6"/>
      <c r="J95" s="6"/>
      <c r="K95" s="14"/>
      <c r="L95" s="14"/>
      <c r="M95" s="28">
        <f t="shared" si="19"/>
        <v>0</v>
      </c>
      <c r="N95" s="14"/>
      <c r="O95" s="6"/>
      <c r="P95" s="866">
        <f>'Milling Down Time Hours'!M100</f>
        <v>0</v>
      </c>
      <c r="Q95" s="246"/>
      <c r="R95" s="866">
        <f>'Milling Down Time Hours'!L100</f>
        <v>0</v>
      </c>
      <c r="S95" s="14"/>
      <c r="T95" s="868" t="e">
        <f>SUM(#REF!)</f>
        <v>#REF!</v>
      </c>
      <c r="U95" s="868" t="e">
        <f>SUM(T95:T99)</f>
        <v>#REF!</v>
      </c>
      <c r="V95" s="870" t="e">
        <f>SUM(U95:U99)</f>
        <v>#REF!</v>
      </c>
      <c r="W95" s="162" t="e">
        <f t="shared" si="16"/>
        <v>#REF!</v>
      </c>
      <c r="X95" s="157" t="e">
        <f t="shared" si="17"/>
        <v>#REF!</v>
      </c>
      <c r="Y95" s="157" t="e">
        <f t="shared" si="18"/>
        <v>#REF!</v>
      </c>
    </row>
    <row r="96" spans="2:25" ht="14.55" hidden="1" customHeight="1" thickBot="1" x14ac:dyDescent="0.35">
      <c r="B96" s="882"/>
      <c r="C96" s="883"/>
      <c r="D96" s="98"/>
      <c r="E96" s="98"/>
      <c r="F96" s="613" t="s">
        <v>13</v>
      </c>
      <c r="G96" s="182"/>
      <c r="H96" s="98"/>
      <c r="I96" s="182"/>
      <c r="J96" s="182"/>
      <c r="K96" s="98"/>
      <c r="L96" s="98"/>
      <c r="M96" s="28">
        <f t="shared" si="19"/>
        <v>0</v>
      </c>
      <c r="N96" s="98"/>
      <c r="O96" s="182"/>
      <c r="P96" s="872"/>
      <c r="Q96" s="451"/>
      <c r="R96" s="873"/>
      <c r="S96" s="98"/>
      <c r="T96" s="874"/>
      <c r="U96" s="874"/>
      <c r="V96" s="875"/>
      <c r="W96" s="162">
        <f t="shared" si="16"/>
        <v>0</v>
      </c>
      <c r="X96" s="157">
        <f t="shared" si="17"/>
        <v>0</v>
      </c>
      <c r="Y96" s="157">
        <f t="shared" si="18"/>
        <v>0</v>
      </c>
    </row>
    <row r="97" spans="2:27" ht="15" thickBot="1" x14ac:dyDescent="0.35">
      <c r="B97" s="884"/>
      <c r="C97" s="885"/>
      <c r="D97" s="556"/>
      <c r="E97" s="556"/>
      <c r="F97" s="612" t="s">
        <v>14</v>
      </c>
      <c r="G97" s="42"/>
      <c r="H97" s="14"/>
      <c r="I97" s="6"/>
      <c r="J97" s="6"/>
      <c r="K97" s="14"/>
      <c r="L97" s="42"/>
      <c r="M97" s="28">
        <f t="shared" si="19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6"/>
        <v>0</v>
      </c>
      <c r="X97" s="157">
        <f t="shared" si="17"/>
        <v>0</v>
      </c>
      <c r="Y97" s="157">
        <f t="shared" si="18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14"/>
      <c r="I98" s="6"/>
      <c r="J98" s="6"/>
      <c r="K98" s="14"/>
      <c r="L98" s="14"/>
      <c r="M98" s="28">
        <f t="shared" si="19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6"/>
        <v>0</v>
      </c>
      <c r="X98" s="157">
        <f t="shared" si="17"/>
        <v>0</v>
      </c>
      <c r="Y98" s="157">
        <f t="shared" si="18"/>
        <v>0</v>
      </c>
      <c r="AA98" s="480">
        <f>SUM(AB5:AB17)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509"/>
      <c r="I99" s="129"/>
      <c r="J99" s="129"/>
      <c r="K99" s="509"/>
      <c r="L99" s="145">
        <f>AVERAGE(L5:L98)</f>
        <v>0.72363636363636363</v>
      </c>
      <c r="M99" s="483">
        <f>SUM(M5:M98)</f>
        <v>1809.1440607500003</v>
      </c>
      <c r="N99" s="145"/>
      <c r="O99" s="129"/>
      <c r="P99" s="130">
        <f>'Milling Down Time Hours'!M58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3.2</v>
      </c>
    </row>
    <row r="103" spans="2:27" x14ac:dyDescent="0.3">
      <c r="W103" s="139"/>
    </row>
  </sheetData>
  <mergeCells count="211"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P13:P14"/>
    <mergeCell ref="R13:R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4:C35"/>
    <mergeCell ref="P35:P36"/>
    <mergeCell ref="R35:R36"/>
    <mergeCell ref="B36:C37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07" t="s">
        <v>271</v>
      </c>
      <c r="B3" s="994"/>
      <c r="C3" s="994"/>
      <c r="D3" s="994"/>
      <c r="E3" s="994"/>
      <c r="F3" s="994"/>
      <c r="G3" s="908"/>
      <c r="I3" s="1">
        <f>I2/2</f>
        <v>720</v>
      </c>
    </row>
    <row r="4" spans="1:14" ht="15" thickBot="1" x14ac:dyDescent="0.35">
      <c r="A4" s="995" t="s">
        <v>1</v>
      </c>
      <c r="B4" s="996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80">
        <v>46268</v>
      </c>
      <c r="B5" s="990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4" t="s">
        <v>513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1080">
        <v>46269</v>
      </c>
      <c r="B6" s="990"/>
      <c r="C6" s="163"/>
      <c r="D6" s="62">
        <v>6.9444444444444447E-4</v>
      </c>
      <c r="E6" s="62">
        <v>2.9166666666666667E-2</v>
      </c>
      <c r="F6" s="63">
        <f>(E6-D6)*720</f>
        <v>20.5</v>
      </c>
      <c r="G6" s="475" t="s">
        <v>514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1080">
        <v>46270</v>
      </c>
      <c r="B7" s="990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1080">
        <v>46271</v>
      </c>
      <c r="B8" s="990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1080">
        <v>46272</v>
      </c>
      <c r="B9" s="990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1080">
        <v>46273</v>
      </c>
      <c r="B10" s="990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1080">
        <v>46274</v>
      </c>
      <c r="B11" s="990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1080">
        <v>46275</v>
      </c>
      <c r="B12" s="990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1080">
        <v>46276</v>
      </c>
      <c r="B13" s="990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1080">
        <v>46277</v>
      </c>
      <c r="B14" s="990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1080">
        <v>46278</v>
      </c>
      <c r="B15" s="990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1080">
        <v>46279</v>
      </c>
      <c r="B16" s="990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1080">
        <v>46280</v>
      </c>
      <c r="B17" s="990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1080">
        <v>46281</v>
      </c>
      <c r="B18" s="990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1080">
        <v>46282</v>
      </c>
      <c r="B19" s="990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1080">
        <v>46283</v>
      </c>
      <c r="B20" s="990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1080">
        <v>46284</v>
      </c>
      <c r="B21" s="990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1080">
        <v>46285</v>
      </c>
      <c r="B22" s="990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1080">
        <v>46286</v>
      </c>
      <c r="B23" s="990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1080">
        <v>46287</v>
      </c>
      <c r="B24" s="990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1080">
        <v>46288</v>
      </c>
      <c r="B25" s="990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1080">
        <v>46289</v>
      </c>
      <c r="B26" s="990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1080">
        <v>46290</v>
      </c>
      <c r="B27" s="990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1080">
        <v>46291</v>
      </c>
      <c r="B28" s="990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1080">
        <v>46292</v>
      </c>
      <c r="B29" s="990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1080">
        <v>46293</v>
      </c>
      <c r="B30" s="990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1080">
        <v>46294</v>
      </c>
      <c r="B31" s="990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1080">
        <v>46295</v>
      </c>
      <c r="B32" s="990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1080">
        <v>46296</v>
      </c>
      <c r="B33" s="990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1080">
        <v>46297</v>
      </c>
      <c r="B34" s="990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1080">
        <v>46298</v>
      </c>
      <c r="B35" s="990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1080">
        <v>46299</v>
      </c>
      <c r="B36" s="990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1080">
        <v>46300</v>
      </c>
      <c r="B37" s="990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1080">
        <v>46301</v>
      </c>
      <c r="B38" s="990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1080">
        <v>46302</v>
      </c>
      <c r="B39" s="990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1080">
        <v>46303</v>
      </c>
      <c r="B40" s="990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1080">
        <v>46304</v>
      </c>
      <c r="B41" s="990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1080">
        <v>46305</v>
      </c>
      <c r="B42" s="990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1080">
        <v>46306</v>
      </c>
      <c r="B43" s="990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1080">
        <v>46307</v>
      </c>
      <c r="B44" s="990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1080">
        <v>46308</v>
      </c>
      <c r="B45" s="990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1080">
        <v>46309</v>
      </c>
      <c r="B46" s="990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1080">
        <v>46310</v>
      </c>
      <c r="B47" s="990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1080">
        <v>46311</v>
      </c>
      <c r="B48" s="990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1080">
        <v>46312</v>
      </c>
      <c r="B49" s="990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1080">
        <v>46313</v>
      </c>
      <c r="B50" s="990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1080">
        <v>46314</v>
      </c>
      <c r="B51" s="990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1080">
        <v>46315</v>
      </c>
      <c r="B52" s="990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1080">
        <v>46316</v>
      </c>
      <c r="B53" s="990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1080">
        <v>46317</v>
      </c>
      <c r="B54" s="990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1080">
        <v>46318</v>
      </c>
      <c r="B55" s="990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1080">
        <v>46319</v>
      </c>
      <c r="B56" s="990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1080">
        <v>46320</v>
      </c>
      <c r="B57" s="990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1080">
        <v>46321</v>
      </c>
      <c r="B58" s="990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1080">
        <v>46322</v>
      </c>
      <c r="B59" s="990"/>
      <c r="C59" s="66"/>
      <c r="D59" s="69"/>
      <c r="E59" s="69"/>
      <c r="F59" s="63">
        <f t="shared" si="5"/>
        <v>0</v>
      </c>
      <c r="G59" s="67"/>
    </row>
    <row r="60" spans="1:18" x14ac:dyDescent="0.3">
      <c r="A60" s="1080">
        <v>46323</v>
      </c>
      <c r="B60" s="990"/>
      <c r="C60" s="66"/>
      <c r="D60" s="69"/>
      <c r="E60" s="69"/>
      <c r="F60" s="63">
        <f t="shared" si="5"/>
        <v>0</v>
      </c>
      <c r="G60" s="67"/>
    </row>
    <row r="61" spans="1:18" x14ac:dyDescent="0.3">
      <c r="A61" s="1080">
        <v>46324</v>
      </c>
      <c r="B61" s="990"/>
      <c r="C61" s="66"/>
      <c r="D61" s="69"/>
      <c r="E61" s="69"/>
      <c r="F61" s="63">
        <f t="shared" si="5"/>
        <v>0</v>
      </c>
      <c r="G61" s="67"/>
    </row>
    <row r="62" spans="1:18" x14ac:dyDescent="0.3">
      <c r="A62" s="1080">
        <v>46325</v>
      </c>
      <c r="B62" s="990"/>
      <c r="C62" s="66"/>
      <c r="D62" s="69"/>
      <c r="E62" s="69"/>
      <c r="F62" s="63">
        <f t="shared" si="5"/>
        <v>0</v>
      </c>
      <c r="G62" s="67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abSelected="1" topLeftCell="I1" zoomScale="69" zoomScaleNormal="80" workbookViewId="0">
      <pane ySplit="4" topLeftCell="A30" activePane="bottomLeft" state="frozen"/>
      <selection pane="bottomLeft" activeCell="W33" sqref="W33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2"/>
      <c r="E2" s="552"/>
      <c r="H2" s="906" t="s">
        <v>596</v>
      </c>
      <c r="I2" s="906"/>
      <c r="J2" s="906"/>
      <c r="K2" s="906"/>
      <c r="O2" s="1">
        <f>720+180</f>
        <v>900</v>
      </c>
    </row>
    <row r="4" spans="1:33" ht="29.4" thickBot="1" x14ac:dyDescent="0.35">
      <c r="A4" s="629" t="s">
        <v>553</v>
      </c>
      <c r="B4" s="907" t="s">
        <v>1</v>
      </c>
      <c r="C4" s="908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521</v>
      </c>
    </row>
    <row r="5" spans="1:33" ht="16.2" thickBot="1" x14ac:dyDescent="0.35">
      <c r="A5" s="1077">
        <v>1</v>
      </c>
      <c r="B5" s="1040">
        <v>46265</v>
      </c>
      <c r="C5" s="1041"/>
      <c r="D5" s="561" t="s">
        <v>449</v>
      </c>
      <c r="E5" s="561" t="s">
        <v>448</v>
      </c>
      <c r="F5" s="603" t="s">
        <v>13</v>
      </c>
      <c r="G5" s="562">
        <v>0.2271</v>
      </c>
      <c r="H5" s="563">
        <v>116.84</v>
      </c>
      <c r="I5" s="505">
        <f t="shared" ref="I5:I11" si="0">H5/((720-R5)/60)</f>
        <v>11.198722044728434</v>
      </c>
      <c r="J5" s="505">
        <f>H5</f>
        <v>116.84</v>
      </c>
      <c r="K5" s="564">
        <v>1.135</v>
      </c>
      <c r="L5" s="504">
        <v>0.68</v>
      </c>
      <c r="M5" s="505">
        <f>H5*K5*G5</f>
        <v>30.116503140000003</v>
      </c>
      <c r="N5" s="1047">
        <f>SUM(M5:M6)</f>
        <v>74.069659139999999</v>
      </c>
      <c r="O5" s="505">
        <f t="shared" ref="O5:O11" si="1">M5/((720-R5)/60)</f>
        <v>2.8865657961661344</v>
      </c>
      <c r="P5" s="1052">
        <f>'Milling Down Time Hours'!M5</f>
        <v>22.433333333333334</v>
      </c>
      <c r="Q5" s="527"/>
      <c r="R5" s="510">
        <f>'Milling Down Time Hours'!L5</f>
        <v>94</v>
      </c>
      <c r="S5" s="1047">
        <f>SUM(M5:M8)</f>
        <v>292.31360000000001</v>
      </c>
      <c r="T5" s="512">
        <f>AVERAGE('LT Ball Mill'!F4:F6)</f>
        <v>0.96699999999999997</v>
      </c>
      <c r="U5" s="512">
        <f>AVERAGE('LT Ball Mill'!G4:G6)</f>
        <v>0.41</v>
      </c>
      <c r="V5" s="512">
        <f>AVERAGE('LT Ball Mill'!H4:H6)</f>
        <v>6.1096666666666666</v>
      </c>
      <c r="W5" s="513">
        <f t="shared" ref="W5:W46" si="2">T5*M5</f>
        <v>29.122658536380001</v>
      </c>
      <c r="X5" s="597">
        <f t="shared" ref="X5:X46" si="3">M5*U5</f>
        <v>12.347766287400001</v>
      </c>
      <c r="Y5" s="597">
        <f t="shared" ref="Y5:Y46" si="4">M5*V5</f>
        <v>184.00179535102001</v>
      </c>
      <c r="Z5" s="48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77"/>
      <c r="B6" s="1055"/>
      <c r="C6" s="1056"/>
      <c r="D6" s="565" t="s">
        <v>450</v>
      </c>
      <c r="E6" s="561" t="s">
        <v>448</v>
      </c>
      <c r="F6" s="604" t="s">
        <v>14</v>
      </c>
      <c r="G6" s="549">
        <v>0.36</v>
      </c>
      <c r="H6" s="566">
        <f>J6-H5</f>
        <v>98.859999999999985</v>
      </c>
      <c r="I6" s="505">
        <f t="shared" si="0"/>
        <v>8.2383333333333315</v>
      </c>
      <c r="J6" s="548">
        <v>215.7</v>
      </c>
      <c r="K6" s="567">
        <v>1.2350000000000001</v>
      </c>
      <c r="L6" s="507">
        <v>0.68</v>
      </c>
      <c r="M6" s="505">
        <f>H6*K6*G6</f>
        <v>43.953155999999993</v>
      </c>
      <c r="N6" s="1048"/>
      <c r="O6" s="505">
        <f t="shared" si="1"/>
        <v>3.6627629999999995</v>
      </c>
      <c r="P6" s="1071"/>
      <c r="Q6" s="568"/>
      <c r="R6" s="510">
        <v>0</v>
      </c>
      <c r="S6" s="1051"/>
      <c r="T6" s="514">
        <f>AVERAGE('LT Ball Mill'!F7:F9)</f>
        <v>0.60899999999999999</v>
      </c>
      <c r="U6" s="514">
        <f>AVERAGE('LT Ball Mill'!G7:G9)</f>
        <v>0.52833333333333343</v>
      </c>
      <c r="V6" s="514">
        <f>AVERAGE('LT Ball Mill'!H7:H9)</f>
        <v>7.623333333333334</v>
      </c>
      <c r="W6" s="513">
        <f t="shared" si="2"/>
        <v>26.767472003999995</v>
      </c>
      <c r="X6" s="597">
        <f t="shared" si="3"/>
        <v>23.22191742</v>
      </c>
      <c r="Y6" s="597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1077"/>
      <c r="B7" s="1040">
        <v>46266</v>
      </c>
      <c r="C7" s="1041"/>
      <c r="D7" s="561" t="s">
        <v>449</v>
      </c>
      <c r="E7" s="561" t="s">
        <v>448</v>
      </c>
      <c r="F7" s="603" t="s">
        <v>13</v>
      </c>
      <c r="G7" s="504">
        <v>0.38790000000000002</v>
      </c>
      <c r="H7" s="569">
        <f>J7-SUM(H5:H6)</f>
        <v>143.30000000000001</v>
      </c>
      <c r="I7" s="505">
        <f t="shared" si="0"/>
        <v>12.371223021582734</v>
      </c>
      <c r="J7" s="505">
        <v>359</v>
      </c>
      <c r="K7" s="506">
        <v>1.2549999999999999</v>
      </c>
      <c r="L7" s="504">
        <v>0.7</v>
      </c>
      <c r="M7" s="505">
        <f>(K7*J7*G7)-(SUM(M5:M6))</f>
        <v>100.69674635999999</v>
      </c>
      <c r="N7" s="1047">
        <f>SUM(M7:M8)</f>
        <v>218.24394086000001</v>
      </c>
      <c r="O7" s="505">
        <f t="shared" si="1"/>
        <v>8.6932442900719415</v>
      </c>
      <c r="P7" s="1069">
        <f>'Milling Down Time Hours'!M6</f>
        <v>22.9</v>
      </c>
      <c r="Q7" s="548"/>
      <c r="R7" s="510">
        <v>25</v>
      </c>
      <c r="S7" s="1051"/>
      <c r="T7" s="512">
        <f>AVERAGE('LT Ball Mill'!F10:F12)</f>
        <v>0.64699999999999991</v>
      </c>
      <c r="U7" s="512">
        <f>AVERAGE('LT Ball Mill'!G10:G12)</f>
        <v>0.67433333333333334</v>
      </c>
      <c r="V7" s="512">
        <f>AVERAGE('LT Ball Mill'!H10:H12)</f>
        <v>7.5333333333333341</v>
      </c>
      <c r="W7" s="513">
        <f t="shared" si="2"/>
        <v>65.150794894919983</v>
      </c>
      <c r="X7" s="597">
        <f t="shared" si="3"/>
        <v>67.903172628759989</v>
      </c>
      <c r="Y7" s="597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1077"/>
      <c r="B8" s="1055"/>
      <c r="C8" s="1056"/>
      <c r="D8" s="554" t="s">
        <v>450</v>
      </c>
      <c r="E8" s="553" t="s">
        <v>451</v>
      </c>
      <c r="F8" s="604" t="s">
        <v>14</v>
      </c>
      <c r="G8" s="507">
        <v>0.41</v>
      </c>
      <c r="H8" s="570">
        <f>J8-SUM(H5:H7)</f>
        <v>198</v>
      </c>
      <c r="I8" s="505">
        <f t="shared" si="0"/>
        <v>17.496318114874818</v>
      </c>
      <c r="J8" s="548">
        <v>557</v>
      </c>
      <c r="K8" s="508">
        <v>1.28</v>
      </c>
      <c r="L8" s="507">
        <v>0.7</v>
      </c>
      <c r="M8" s="505">
        <f>(K8*J8*G8)-(SUM(M5:M7))</f>
        <v>117.54719450000002</v>
      </c>
      <c r="N8" s="1048"/>
      <c r="O8" s="505">
        <f t="shared" si="1"/>
        <v>10.387086406480119</v>
      </c>
      <c r="P8" s="1070"/>
      <c r="Q8" s="548"/>
      <c r="R8" s="510">
        <v>41</v>
      </c>
      <c r="S8" s="1048"/>
      <c r="T8" s="514">
        <f>AVERAGE('LT Ball Mill'!F13:F15)</f>
        <v>0.60899999999999999</v>
      </c>
      <c r="U8" s="514">
        <f>AVERAGE('LT Ball Mill'!G13:G15)</f>
        <v>0.52833333333333343</v>
      </c>
      <c r="V8" s="514">
        <f>AVERAGE('LT Ball Mill'!H13:H15)</f>
        <v>7.623333333333334</v>
      </c>
      <c r="W8" s="513">
        <f t="shared" si="2"/>
        <v>71.586241450500012</v>
      </c>
      <c r="X8" s="597">
        <f t="shared" si="3"/>
        <v>62.104101094166687</v>
      </c>
      <c r="Y8" s="597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1250</v>
      </c>
      <c r="AD8" s="453" t="s">
        <v>41</v>
      </c>
      <c r="AF8" s="468"/>
    </row>
    <row r="9" spans="1:33" ht="16.2" thickBot="1" x14ac:dyDescent="0.35">
      <c r="A9" s="1078">
        <v>2</v>
      </c>
      <c r="B9" s="1061">
        <v>46267</v>
      </c>
      <c r="C9" s="1062"/>
      <c r="D9" s="557" t="s">
        <v>449</v>
      </c>
      <c r="E9" s="557" t="s">
        <v>454</v>
      </c>
      <c r="F9" s="605" t="s">
        <v>13</v>
      </c>
      <c r="G9" s="523">
        <v>0.39</v>
      </c>
      <c r="H9" s="524">
        <f>J9</f>
        <v>215</v>
      </c>
      <c r="I9" s="521">
        <f t="shared" si="0"/>
        <v>21.5</v>
      </c>
      <c r="J9" s="524">
        <v>215</v>
      </c>
      <c r="K9" s="524">
        <v>1.26</v>
      </c>
      <c r="L9" s="523">
        <v>0.72</v>
      </c>
      <c r="M9" s="520">
        <f>H9*K9*G9</f>
        <v>105.651</v>
      </c>
      <c r="N9" s="1063">
        <f>SUM(M9:M10)</f>
        <v>209.804</v>
      </c>
      <c r="O9" s="521">
        <f t="shared" si="1"/>
        <v>10.565099999999999</v>
      </c>
      <c r="P9" s="1049">
        <f>'Milling Down Time Hours'!M7</f>
        <v>22</v>
      </c>
      <c r="Q9" s="536"/>
      <c r="R9" s="515">
        <f>'Milling Down Time Hours'!L7</f>
        <v>120.00000000000001</v>
      </c>
      <c r="S9" s="1063">
        <f>SUM(M9:M11)</f>
        <v>300.14215000000002</v>
      </c>
      <c r="T9" s="571">
        <f>AVERAGE('LT Ball Mill'!F16:F18)</f>
        <v>0.7446666666666667</v>
      </c>
      <c r="U9" s="571">
        <f>AVERAGE('LT Ball Mill'!G16:G18)</f>
        <v>0.59</v>
      </c>
      <c r="V9" s="571">
        <f>AVERAGE('LT Ball Mill'!H16:H18)</f>
        <v>9.8400000000000016</v>
      </c>
      <c r="W9" s="516">
        <f t="shared" si="2"/>
        <v>78.674778000000003</v>
      </c>
      <c r="X9" s="529">
        <f t="shared" si="3"/>
        <v>62.334089999999996</v>
      </c>
      <c r="Y9" s="529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78"/>
      <c r="B10" s="1072"/>
      <c r="C10" s="1073"/>
      <c r="D10" s="559" t="s">
        <v>453</v>
      </c>
      <c r="E10" s="560"/>
      <c r="F10" s="606" t="s">
        <v>14</v>
      </c>
      <c r="G10" s="519">
        <v>0.4</v>
      </c>
      <c r="H10" s="522">
        <f>J10-H9</f>
        <v>198</v>
      </c>
      <c r="I10" s="521">
        <f t="shared" si="0"/>
        <v>16.5</v>
      </c>
      <c r="J10" s="522">
        <v>413</v>
      </c>
      <c r="K10" s="522">
        <v>1.27</v>
      </c>
      <c r="L10" s="523">
        <v>0.72</v>
      </c>
      <c r="M10" s="520">
        <f>K10*J10*G10-SUM(M9)</f>
        <v>104.15300000000001</v>
      </c>
      <c r="N10" s="1064"/>
      <c r="O10" s="521">
        <f t="shared" si="1"/>
        <v>8.6794166666666666</v>
      </c>
      <c r="P10" s="1050"/>
      <c r="Q10" s="536"/>
      <c r="R10" s="515">
        <v>0</v>
      </c>
      <c r="S10" s="1043"/>
      <c r="T10" s="518">
        <f>AVERAGE('LT Ball Mill'!F19:F21)</f>
        <v>0.64600000000000002</v>
      </c>
      <c r="U10" s="518">
        <f>AVERAGE('LT Ball Mill'!G19:G21)</f>
        <v>1.0666666666666667</v>
      </c>
      <c r="V10" s="518">
        <f>AVERAGE('LT Ball Mill'!H19:H21)</f>
        <v>9.2566666666666659</v>
      </c>
      <c r="W10" s="516">
        <f t="shared" si="2"/>
        <v>67.282838000000012</v>
      </c>
      <c r="X10" s="529">
        <f t="shared" si="3"/>
        <v>111.09653333333334</v>
      </c>
      <c r="Y10" s="529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4" customFormat="1" ht="16.2" thickBot="1" x14ac:dyDescent="0.35">
      <c r="A11" s="1078"/>
      <c r="B11" s="1061">
        <v>46268</v>
      </c>
      <c r="C11" s="1062"/>
      <c r="D11" s="557" t="s">
        <v>449</v>
      </c>
      <c r="E11" s="572" t="s">
        <v>480</v>
      </c>
      <c r="F11" s="605" t="s">
        <v>13</v>
      </c>
      <c r="G11" s="523">
        <v>0.43</v>
      </c>
      <c r="H11" s="522">
        <f>J11-H10-H9</f>
        <v>126</v>
      </c>
      <c r="I11" s="521">
        <f t="shared" si="0"/>
        <v>11.454545454545455</v>
      </c>
      <c r="J11" s="524">
        <v>539</v>
      </c>
      <c r="K11" s="524">
        <v>1.2949999999999999</v>
      </c>
      <c r="L11" s="523">
        <v>0.71</v>
      </c>
      <c r="M11" s="520">
        <f>J11*K11*G11-SUM(M9:M10)</f>
        <v>90.338150000000013</v>
      </c>
      <c r="N11" s="1063">
        <f>SUM(M11:M12)</f>
        <v>90.338150000000013</v>
      </c>
      <c r="O11" s="521">
        <f t="shared" si="1"/>
        <v>8.2125590909090924</v>
      </c>
      <c r="P11" s="1065">
        <f>'Milling Down Time Hours'!M8</f>
        <v>11.016666666666667</v>
      </c>
      <c r="Q11" s="573"/>
      <c r="R11" s="536">
        <v>60</v>
      </c>
      <c r="S11" s="1043"/>
      <c r="T11" s="571">
        <f>AVERAGE('LT Ball Mill'!F22:F24)</f>
        <v>0.66133333333333333</v>
      </c>
      <c r="U11" s="571">
        <f>AVERAGE('LT Ball Mill'!G22:G24)</f>
        <v>0.72333333333333327</v>
      </c>
      <c r="V11" s="571">
        <f>AVERAGE('LT Ball Mill'!H22:H24)</f>
        <v>8.0566666666666666</v>
      </c>
      <c r="W11" s="516">
        <f t="shared" si="2"/>
        <v>59.743629866666673</v>
      </c>
      <c r="X11" s="529">
        <f t="shared" si="3"/>
        <v>65.344595166666664</v>
      </c>
      <c r="Y11" s="529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1078"/>
      <c r="B12" s="1072"/>
      <c r="C12" s="1073"/>
      <c r="D12" s="559" t="s">
        <v>453</v>
      </c>
      <c r="E12" s="574" t="s">
        <v>476</v>
      </c>
      <c r="F12" s="606" t="s">
        <v>14</v>
      </c>
      <c r="G12" s="535"/>
      <c r="H12" s="522"/>
      <c r="I12" s="521"/>
      <c r="J12" s="522"/>
      <c r="K12" s="522"/>
      <c r="L12" s="519"/>
      <c r="M12" s="520">
        <f t="shared" ref="M12:M41" si="6">H12*K12*G12</f>
        <v>0</v>
      </c>
      <c r="N12" s="1064"/>
      <c r="O12" s="521"/>
      <c r="P12" s="1066"/>
      <c r="Q12" s="575"/>
      <c r="R12" s="534">
        <v>720</v>
      </c>
      <c r="S12" s="1044"/>
      <c r="T12" s="577"/>
      <c r="U12" s="577"/>
      <c r="V12" s="578"/>
      <c r="W12" s="516">
        <f t="shared" si="2"/>
        <v>0</v>
      </c>
      <c r="X12" s="529">
        <f t="shared" si="3"/>
        <v>0</v>
      </c>
      <c r="Y12" s="529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1078"/>
      <c r="B13" s="1061">
        <v>46269</v>
      </c>
      <c r="C13" s="1062"/>
      <c r="D13" s="1074" t="s">
        <v>493</v>
      </c>
      <c r="E13" s="579"/>
      <c r="F13" s="607" t="s">
        <v>13</v>
      </c>
      <c r="G13" s="532"/>
      <c r="H13" s="533"/>
      <c r="I13" s="521"/>
      <c r="J13" s="533"/>
      <c r="K13" s="533"/>
      <c r="L13" s="533"/>
      <c r="M13" s="520">
        <f t="shared" si="6"/>
        <v>0</v>
      </c>
      <c r="N13" s="520"/>
      <c r="O13" s="533"/>
      <c r="P13" s="1049">
        <f>'Milling Down Time Hours'!M9</f>
        <v>3.3333333333333333E-2</v>
      </c>
      <c r="Q13" s="558"/>
      <c r="R13" s="1049">
        <f>'Milling Down Time Hours'!L9</f>
        <v>1438</v>
      </c>
      <c r="S13" s="515"/>
      <c r="T13" s="571"/>
      <c r="U13" s="571"/>
      <c r="V13" s="580"/>
      <c r="W13" s="516">
        <f t="shared" si="2"/>
        <v>0</v>
      </c>
      <c r="X13" s="529">
        <f t="shared" si="3"/>
        <v>0</v>
      </c>
      <c r="Y13" s="529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0.38181818181818183</v>
      </c>
      <c r="AD13" s="31"/>
      <c r="AE13" s="10"/>
      <c r="AF13" s="8"/>
    </row>
    <row r="14" spans="1:33" ht="15.6" x14ac:dyDescent="0.3">
      <c r="A14" s="1078"/>
      <c r="B14" s="1045"/>
      <c r="C14" s="1046"/>
      <c r="D14" s="1075"/>
      <c r="E14" s="581"/>
      <c r="F14" s="608" t="s">
        <v>14</v>
      </c>
      <c r="G14" s="582"/>
      <c r="H14" s="583"/>
      <c r="I14" s="558"/>
      <c r="J14" s="583"/>
      <c r="K14" s="583"/>
      <c r="L14" s="582"/>
      <c r="M14" s="537">
        <f t="shared" si="6"/>
        <v>0</v>
      </c>
      <c r="N14" s="537"/>
      <c r="O14" s="537">
        <f>(N14/SUM(P5:P14))</f>
        <v>0</v>
      </c>
      <c r="P14" s="1067"/>
      <c r="Q14" s="536"/>
      <c r="R14" s="1068"/>
      <c r="S14" s="583"/>
      <c r="T14" s="585"/>
      <c r="U14" s="585"/>
      <c r="V14" s="586"/>
      <c r="W14" s="587">
        <f t="shared" si="2"/>
        <v>0</v>
      </c>
      <c r="X14" s="598">
        <f t="shared" si="3"/>
        <v>0</v>
      </c>
      <c r="Y14" s="598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059">
        <v>46270</v>
      </c>
      <c r="C15" s="1060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79"/>
      <c r="U15" s="479"/>
      <c r="V15" s="479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079">
        <v>3</v>
      </c>
      <c r="B16" s="891">
        <v>46270</v>
      </c>
      <c r="C16" s="891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28">
        <f>SUM(M15:M16)</f>
        <v>26.314330250000005</v>
      </c>
      <c r="O16" s="510">
        <f t="shared" ref="O16:O23" si="7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1052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ref="W16:W24" si="8">T16*M16</f>
        <v>28.603676981750006</v>
      </c>
      <c r="X16" s="597">
        <f t="shared" ref="X16:X24" si="9">M16*U16</f>
        <v>20.349748726666668</v>
      </c>
      <c r="Y16" s="597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079"/>
      <c r="B17" s="891">
        <v>46271</v>
      </c>
      <c r="C17" s="891"/>
      <c r="D17" s="644" t="s">
        <v>450</v>
      </c>
      <c r="E17" s="644" t="s">
        <v>515</v>
      </c>
      <c r="F17" s="610" t="s">
        <v>13</v>
      </c>
      <c r="G17" s="550">
        <v>0.47</v>
      </c>
      <c r="H17" s="510">
        <f>J17-SUM(H16)-'Au Cal Leaching Tank'!$Q$10</f>
        <v>45</v>
      </c>
      <c r="I17" s="590">
        <f t="shared" ref="I17:I22" si="11">H17/((720-R17)/60)</f>
        <v>4.5762711864406773</v>
      </c>
      <c r="J17" s="551">
        <v>215</v>
      </c>
      <c r="K17" s="551">
        <v>1.33</v>
      </c>
      <c r="L17" s="550">
        <v>0.65</v>
      </c>
      <c r="M17" s="511">
        <f>J17*K17*G17-SUM(M16)-'Au Cal Leaching Tank'!$R$10</f>
        <v>53.646499999999968</v>
      </c>
      <c r="N17" s="901">
        <f>SUM(M17:M18)</f>
        <v>173.32450000000003</v>
      </c>
      <c r="O17" s="510">
        <f t="shared" si="7"/>
        <v>5.4555762711864366</v>
      </c>
      <c r="P17" s="510">
        <f>(720-R17)/60</f>
        <v>9.8333333333333339</v>
      </c>
      <c r="Q17" s="597">
        <f t="shared" ref="Q17" si="12">720-R17</f>
        <v>590</v>
      </c>
      <c r="R17" s="510">
        <f>'Milling Down Time Hours'!L11</f>
        <v>130</v>
      </c>
      <c r="S17" s="1053"/>
      <c r="T17" s="600">
        <f>AVERAGE('LT Ball Mill'!F28:F30)</f>
        <v>0.90233333333333332</v>
      </c>
      <c r="U17" s="600">
        <f>AVERAGE('LT Ball Mill'!G28:G30)</f>
        <v>0.56999999999999995</v>
      </c>
      <c r="V17" s="600">
        <f>AVERAGE('LT Ball Mill'!H28:H30)</f>
        <v>9.6533333333333342</v>
      </c>
      <c r="W17" s="601">
        <f t="shared" si="8"/>
        <v>48.407025166666635</v>
      </c>
      <c r="X17" s="568">
        <f t="shared" si="9"/>
        <v>30.578504999999979</v>
      </c>
      <c r="Y17" s="568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1079"/>
      <c r="B18" s="891"/>
      <c r="C18" s="891"/>
      <c r="D18" s="644" t="s">
        <v>449</v>
      </c>
      <c r="E18" s="645"/>
      <c r="F18" s="604" t="s">
        <v>14</v>
      </c>
      <c r="G18" s="549">
        <v>0.45</v>
      </c>
      <c r="H18" s="510">
        <f>J18-SUM(H16:H17)-'Au Cal Leaching Tank'!$Q$10</f>
        <v>216.00000000000003</v>
      </c>
      <c r="I18" s="505">
        <f t="shared" si="11"/>
        <v>18.000000000000004</v>
      </c>
      <c r="J18" s="508">
        <v>431</v>
      </c>
      <c r="K18" s="508">
        <v>1.31</v>
      </c>
      <c r="L18" s="507">
        <v>0.65</v>
      </c>
      <c r="M18" s="511">
        <f>J18*K18*G18-SUM(M16:M17)-'Au Cal Leaching Tank'!$R$10</f>
        <v>119.67800000000005</v>
      </c>
      <c r="N18" s="901"/>
      <c r="O18" s="510">
        <f t="shared" si="7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1053"/>
      <c r="T18" s="514">
        <f>AVERAGE('LT Ball Mill'!F31:F33)</f>
        <v>0.81433333333333335</v>
      </c>
      <c r="U18" s="514">
        <f>AVERAGE('LT Ball Mill'!G31:G33)</f>
        <v>0.6333333333333333</v>
      </c>
      <c r="V18" s="514">
        <f>AVERAGE('LT Ball Mill'!H31:H33)</f>
        <v>9.4366666666666674</v>
      </c>
      <c r="W18" s="513">
        <f t="shared" si="8"/>
        <v>97.457784666666711</v>
      </c>
      <c r="X18" s="597">
        <f t="shared" si="9"/>
        <v>75.796066666666704</v>
      </c>
      <c r="Y18" s="597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1079"/>
      <c r="B19" s="1055">
        <v>46272</v>
      </c>
      <c r="C19" s="1056"/>
      <c r="D19" s="589" t="s">
        <v>170</v>
      </c>
      <c r="E19" s="591" t="s">
        <v>527</v>
      </c>
      <c r="F19" s="610" t="s">
        <v>13</v>
      </c>
      <c r="G19" s="550">
        <v>0.45</v>
      </c>
      <c r="H19" s="510">
        <f>J19-SUM(H16:H18)-'Au Cal Leaching Tank'!$Q$10</f>
        <v>215.99999999999997</v>
      </c>
      <c r="I19" s="505">
        <f t="shared" si="11"/>
        <v>19.31445603576751</v>
      </c>
      <c r="J19" s="551">
        <v>647</v>
      </c>
      <c r="K19" s="551">
        <v>1.31</v>
      </c>
      <c r="L19" s="550">
        <v>0.73</v>
      </c>
      <c r="M19" s="511">
        <f>J19*K19*G19-SUM(M16:M18)-'Au Cal Leaching Tank'!$R$10</f>
        <v>127.33200000000005</v>
      </c>
      <c r="N19" s="1076">
        <f>SUM(M19:M20)</f>
        <v>185.59190000000007</v>
      </c>
      <c r="O19" s="510">
        <f t="shared" si="7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Hours'!G13+30</f>
        <v>49</v>
      </c>
      <c r="S19" s="1054"/>
      <c r="T19" s="600">
        <f>AVERAGE('LT Ball Mill'!F34:F36)</f>
        <v>0.91199999999999992</v>
      </c>
      <c r="U19" s="600">
        <f>AVERAGE('LT Ball Mill'!G34:G36)</f>
        <v>0.95333333333333325</v>
      </c>
      <c r="V19" s="600">
        <f>AVERAGE('LT Ball Mill'!H34:H36)</f>
        <v>9.3966666666666665</v>
      </c>
      <c r="W19" s="513">
        <f t="shared" si="8"/>
        <v>116.12678400000003</v>
      </c>
      <c r="X19" s="597">
        <f t="shared" si="9"/>
        <v>121.38984000000004</v>
      </c>
      <c r="Y19" s="59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78">
        <v>4</v>
      </c>
      <c r="B20" s="1057">
        <v>46272</v>
      </c>
      <c r="C20" s="1058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21">
        <f>H20/((720-R20)/60)</f>
        <v>9.5103550295857993</v>
      </c>
      <c r="J20" s="531">
        <v>215</v>
      </c>
      <c r="K20" s="531">
        <v>1.28</v>
      </c>
      <c r="L20" s="530">
        <v>0.73</v>
      </c>
      <c r="M20" s="520">
        <f>J20*K20*G20-'Au Cal Leaching Tank'!$R$11</f>
        <v>58.259900000000002</v>
      </c>
      <c r="N20" s="1054"/>
      <c r="O20" s="515">
        <f t="shared" si="7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Hours'!G14-30</f>
        <v>44</v>
      </c>
      <c r="S20" s="894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8"/>
        <v>30.897166966666674</v>
      </c>
      <c r="X20" s="529">
        <f t="shared" si="9"/>
        <v>62.338093000000008</v>
      </c>
      <c r="Y20" s="529">
        <f t="shared" si="10"/>
        <v>520.0667073333334</v>
      </c>
    </row>
    <row r="21" spans="1:32" ht="15" thickBot="1" x14ac:dyDescent="0.35">
      <c r="A21" s="1078"/>
      <c r="B21" s="1061">
        <v>46273</v>
      </c>
      <c r="C21" s="1062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21">
        <f t="shared" si="11"/>
        <v>18.290322580645157</v>
      </c>
      <c r="J21" s="531">
        <v>404</v>
      </c>
      <c r="K21" s="531">
        <v>1.29</v>
      </c>
      <c r="L21" s="530">
        <v>0.75</v>
      </c>
      <c r="M21" s="520">
        <f>J21*K21*G21-'Au Cal Leaching Tank'!$R$11-SUM(M20)</f>
        <v>106.05519999999997</v>
      </c>
      <c r="N21" s="1063">
        <f>SUM(M21:M22)</f>
        <v>193.82679999999999</v>
      </c>
      <c r="O21" s="515">
        <f t="shared" si="7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Hours'!G15</f>
        <v>100</v>
      </c>
      <c r="S21" s="894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8"/>
        <v>68.582362666666654</v>
      </c>
      <c r="X21" s="529">
        <f t="shared" si="9"/>
        <v>102.16650933333329</v>
      </c>
      <c r="Y21" s="52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78"/>
      <c r="B22" s="1072"/>
      <c r="C22" s="1073"/>
      <c r="D22" s="594" t="s">
        <v>532</v>
      </c>
      <c r="E22" s="595" t="s">
        <v>538</v>
      </c>
      <c r="F22" s="608" t="s">
        <v>14</v>
      </c>
      <c r="G22" s="582">
        <v>0.42</v>
      </c>
      <c r="H22" s="515">
        <f>J22-'Au Cal Leaching Tank'!$Q$11-SUM(H20:H21)</f>
        <v>162</v>
      </c>
      <c r="I22" s="521">
        <f t="shared" si="11"/>
        <v>17.142857142857146</v>
      </c>
      <c r="J22" s="583">
        <v>566</v>
      </c>
      <c r="K22" s="583">
        <v>1.29</v>
      </c>
      <c r="L22" s="582">
        <v>0.75</v>
      </c>
      <c r="M22" s="520">
        <f>J22*K22*G22-'Au Cal Leaching Tank'!$R$11-SUM(M20:M21)</f>
        <v>87.771600000000035</v>
      </c>
      <c r="N22" s="975"/>
      <c r="O22" s="515">
        <f t="shared" si="7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Hours'!G16</f>
        <v>153</v>
      </c>
      <c r="S22" s="894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8"/>
        <v>55.734966000000014</v>
      </c>
      <c r="X22" s="529">
        <f t="shared" si="9"/>
        <v>90.697320000000047</v>
      </c>
      <c r="Y22" s="52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78"/>
      <c r="B23" s="1061">
        <v>46274</v>
      </c>
      <c r="C23" s="1062"/>
      <c r="D23" s="596" t="s">
        <v>170</v>
      </c>
      <c r="E23" s="615" t="s">
        <v>530</v>
      </c>
      <c r="F23" s="605" t="s">
        <v>13</v>
      </c>
      <c r="G23" s="523">
        <v>0.44</v>
      </c>
      <c r="H23" s="515">
        <f>J23-'Au Cal Leaching Tank'!$Q$11-SUM(H20:H22)</f>
        <v>81</v>
      </c>
      <c r="I23" s="521">
        <f>H23/((720-R23)/60)</f>
        <v>27</v>
      </c>
      <c r="J23" s="524">
        <v>647</v>
      </c>
      <c r="K23" s="524">
        <v>1.3049999999999999</v>
      </c>
      <c r="L23" s="523">
        <v>0.75</v>
      </c>
      <c r="M23" s="520">
        <f>J23*K23*G23-'Au Cal Leaching Tank'!$R$11-SUM(M20:M22)</f>
        <v>64.848599999999976</v>
      </c>
      <c r="N23" s="529">
        <f>SUM(M23:M24)</f>
        <v>64.848599999999976</v>
      </c>
      <c r="O23" s="515">
        <f t="shared" si="7"/>
        <v>21.616199999999992</v>
      </c>
      <c r="P23" s="515">
        <f>(720-R23)/60</f>
        <v>3</v>
      </c>
      <c r="Q23" s="515">
        <f>720-R23</f>
        <v>180</v>
      </c>
      <c r="R23" s="515">
        <f>'Milling Down Time Hours'!G17</f>
        <v>540</v>
      </c>
      <c r="S23" s="894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8"/>
        <v>38.41198739999998</v>
      </c>
      <c r="X23" s="529">
        <f t="shared" si="9"/>
        <v>43.232399999999984</v>
      </c>
      <c r="Y23" s="52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884">
        <v>46274</v>
      </c>
      <c r="C24" s="885"/>
      <c r="D24" s="489" t="s">
        <v>532</v>
      </c>
      <c r="E24" s="667" t="s">
        <v>557</v>
      </c>
      <c r="F24" s="612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6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2"/>
      <c r="T24" s="624"/>
      <c r="U24" s="624"/>
      <c r="V24" s="625"/>
      <c r="W24" s="626">
        <f t="shared" si="8"/>
        <v>0</v>
      </c>
      <c r="X24" s="492">
        <f t="shared" si="9"/>
        <v>0</v>
      </c>
      <c r="Y24" s="492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1077">
        <v>5</v>
      </c>
      <c r="B25" s="1040">
        <v>46275</v>
      </c>
      <c r="C25" s="1041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88" si="13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892">
        <f>SUM(M25:M26)</f>
        <v>262.08779999999996</v>
      </c>
      <c r="O25" s="510">
        <f t="shared" ref="O25:O26" si="14">M25/P25</f>
        <v>11.646605678233442</v>
      </c>
      <c r="P25" s="510">
        <f t="shared" ref="P25:P26" si="15">(720-R25)/60</f>
        <v>10.566666666666666</v>
      </c>
      <c r="Q25" s="510">
        <f t="shared" ref="Q25:Q26" si="16">720-R25</f>
        <v>634</v>
      </c>
      <c r="R25" s="510">
        <f>'Milling Down Time Hours'!G19</f>
        <v>86</v>
      </c>
      <c r="S25" s="892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2"/>
        <v>89.838034000000022</v>
      </c>
      <c r="X25" s="597">
        <f t="shared" si="3"/>
        <v>77.531454000000025</v>
      </c>
      <c r="Y25" s="597">
        <f t="shared" si="4"/>
        <v>1054.6739060000004</v>
      </c>
      <c r="AA25" s="13" t="s">
        <v>445</v>
      </c>
      <c r="AB25" s="228">
        <f>AB24*AC10*AC13</f>
        <v>137.26310181818181</v>
      </c>
    </row>
    <row r="26" spans="1:32" ht="15" thickBot="1" x14ac:dyDescent="0.35">
      <c r="A26" s="1077"/>
      <c r="B26" s="1055"/>
      <c r="C26" s="1056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3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899"/>
      <c r="O26" s="510">
        <f t="shared" si="14"/>
        <v>13.282356687898083</v>
      </c>
      <c r="P26" s="510">
        <f t="shared" si="15"/>
        <v>10.466666666666667</v>
      </c>
      <c r="Q26" s="510">
        <f t="shared" si="16"/>
        <v>628</v>
      </c>
      <c r="R26" s="510">
        <f>'Milling Down Time Hours'!G20</f>
        <v>92.000000000000014</v>
      </c>
      <c r="S26" s="892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2"/>
        <v>71.735351999999963</v>
      </c>
      <c r="X26" s="597">
        <f t="shared" si="3"/>
        <v>59.779459999999972</v>
      </c>
      <c r="Y26" s="597">
        <f t="shared" si="4"/>
        <v>1289.6607533333327</v>
      </c>
      <c r="AA26" s="13"/>
      <c r="AB26" s="228">
        <f>AB25-33.43</f>
        <v>103.8331018181818</v>
      </c>
    </row>
    <row r="27" spans="1:32" ht="28.8" x14ac:dyDescent="0.3">
      <c r="A27" s="1077"/>
      <c r="B27" s="1040">
        <v>46276</v>
      </c>
      <c r="C27" s="1041"/>
      <c r="D27" s="745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3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1052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Hours'!G21</f>
        <v>61</v>
      </c>
      <c r="S27" s="892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AD27" s="478"/>
    </row>
    <row r="28" spans="1:32" x14ac:dyDescent="0.3">
      <c r="A28" s="744"/>
      <c r="B28" s="893">
        <v>46276</v>
      </c>
      <c r="C28" s="893"/>
      <c r="D28" s="746" t="s">
        <v>549</v>
      </c>
      <c r="E28" s="770" t="s">
        <v>591</v>
      </c>
      <c r="F28" s="738" t="s">
        <v>13</v>
      </c>
      <c r="G28" s="739">
        <v>0.42</v>
      </c>
      <c r="H28" s="740">
        <f>J28-'Au Cal Leaching Tank'!$Q$15</f>
        <v>107.15</v>
      </c>
      <c r="I28" s="741">
        <f>H28/((360-R28)/60)</f>
        <v>17.858333333333334</v>
      </c>
      <c r="J28" s="740">
        <v>215</v>
      </c>
      <c r="K28" s="742">
        <v>1.29</v>
      </c>
      <c r="L28" s="739">
        <v>0.75</v>
      </c>
      <c r="M28" s="741">
        <f>(J28*K28*G28)-'Au Cal Leaching Tank'!$R$13</f>
        <v>60.108412500000014</v>
      </c>
      <c r="N28" s="1051"/>
      <c r="O28" s="741">
        <f>M28/P28</f>
        <v>10.018068750000003</v>
      </c>
      <c r="P28" s="741">
        <f>(360-R28)/60</f>
        <v>6</v>
      </c>
      <c r="Q28" s="740">
        <v>360</v>
      </c>
      <c r="R28" s="740">
        <v>0</v>
      </c>
      <c r="S28" s="1042">
        <f>SUM(M28:M31)</f>
        <v>277.03691250000003</v>
      </c>
      <c r="T28" s="769">
        <f>AVERAGE('LT Ball Mill'!F58:F60)</f>
        <v>1.4286666666666665</v>
      </c>
      <c r="U28" s="769">
        <f>AVERAGE('LT Ball Mill'!G58:G60)</f>
        <v>0.99333333333333329</v>
      </c>
      <c r="V28" s="769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AD28" s="478"/>
    </row>
    <row r="29" spans="1:32" ht="43.8" thickBot="1" x14ac:dyDescent="0.35">
      <c r="A29" s="1078">
        <v>6</v>
      </c>
      <c r="B29" s="1045">
        <v>46276</v>
      </c>
      <c r="C29" s="1046"/>
      <c r="D29" s="763" t="s">
        <v>559</v>
      </c>
      <c r="E29" s="764" t="s">
        <v>556</v>
      </c>
      <c r="F29" s="765" t="s">
        <v>14</v>
      </c>
      <c r="G29" s="532">
        <v>0.45</v>
      </c>
      <c r="H29" s="584">
        <f>J29-'Au Cal Leaching Tank'!$Q$15-SUM(H28)</f>
        <v>72</v>
      </c>
      <c r="I29" s="584">
        <f t="shared" si="13"/>
        <v>36</v>
      </c>
      <c r="J29" s="533">
        <v>287</v>
      </c>
      <c r="K29" s="533">
        <v>1.29</v>
      </c>
      <c r="L29" s="532">
        <v>0.75</v>
      </c>
      <c r="M29" s="515">
        <f>(J29*K29*G29)-'Au Cal Leaching Tank'!$R$13-SUM(M28)</f>
        <v>50.116500000000016</v>
      </c>
      <c r="N29" s="517">
        <f>M29</f>
        <v>50.116500000000016</v>
      </c>
      <c r="O29" s="584">
        <f>M29/P29</f>
        <v>25.058250000000008</v>
      </c>
      <c r="P29" s="584">
        <f>(720-R29)/60</f>
        <v>2</v>
      </c>
      <c r="Q29" s="584">
        <f>720-R29</f>
        <v>120</v>
      </c>
      <c r="R29" s="584">
        <f>'Milling Down Time Hours'!G22</f>
        <v>600</v>
      </c>
      <c r="S29" s="1043"/>
      <c r="T29" s="617">
        <f>AVERAGE('LT Ball Mill'!F61:F63)</f>
        <v>0.26499999999999996</v>
      </c>
      <c r="U29" s="617">
        <f>AVERAGE('LT Ball Mill'!G61:G63)</f>
        <v>0.57333333333333336</v>
      </c>
      <c r="V29" s="617">
        <f>AVERAGE('LT Ball Mill'!H61:H63)</f>
        <v>7.5933333333333337</v>
      </c>
      <c r="W29" s="618">
        <f>T29*M29</f>
        <v>13.280872500000003</v>
      </c>
      <c r="X29" s="576">
        <f>M29*U29</f>
        <v>28.733460000000012</v>
      </c>
      <c r="Y29" s="576">
        <f>M29*V29</f>
        <v>380.55129000000017</v>
      </c>
      <c r="AB29" s="30">
        <f>AB25-62</f>
        <v>75.263101818181809</v>
      </c>
    </row>
    <row r="30" spans="1:32" ht="29.4" thickBot="1" x14ac:dyDescent="0.35">
      <c r="A30" s="1078"/>
      <c r="B30" s="1061">
        <v>46277</v>
      </c>
      <c r="C30" s="1062"/>
      <c r="D30" s="766" t="s">
        <v>560</v>
      </c>
      <c r="E30" s="767" t="s">
        <v>561</v>
      </c>
      <c r="F30" s="605" t="s">
        <v>13</v>
      </c>
      <c r="G30" s="519">
        <v>0.33</v>
      </c>
      <c r="H30" s="584">
        <f>J30-'Au Cal Leaching Tank'!$Q$15-SUM(H28:H29)</f>
        <v>432</v>
      </c>
      <c r="I30" s="584" t="str">
        <f>IFERROR(H30/((720-R30)/60),"")</f>
        <v/>
      </c>
      <c r="J30" s="522">
        <v>719</v>
      </c>
      <c r="K30" s="522">
        <v>1.21</v>
      </c>
      <c r="L30" s="519">
        <v>0.75</v>
      </c>
      <c r="M30" s="515">
        <f>(J30*K30*G30)-'Au Cal Leaching Tank'!$R$13-SUM(M28:M29)</f>
        <v>120.49319999999999</v>
      </c>
      <c r="N30" s="1063">
        <f>SUM(M30:M31)</f>
        <v>166.81200000000001</v>
      </c>
      <c r="O30" s="584" t="str">
        <f>IFERROR(M30/P30,"")</f>
        <v/>
      </c>
      <c r="P30" s="584">
        <f t="shared" ref="P30:P33" si="17">(720-R30)/60</f>
        <v>0</v>
      </c>
      <c r="Q30" s="536">
        <f>720-R30</f>
        <v>0</v>
      </c>
      <c r="R30" s="584">
        <f>'Milling Down Time Hours'!G23</f>
        <v>720</v>
      </c>
      <c r="S30" s="1043"/>
      <c r="T30" s="518">
        <f>AVERAGE('LT Ball Mill'!F64:F66)</f>
        <v>0.30533333333333329</v>
      </c>
      <c r="U30" s="518">
        <f>AVERAGE('LT Ball Mill'!G64:G66)</f>
        <v>0.55333333333333334</v>
      </c>
      <c r="V30" s="518">
        <f>AVERAGE('LT Ball Mill'!H64:H66)</f>
        <v>6.7966666666666669</v>
      </c>
      <c r="W30" s="516">
        <f t="shared" si="2"/>
        <v>36.790590399999992</v>
      </c>
      <c r="X30" s="529">
        <f t="shared" si="3"/>
        <v>66.672903999999988</v>
      </c>
      <c r="Y30" s="529">
        <f t="shared" si="4"/>
        <v>818.95211599999993</v>
      </c>
    </row>
    <row r="31" spans="1:32" ht="29.4" thickBot="1" x14ac:dyDescent="0.35">
      <c r="A31" s="1078"/>
      <c r="B31" s="1072"/>
      <c r="C31" s="1073"/>
      <c r="D31" s="768" t="s">
        <v>579</v>
      </c>
      <c r="E31" s="1165" t="s">
        <v>595</v>
      </c>
      <c r="F31" s="608" t="s">
        <v>14</v>
      </c>
      <c r="G31" s="523">
        <v>0.33</v>
      </c>
      <c r="H31" s="584">
        <f>J31-'Au Cal Leaching Tank'!$Q$15-SUM(H28:H30)</f>
        <v>116</v>
      </c>
      <c r="I31" s="584" t="str">
        <f>IFERROR(H31/((720-R31)/60),"")</f>
        <v/>
      </c>
      <c r="J31" s="524">
        <v>835</v>
      </c>
      <c r="K31" s="524">
        <v>1.21</v>
      </c>
      <c r="L31" s="523">
        <v>0.75</v>
      </c>
      <c r="M31" s="515">
        <f>(J31*K31*G31)-'Au Cal Leaching Tank'!$R$13-SUM(M28:M30)</f>
        <v>46.31880000000001</v>
      </c>
      <c r="N31" s="1064"/>
      <c r="O31" s="584" t="str">
        <f t="shared" ref="O31:O43" si="18">IFERROR(M31/P31,"")</f>
        <v/>
      </c>
      <c r="P31" s="584">
        <f t="shared" si="17"/>
        <v>0</v>
      </c>
      <c r="Q31" s="536">
        <f>720-R31</f>
        <v>0</v>
      </c>
      <c r="R31" s="584">
        <f>'Milling Down Time Hours'!G24</f>
        <v>720</v>
      </c>
      <c r="S31" s="1044"/>
      <c r="T31" s="617">
        <f>AVERAGE('LT Ball Mill'!F64:F66)</f>
        <v>0.30533333333333329</v>
      </c>
      <c r="U31" s="617">
        <f>AVERAGE('LT Ball Mill'!G64:G66)</f>
        <v>0.55333333333333334</v>
      </c>
      <c r="V31" s="617">
        <f>AVERAGE('LT Ball Mill'!H64:H66)</f>
        <v>6.7966666666666669</v>
      </c>
      <c r="W31" s="516">
        <f t="shared" si="2"/>
        <v>14.142673600000002</v>
      </c>
      <c r="X31" s="529">
        <f t="shared" si="3"/>
        <v>25.629736000000005</v>
      </c>
      <c r="Y31" s="529">
        <f t="shared" si="4"/>
        <v>314.81344400000006</v>
      </c>
      <c r="AA31" s="139"/>
      <c r="AB31" s="30"/>
    </row>
    <row r="32" spans="1:32" ht="15" thickBot="1" x14ac:dyDescent="0.35">
      <c r="B32" s="880">
        <v>46278</v>
      </c>
      <c r="C32" s="881"/>
      <c r="D32" s="743" t="s">
        <v>581</v>
      </c>
      <c r="E32" s="743" t="s">
        <v>580</v>
      </c>
      <c r="F32" s="613" t="s">
        <v>13</v>
      </c>
      <c r="G32" s="32"/>
      <c r="H32" s="29"/>
      <c r="I32" s="659"/>
      <c r="J32" s="29"/>
      <c r="K32" s="29"/>
      <c r="L32" s="32"/>
      <c r="M32" s="28">
        <f t="shared" si="6"/>
        <v>0</v>
      </c>
      <c r="N32" s="1163">
        <f>SUM(M32:M33)</f>
        <v>28.496569999999998</v>
      </c>
      <c r="O32" s="659" t="str">
        <f t="shared" si="18"/>
        <v/>
      </c>
      <c r="P32" s="659">
        <f>(720-R32)/60</f>
        <v>0</v>
      </c>
      <c r="Q32" s="451">
        <f t="shared" ref="Q32:Q33" si="19">720-R32</f>
        <v>0</v>
      </c>
      <c r="R32" s="451">
        <f>'Milling Down Time Hours'!G25</f>
        <v>720</v>
      </c>
      <c r="S32" s="538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1144" customFormat="1" ht="15" thickBot="1" x14ac:dyDescent="0.35">
      <c r="A33" s="761">
        <v>7</v>
      </c>
      <c r="B33" s="884"/>
      <c r="C33" s="885"/>
      <c r="D33" s="771" t="s">
        <v>170</v>
      </c>
      <c r="E33" s="1166" t="s">
        <v>597</v>
      </c>
      <c r="F33" s="772" t="s">
        <v>14</v>
      </c>
      <c r="G33" s="550">
        <v>0.38</v>
      </c>
      <c r="H33" s="590">
        <f>J33-'Au Cal Leaching Tank'!$Q$14</f>
        <v>179.15</v>
      </c>
      <c r="I33" s="590">
        <f t="shared" si="13"/>
        <v>17.914999999999999</v>
      </c>
      <c r="J33" s="551">
        <v>287</v>
      </c>
      <c r="K33" s="551">
        <v>1.25</v>
      </c>
      <c r="L33" s="507">
        <v>0.75</v>
      </c>
      <c r="M33" s="773">
        <f>(H33*K33*G33)-'Au Cal Leaching Tank'!$R$14</f>
        <v>28.496569999999998</v>
      </c>
      <c r="N33" s="1164"/>
      <c r="O33" s="1140">
        <f t="shared" si="18"/>
        <v>2.8496569999999997</v>
      </c>
      <c r="P33" s="590">
        <f t="shared" si="17"/>
        <v>10</v>
      </c>
      <c r="Q33" s="548">
        <f t="shared" si="19"/>
        <v>600</v>
      </c>
      <c r="R33" s="548">
        <f>'Milling Down Time Hours'!G28</f>
        <v>120.00000000000001</v>
      </c>
      <c r="S33" s="1142"/>
      <c r="T33" s="512"/>
      <c r="U33" s="512"/>
      <c r="V33" s="1143"/>
      <c r="W33" s="513">
        <f t="shared" si="2"/>
        <v>0</v>
      </c>
      <c r="X33" s="597">
        <f t="shared" si="3"/>
        <v>0</v>
      </c>
      <c r="Y33" s="597">
        <f t="shared" si="4"/>
        <v>0</v>
      </c>
      <c r="AA33" s="1144">
        <f>125.82*1.28*41.76%</f>
        <v>67.254312959999993</v>
      </c>
      <c r="AC33" s="1144">
        <f>215.7*1.29*42.92%</f>
        <v>119.42618760000001</v>
      </c>
    </row>
    <row r="34" spans="1:32" s="1144" customFormat="1" ht="15" thickBot="1" x14ac:dyDescent="0.35">
      <c r="A34" s="761"/>
      <c r="B34" s="1040">
        <v>46279</v>
      </c>
      <c r="C34" s="1041"/>
      <c r="D34" s="544"/>
      <c r="E34" s="544"/>
      <c r="F34" s="603" t="s">
        <v>13</v>
      </c>
      <c r="G34" s="525"/>
      <c r="H34" s="590">
        <f>J34-'Au Cal Leaching Tank'!$Q$14-SUM(H33)</f>
        <v>-287</v>
      </c>
      <c r="I34" s="590">
        <f t="shared" si="13"/>
        <v>-23.916666666666668</v>
      </c>
      <c r="J34" s="526"/>
      <c r="K34" s="526"/>
      <c r="L34" s="507"/>
      <c r="M34" s="773">
        <f>(H34*K34*G34)-'Au Cal Leaching Tank'!$R$14-SUM(M33)</f>
        <v>-85.096249999999998</v>
      </c>
      <c r="N34" s="1047">
        <f>SUM(M34:M35)</f>
        <v>-85.096249999999998</v>
      </c>
      <c r="O34" s="1140" t="str">
        <f t="shared" si="18"/>
        <v/>
      </c>
      <c r="P34" s="1141"/>
      <c r="Q34" s="1141"/>
      <c r="R34" s="548">
        <f>'Milling Down Time Hours'!G29</f>
        <v>0</v>
      </c>
      <c r="S34" s="1145"/>
      <c r="T34" s="514"/>
      <c r="U34" s="514"/>
      <c r="V34" s="1146"/>
      <c r="W34" s="513">
        <f t="shared" si="2"/>
        <v>0</v>
      </c>
      <c r="X34" s="597">
        <f t="shared" si="3"/>
        <v>0</v>
      </c>
      <c r="Y34" s="597">
        <f t="shared" si="4"/>
        <v>0</v>
      </c>
      <c r="AA34" s="1144">
        <f>170.76*1.27*40.59%</f>
        <v>88.025584680000009</v>
      </c>
      <c r="AC34" s="1144">
        <f>AC33-AC32</f>
        <v>80.307698400000007</v>
      </c>
    </row>
    <row r="35" spans="1:32" s="1144" customFormat="1" ht="15" thickBot="1" x14ac:dyDescent="0.35">
      <c r="A35" s="761"/>
      <c r="B35" s="1055"/>
      <c r="C35" s="1056"/>
      <c r="D35" s="544"/>
      <c r="E35" s="544"/>
      <c r="F35" s="772" t="s">
        <v>14</v>
      </c>
      <c r="G35" s="525"/>
      <c r="H35" s="590">
        <f>J35-'Au Cal Leaching Tank'!$Q$14-SUM(H33:H34)</f>
        <v>0</v>
      </c>
      <c r="I35" s="590">
        <f t="shared" si="13"/>
        <v>0</v>
      </c>
      <c r="J35" s="526"/>
      <c r="K35" s="526"/>
      <c r="L35" s="507"/>
      <c r="M35" s="773">
        <f t="shared" si="6"/>
        <v>0</v>
      </c>
      <c r="N35" s="1048"/>
      <c r="O35" s="590">
        <f t="shared" si="18"/>
        <v>0</v>
      </c>
      <c r="P35" s="510">
        <f>'Milling Down Time Hours'!M20</f>
        <v>22</v>
      </c>
      <c r="Q35" s="510"/>
      <c r="R35" s="510">
        <f>'Milling Down Time Hours'!L20</f>
        <v>120.00000000000001</v>
      </c>
      <c r="S35" s="526"/>
      <c r="T35" s="512"/>
      <c r="U35" s="512"/>
      <c r="V35" s="1143"/>
      <c r="W35" s="513">
        <f t="shared" si="2"/>
        <v>0</v>
      </c>
      <c r="X35" s="597">
        <f t="shared" si="3"/>
        <v>0</v>
      </c>
      <c r="Y35" s="597">
        <f t="shared" si="4"/>
        <v>0</v>
      </c>
      <c r="AA35" s="1147">
        <f>AA34-AA33</f>
        <v>20.771271720000016</v>
      </c>
    </row>
    <row r="36" spans="1:32" s="1144" customFormat="1" ht="15" thickBot="1" x14ac:dyDescent="0.35">
      <c r="A36" s="761"/>
      <c r="B36" s="1040">
        <v>46280</v>
      </c>
      <c r="C36" s="1041"/>
      <c r="D36" s="544"/>
      <c r="E36" s="1148"/>
      <c r="F36" s="603" t="s">
        <v>13</v>
      </c>
      <c r="G36" s="525"/>
      <c r="H36" s="526"/>
      <c r="I36" s="590">
        <f t="shared" si="13"/>
        <v>0</v>
      </c>
      <c r="J36" s="526"/>
      <c r="K36" s="526"/>
      <c r="L36" s="525"/>
      <c r="M36" s="773">
        <f t="shared" si="6"/>
        <v>0</v>
      </c>
      <c r="N36" s="774"/>
      <c r="O36" s="590" t="str">
        <f t="shared" si="18"/>
        <v/>
      </c>
      <c r="P36" s="510"/>
      <c r="Q36" s="510"/>
      <c r="R36" s="510"/>
      <c r="S36" s="526"/>
      <c r="T36" s="514"/>
      <c r="U36" s="514"/>
      <c r="V36" s="1146"/>
      <c r="W36" s="513">
        <f t="shared" si="2"/>
        <v>0</v>
      </c>
      <c r="X36" s="597">
        <f t="shared" si="3"/>
        <v>0</v>
      </c>
      <c r="Y36" s="597">
        <f t="shared" si="4"/>
        <v>0</v>
      </c>
      <c r="AA36" s="1147"/>
    </row>
    <row r="37" spans="1:32" s="1144" customFormat="1" ht="15" thickBot="1" x14ac:dyDescent="0.35">
      <c r="A37" s="761"/>
      <c r="B37" s="1055"/>
      <c r="C37" s="1056"/>
      <c r="D37" s="1149"/>
      <c r="E37" s="1149"/>
      <c r="F37" s="772" t="s">
        <v>14</v>
      </c>
      <c r="G37" s="1150"/>
      <c r="H37" s="609"/>
      <c r="I37" s="590">
        <f t="shared" si="13"/>
        <v>0</v>
      </c>
      <c r="J37" s="609"/>
      <c r="K37" s="609"/>
      <c r="L37" s="1150"/>
      <c r="M37" s="773">
        <f t="shared" si="6"/>
        <v>0</v>
      </c>
      <c r="N37" s="1151"/>
      <c r="O37" s="590">
        <f t="shared" si="18"/>
        <v>0</v>
      </c>
      <c r="P37" s="1152">
        <f>'Milling Down Time Hours'!M21</f>
        <v>24</v>
      </c>
      <c r="Q37" s="1152"/>
      <c r="R37" s="1152">
        <f>'Milling Down Time Hours'!L21</f>
        <v>0</v>
      </c>
      <c r="S37" s="609"/>
      <c r="T37" s="1153"/>
      <c r="U37" s="1153"/>
      <c r="V37" s="1154"/>
      <c r="W37" s="513">
        <f t="shared" si="2"/>
        <v>0</v>
      </c>
      <c r="X37" s="597">
        <f t="shared" si="3"/>
        <v>0</v>
      </c>
      <c r="Y37" s="597">
        <f t="shared" si="4"/>
        <v>0</v>
      </c>
      <c r="AA37" s="1144">
        <f>269.92*1.28*41.76%</f>
        <v>144.27979776000001</v>
      </c>
    </row>
    <row r="38" spans="1:32" s="1144" customFormat="1" ht="15" thickBot="1" x14ac:dyDescent="0.35">
      <c r="A38" s="761"/>
      <c r="B38" s="1040">
        <v>46281</v>
      </c>
      <c r="C38" s="1041"/>
      <c r="D38" s="1149"/>
      <c r="E38" s="1149"/>
      <c r="F38" s="603" t="s">
        <v>13</v>
      </c>
      <c r="G38" s="1150"/>
      <c r="H38" s="609"/>
      <c r="I38" s="590">
        <f t="shared" si="13"/>
        <v>0</v>
      </c>
      <c r="J38" s="609"/>
      <c r="K38" s="609"/>
      <c r="L38" s="1150"/>
      <c r="M38" s="773">
        <f t="shared" si="6"/>
        <v>0</v>
      </c>
      <c r="N38" s="1151"/>
      <c r="O38" s="590" t="str">
        <f t="shared" si="18"/>
        <v/>
      </c>
      <c r="P38" s="1152"/>
      <c r="Q38" s="1152"/>
      <c r="R38" s="1152"/>
      <c r="S38" s="609"/>
      <c r="T38" s="1155"/>
      <c r="U38" s="1155"/>
      <c r="V38" s="1156"/>
      <c r="W38" s="513">
        <f t="shared" si="2"/>
        <v>0</v>
      </c>
      <c r="X38" s="597">
        <f t="shared" si="3"/>
        <v>0</v>
      </c>
      <c r="Y38" s="597">
        <f t="shared" si="4"/>
        <v>0</v>
      </c>
      <c r="AA38" s="1144">
        <f>323.55*1.29*42.92%</f>
        <v>179.13928140000002</v>
      </c>
    </row>
    <row r="39" spans="1:32" s="1144" customFormat="1" ht="15" thickBot="1" x14ac:dyDescent="0.35">
      <c r="A39" s="761"/>
      <c r="B39" s="1055"/>
      <c r="C39" s="1056"/>
      <c r="D39" s="544"/>
      <c r="E39" s="1157"/>
      <c r="F39" s="772" t="s">
        <v>14</v>
      </c>
      <c r="G39" s="660"/>
      <c r="H39" s="660"/>
      <c r="I39" s="590">
        <f t="shared" si="13"/>
        <v>0</v>
      </c>
      <c r="J39" s="660"/>
      <c r="K39" s="660"/>
      <c r="L39" s="526"/>
      <c r="M39" s="773">
        <f t="shared" si="6"/>
        <v>0</v>
      </c>
      <c r="N39" s="526"/>
      <c r="O39" s="590">
        <f t="shared" si="18"/>
        <v>0</v>
      </c>
      <c r="P39" s="510">
        <f>'Milling Down Time Hours'!M22</f>
        <v>24</v>
      </c>
      <c r="Q39" s="510"/>
      <c r="R39" s="510">
        <f>'Milling Down Time Hours'!L22</f>
        <v>0</v>
      </c>
      <c r="S39" s="526"/>
      <c r="T39" s="1158"/>
      <c r="U39" s="1158"/>
      <c r="V39" s="1159"/>
      <c r="W39" s="513">
        <f t="shared" si="2"/>
        <v>0</v>
      </c>
      <c r="X39" s="597">
        <f t="shared" si="3"/>
        <v>0</v>
      </c>
      <c r="Y39" s="597">
        <f t="shared" si="4"/>
        <v>0</v>
      </c>
      <c r="AA39" s="1144">
        <f>AA38-AA37</f>
        <v>34.859483640000008</v>
      </c>
    </row>
    <row r="40" spans="1:32" s="1144" customFormat="1" ht="15" thickBot="1" x14ac:dyDescent="0.35">
      <c r="A40" s="761"/>
      <c r="B40" s="880">
        <v>46282</v>
      </c>
      <c r="C40" s="881"/>
      <c r="D40" s="526"/>
      <c r="E40" s="526"/>
      <c r="F40" s="603" t="s">
        <v>13</v>
      </c>
      <c r="G40" s="660"/>
      <c r="H40" s="660"/>
      <c r="I40" s="590">
        <f t="shared" si="13"/>
        <v>0</v>
      </c>
      <c r="J40" s="660"/>
      <c r="K40" s="660"/>
      <c r="L40" s="526"/>
      <c r="M40" s="773">
        <f t="shared" si="6"/>
        <v>0</v>
      </c>
      <c r="N40" s="526"/>
      <c r="O40" s="590" t="str">
        <f t="shared" si="18"/>
        <v/>
      </c>
      <c r="P40" s="510"/>
      <c r="Q40" s="510"/>
      <c r="R40" s="510"/>
      <c r="S40" s="526"/>
      <c r="T40" s="1160"/>
      <c r="U40" s="1160"/>
      <c r="V40" s="1161"/>
      <c r="W40" s="513">
        <f t="shared" si="2"/>
        <v>0</v>
      </c>
      <c r="X40" s="597">
        <f t="shared" si="3"/>
        <v>0</v>
      </c>
      <c r="Y40" s="597">
        <f t="shared" si="4"/>
        <v>0</v>
      </c>
      <c r="AA40" s="1162" t="s">
        <v>516</v>
      </c>
      <c r="AF40" s="1144">
        <f>53-6-17</f>
        <v>30</v>
      </c>
    </row>
    <row r="41" spans="1:32" s="1144" customFormat="1" ht="15" thickBot="1" x14ac:dyDescent="0.35">
      <c r="A41" s="761"/>
      <c r="B41" s="884"/>
      <c r="C41" s="885"/>
      <c r="D41" s="544"/>
      <c r="E41" s="1157"/>
      <c r="F41" s="772" t="s">
        <v>14</v>
      </c>
      <c r="G41" s="525"/>
      <c r="H41" s="510"/>
      <c r="I41" s="590">
        <f t="shared" si="13"/>
        <v>0</v>
      </c>
      <c r="J41" s="510"/>
      <c r="K41" s="526"/>
      <c r="L41" s="525"/>
      <c r="M41" s="773">
        <f t="shared" si="6"/>
        <v>0</v>
      </c>
      <c r="N41" s="510"/>
      <c r="O41" s="590">
        <f t="shared" si="18"/>
        <v>0</v>
      </c>
      <c r="P41" s="510">
        <f>'Milling Down Time Hours'!M23</f>
        <v>24</v>
      </c>
      <c r="Q41" s="510"/>
      <c r="R41" s="510">
        <f>'Milling Down Time Hours'!L23</f>
        <v>0</v>
      </c>
      <c r="S41" s="526"/>
      <c r="T41" s="512"/>
      <c r="U41" s="512"/>
      <c r="V41" s="1143"/>
      <c r="W41" s="513">
        <f t="shared" si="2"/>
        <v>0</v>
      </c>
      <c r="X41" s="597">
        <f t="shared" si="3"/>
        <v>0</v>
      </c>
      <c r="Y41" s="597">
        <f t="shared" si="4"/>
        <v>0</v>
      </c>
      <c r="AA41" s="1162"/>
      <c r="AD41" s="1162"/>
      <c r="AE41" s="1162"/>
    </row>
    <row r="42" spans="1:32" ht="15" thickBot="1" x14ac:dyDescent="0.35">
      <c r="B42" s="880">
        <v>46283</v>
      </c>
      <c r="C42" s="881"/>
      <c r="D42" s="14"/>
      <c r="E42" s="14"/>
      <c r="F42" s="613" t="s">
        <v>13</v>
      </c>
      <c r="G42" s="42"/>
      <c r="H42" s="14"/>
      <c r="I42" s="659">
        <f t="shared" si="13"/>
        <v>0</v>
      </c>
      <c r="J42" s="14"/>
      <c r="K42" s="14"/>
      <c r="L42" s="42"/>
      <c r="M42" s="28">
        <f t="shared" ref="M42:M72" si="20">H42*K42*G42</f>
        <v>0</v>
      </c>
      <c r="N42" s="41"/>
      <c r="O42" s="659" t="str">
        <f t="shared" si="18"/>
        <v/>
      </c>
      <c r="P42" s="41"/>
      <c r="Q42" s="41"/>
      <c r="R42" s="41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1:32" ht="15" thickBot="1" x14ac:dyDescent="0.35">
      <c r="B43" s="884"/>
      <c r="C43" s="885"/>
      <c r="D43" s="38"/>
      <c r="E43" s="38"/>
      <c r="F43" s="612" t="s">
        <v>14</v>
      </c>
      <c r="G43" s="42"/>
      <c r="H43" s="14"/>
      <c r="I43" s="659" t="str">
        <f>IFERROR(H43/((720-R43)/60),"")</f>
        <v/>
      </c>
      <c r="J43" s="14"/>
      <c r="K43" s="14"/>
      <c r="L43" s="42"/>
      <c r="M43" s="28">
        <f t="shared" si="20"/>
        <v>0</v>
      </c>
      <c r="N43" s="41"/>
      <c r="O43" s="659">
        <f t="shared" si="18"/>
        <v>0</v>
      </c>
      <c r="P43" s="41">
        <f>'Milling Down Time Hours'!M24</f>
        <v>12</v>
      </c>
      <c r="Q43" s="41"/>
      <c r="R43" s="41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1:32" ht="15" thickBot="1" x14ac:dyDescent="0.35">
      <c r="B44" s="880">
        <v>46284</v>
      </c>
      <c r="C44" s="881"/>
      <c r="D44" s="14"/>
      <c r="E44" s="14"/>
      <c r="F44" s="613" t="s">
        <v>13</v>
      </c>
      <c r="G44" s="42"/>
      <c r="H44" s="14"/>
      <c r="I44" s="659">
        <f t="shared" ref="I44:I98" si="21">IFERROR(H44/((720-R44)/60),"")</f>
        <v>0</v>
      </c>
      <c r="J44" s="14"/>
      <c r="K44" s="14"/>
      <c r="L44" s="42"/>
      <c r="M44" s="28">
        <f t="shared" si="20"/>
        <v>0</v>
      </c>
      <c r="N44" s="41"/>
      <c r="O44" s="14"/>
      <c r="P44" s="41"/>
      <c r="Q44" s="41"/>
      <c r="R44" s="41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1:32" ht="15" thickBot="1" x14ac:dyDescent="0.35">
      <c r="B45" s="884"/>
      <c r="C45" s="885"/>
      <c r="D45" s="38"/>
      <c r="E45" s="38"/>
      <c r="F45" s="612" t="s">
        <v>14</v>
      </c>
      <c r="G45" s="42"/>
      <c r="H45" s="14"/>
      <c r="I45" s="659" t="str">
        <f t="shared" si="21"/>
        <v/>
      </c>
      <c r="J45" s="14"/>
      <c r="K45" s="14"/>
      <c r="L45" s="42"/>
      <c r="M45" s="28">
        <f t="shared" si="20"/>
        <v>0</v>
      </c>
      <c r="N45" s="41"/>
      <c r="O45" s="13"/>
      <c r="P45" s="41">
        <f>'Milling Down Time Hours'!M25</f>
        <v>12</v>
      </c>
      <c r="Q45" s="41"/>
      <c r="R45" s="41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1:32" ht="15" thickBot="1" x14ac:dyDescent="0.35">
      <c r="B46" s="880">
        <v>46285</v>
      </c>
      <c r="C46" s="881"/>
      <c r="D46" s="14"/>
      <c r="E46" s="14"/>
      <c r="F46" s="613" t="s">
        <v>13</v>
      </c>
      <c r="G46" s="6"/>
      <c r="H46" s="6"/>
      <c r="I46" s="659">
        <f t="shared" si="21"/>
        <v>0</v>
      </c>
      <c r="J46" s="6"/>
      <c r="K46" s="14"/>
      <c r="L46" s="14"/>
      <c r="M46" s="28">
        <f t="shared" si="20"/>
        <v>0</v>
      </c>
      <c r="N46" s="41"/>
      <c r="O46" s="14"/>
      <c r="P46" s="41"/>
      <c r="Q46" s="41"/>
      <c r="R46" s="41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1:32" ht="15" thickBot="1" x14ac:dyDescent="0.35">
      <c r="B47" s="884"/>
      <c r="C47" s="885"/>
      <c r="D47" s="38"/>
      <c r="E47" s="38"/>
      <c r="F47" s="612" t="s">
        <v>14</v>
      </c>
      <c r="G47" s="254"/>
      <c r="H47" s="14"/>
      <c r="I47" s="659" t="str">
        <f t="shared" si="21"/>
        <v/>
      </c>
      <c r="J47" s="14"/>
      <c r="K47" s="14"/>
      <c r="L47" s="42"/>
      <c r="M47" s="28">
        <f t="shared" si="20"/>
        <v>0</v>
      </c>
      <c r="N47" s="41"/>
      <c r="O47" s="6"/>
      <c r="P47" s="41">
        <f>'Milling Down Time Hours'!M26</f>
        <v>12</v>
      </c>
      <c r="Q47" s="41"/>
      <c r="R47" s="41">
        <f>'Milling Down Time Hours'!L26</f>
        <v>720</v>
      </c>
      <c r="S47" s="14"/>
      <c r="T47" s="868"/>
      <c r="U47" s="868"/>
      <c r="V47" s="870"/>
      <c r="W47" s="162"/>
      <c r="X47" s="157"/>
      <c r="Y47" s="157"/>
    </row>
    <row r="48" spans="1:32" ht="15" thickBot="1" x14ac:dyDescent="0.35">
      <c r="B48" s="880">
        <v>46286</v>
      </c>
      <c r="C48" s="881"/>
      <c r="D48" s="14"/>
      <c r="E48" s="14"/>
      <c r="F48" s="613" t="s">
        <v>13</v>
      </c>
      <c r="G48" s="6"/>
      <c r="H48" s="6"/>
      <c r="I48" s="659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1"/>
      <c r="Q48" s="41"/>
      <c r="R48" s="41"/>
      <c r="S48" s="14"/>
      <c r="T48" s="869"/>
      <c r="U48" s="869"/>
      <c r="V48" s="871"/>
      <c r="W48" s="162"/>
      <c r="X48" s="157"/>
      <c r="Y48" s="157"/>
    </row>
    <row r="49" spans="2:28" ht="15" thickBot="1" x14ac:dyDescent="0.35">
      <c r="B49" s="884"/>
      <c r="C49" s="885"/>
      <c r="D49" s="38"/>
      <c r="E49" s="258"/>
      <c r="F49" s="612" t="s">
        <v>14</v>
      </c>
      <c r="G49" s="6"/>
      <c r="H49" s="6"/>
      <c r="I49" s="659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1">
        <f>'Milling Down Time Hours'!M54</f>
        <v>0</v>
      </c>
      <c r="Q49" s="41"/>
      <c r="R49" s="41">
        <f>'Milling Down Time Hours'!L54</f>
        <v>0</v>
      </c>
      <c r="S49" s="14"/>
      <c r="T49" s="868"/>
      <c r="U49" s="868"/>
      <c r="V49" s="870"/>
      <c r="W49" s="162"/>
      <c r="X49" s="157"/>
      <c r="Y49" s="157"/>
    </row>
    <row r="50" spans="2:28" ht="15" thickBot="1" x14ac:dyDescent="0.35">
      <c r="B50" s="880">
        <v>46287</v>
      </c>
      <c r="C50" s="881"/>
      <c r="D50" s="14"/>
      <c r="E50" s="14"/>
      <c r="F50" s="613" t="s">
        <v>13</v>
      </c>
      <c r="G50" s="6"/>
      <c r="H50" s="6"/>
      <c r="I50" s="659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1"/>
      <c r="Q50" s="41"/>
      <c r="R50" s="41"/>
      <c r="S50" s="14"/>
      <c r="T50" s="869"/>
      <c r="U50" s="869"/>
      <c r="V50" s="871"/>
      <c r="W50" s="162"/>
      <c r="X50" s="157"/>
      <c r="Y50" s="157"/>
    </row>
    <row r="51" spans="2:28" ht="15" thickBot="1" x14ac:dyDescent="0.35">
      <c r="B51" s="884"/>
      <c r="C51" s="885"/>
      <c r="D51" s="38"/>
      <c r="E51" s="258"/>
      <c r="F51" s="612" t="s">
        <v>14</v>
      </c>
      <c r="G51" s="6"/>
      <c r="H51" s="6"/>
      <c r="I51" s="659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1">
        <f>'Milling Down Time Hours'!M56</f>
        <v>0</v>
      </c>
      <c r="Q51" s="41"/>
      <c r="R51" s="41">
        <f>'Milling Down Time Hours'!L56</f>
        <v>0</v>
      </c>
      <c r="S51" s="14"/>
      <c r="T51" s="868"/>
      <c r="U51" s="868"/>
      <c r="V51" s="870"/>
      <c r="W51" s="162"/>
      <c r="X51" s="157"/>
      <c r="Y51" s="157"/>
    </row>
    <row r="52" spans="2:28" ht="15" thickBot="1" x14ac:dyDescent="0.35">
      <c r="B52" s="880">
        <v>46288</v>
      </c>
      <c r="C52" s="881"/>
      <c r="D52" s="14"/>
      <c r="E52" s="14"/>
      <c r="F52" s="613" t="s">
        <v>13</v>
      </c>
      <c r="G52" s="6"/>
      <c r="H52" s="6"/>
      <c r="I52" s="659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1"/>
      <c r="Q52" s="41"/>
      <c r="R52" s="41"/>
      <c r="S52" s="14"/>
      <c r="T52" s="869"/>
      <c r="U52" s="869"/>
      <c r="V52" s="871"/>
      <c r="W52" s="162"/>
      <c r="X52" s="157"/>
      <c r="Y52" s="157"/>
    </row>
    <row r="53" spans="2:28" ht="15" thickBot="1" x14ac:dyDescent="0.35">
      <c r="B53" s="884"/>
      <c r="C53" s="885"/>
      <c r="D53" s="38"/>
      <c r="E53" s="38"/>
      <c r="F53" s="612" t="s">
        <v>14</v>
      </c>
      <c r="G53" s="6"/>
      <c r="H53" s="6"/>
      <c r="I53" s="659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1"/>
      <c r="Q53" s="41"/>
      <c r="R53" s="41"/>
      <c r="S53" s="14"/>
      <c r="T53" s="868"/>
      <c r="U53" s="868"/>
      <c r="V53" s="870"/>
      <c r="W53" s="162"/>
      <c r="X53" s="157"/>
      <c r="Y53" s="157"/>
    </row>
    <row r="54" spans="2:28" ht="15" thickBot="1" x14ac:dyDescent="0.35">
      <c r="B54" s="880">
        <v>46289</v>
      </c>
      <c r="C54" s="881"/>
      <c r="D54" s="14"/>
      <c r="E54" s="14"/>
      <c r="F54" s="613" t="s">
        <v>13</v>
      </c>
      <c r="G54" s="6"/>
      <c r="H54" s="6"/>
      <c r="I54" s="659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1"/>
      <c r="Q54" s="41"/>
      <c r="R54" s="41"/>
      <c r="S54" s="14"/>
      <c r="T54" s="869"/>
      <c r="U54" s="869"/>
      <c r="V54" s="871"/>
      <c r="W54" s="162"/>
      <c r="X54" s="157"/>
      <c r="Y54" s="157"/>
      <c r="AB54" s="1">
        <v>9570</v>
      </c>
    </row>
    <row r="55" spans="2:28" ht="15" thickBot="1" x14ac:dyDescent="0.35">
      <c r="B55" s="884"/>
      <c r="C55" s="885"/>
      <c r="D55" s="38"/>
      <c r="E55" s="38"/>
      <c r="F55" s="612" t="s">
        <v>14</v>
      </c>
      <c r="G55" s="42"/>
      <c r="H55" s="6"/>
      <c r="I55" s="659">
        <f t="shared" si="21"/>
        <v>0</v>
      </c>
      <c r="J55" s="6"/>
      <c r="K55" s="14"/>
      <c r="L55" s="42"/>
      <c r="M55" s="28">
        <f t="shared" si="20"/>
        <v>0</v>
      </c>
      <c r="N55" s="42"/>
      <c r="O55" s="6"/>
      <c r="P55" s="41">
        <f>'Milling Down Time Hours'!M60</f>
        <v>16.166666666666664</v>
      </c>
      <c r="Q55" s="41"/>
      <c r="R55" s="41">
        <f>'Milling Down Time Hours'!L60</f>
        <v>0</v>
      </c>
      <c r="S55" s="14"/>
      <c r="T55" s="868"/>
      <c r="U55" s="868"/>
      <c r="V55" s="870"/>
      <c r="W55" s="162"/>
      <c r="X55" s="157"/>
      <c r="Y55" s="157"/>
      <c r="AB55" s="1">
        <v>8795</v>
      </c>
    </row>
    <row r="56" spans="2:28" ht="15" thickBot="1" x14ac:dyDescent="0.35">
      <c r="B56" s="880">
        <v>46290</v>
      </c>
      <c r="C56" s="881"/>
      <c r="D56" s="14"/>
      <c r="E56" s="14"/>
      <c r="F56" s="613" t="s">
        <v>13</v>
      </c>
      <c r="G56" s="42"/>
      <c r="H56" s="6"/>
      <c r="I56" s="659">
        <f t="shared" si="21"/>
        <v>0</v>
      </c>
      <c r="J56" s="6"/>
      <c r="K56" s="14"/>
      <c r="L56" s="42"/>
      <c r="M56" s="28">
        <f t="shared" si="20"/>
        <v>0</v>
      </c>
      <c r="N56" s="42"/>
      <c r="O56" s="6"/>
      <c r="P56" s="41"/>
      <c r="Q56" s="41"/>
      <c r="R56" s="41"/>
      <c r="S56" s="14"/>
      <c r="T56" s="869"/>
      <c r="U56" s="869"/>
      <c r="V56" s="871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84"/>
      <c r="C57" s="885"/>
      <c r="D57" s="38"/>
      <c r="E57" s="38"/>
      <c r="F57" s="612" t="s">
        <v>14</v>
      </c>
      <c r="G57" s="42"/>
      <c r="H57" s="6"/>
      <c r="I57" s="659">
        <f t="shared" si="21"/>
        <v>0</v>
      </c>
      <c r="J57" s="6"/>
      <c r="K57" s="6"/>
      <c r="L57" s="42"/>
      <c r="M57" s="28">
        <f t="shared" si="20"/>
        <v>0</v>
      </c>
      <c r="N57" s="42"/>
      <c r="O57" s="6"/>
      <c r="P57" s="41">
        <f>'Milling Down Time Hours'!M62</f>
        <v>0</v>
      </c>
      <c r="Q57" s="41"/>
      <c r="R57" s="41">
        <f>'Milling Down Time Hours'!L62</f>
        <v>0</v>
      </c>
      <c r="S57" s="14"/>
      <c r="T57" s="868"/>
      <c r="U57" s="868"/>
      <c r="V57" s="870"/>
      <c r="W57" s="162"/>
      <c r="X57" s="157"/>
      <c r="Y57" s="157"/>
    </row>
    <row r="58" spans="2:28" ht="15" thickBot="1" x14ac:dyDescent="0.35">
      <c r="B58" s="880">
        <v>46291</v>
      </c>
      <c r="C58" s="881"/>
      <c r="D58" s="14"/>
      <c r="E58" s="14"/>
      <c r="F58" s="613" t="s">
        <v>13</v>
      </c>
      <c r="G58" s="6"/>
      <c r="H58" s="6"/>
      <c r="I58" s="659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1"/>
      <c r="Q58" s="41"/>
      <c r="R58" s="41"/>
      <c r="S58" s="14"/>
      <c r="T58" s="869"/>
      <c r="U58" s="869"/>
      <c r="V58" s="871"/>
      <c r="W58" s="162"/>
      <c r="X58" s="157"/>
      <c r="Y58" s="157"/>
    </row>
    <row r="59" spans="2:28" ht="15" thickBot="1" x14ac:dyDescent="0.35">
      <c r="B59" s="884"/>
      <c r="C59" s="885"/>
      <c r="D59" s="38"/>
      <c r="E59" s="38"/>
      <c r="F59" s="612" t="s">
        <v>14</v>
      </c>
      <c r="G59" s="6"/>
      <c r="H59" s="6"/>
      <c r="I59" s="659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1">
        <f>'Milling Down Time Hours'!M64</f>
        <v>0</v>
      </c>
      <c r="Q59" s="41"/>
      <c r="R59" s="41">
        <f>'Milling Down Time Hours'!L64</f>
        <v>0</v>
      </c>
      <c r="S59" s="14"/>
      <c r="T59" s="868"/>
      <c r="U59" s="868"/>
      <c r="V59" s="870"/>
      <c r="W59" s="162"/>
      <c r="X59" s="157"/>
      <c r="Y59" s="157"/>
    </row>
    <row r="60" spans="2:28" ht="15" thickBot="1" x14ac:dyDescent="0.35">
      <c r="B60" s="880">
        <v>46292</v>
      </c>
      <c r="C60" s="881"/>
      <c r="D60" s="14"/>
      <c r="E60" s="14"/>
      <c r="F60" s="613" t="s">
        <v>13</v>
      </c>
      <c r="G60" s="6"/>
      <c r="H60" s="6"/>
      <c r="I60" s="659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1"/>
      <c r="Q60" s="41"/>
      <c r="R60" s="41"/>
      <c r="S60" s="14"/>
      <c r="T60" s="869"/>
      <c r="U60" s="869"/>
      <c r="V60" s="871"/>
      <c r="W60" s="162"/>
      <c r="X60" s="157"/>
      <c r="Y60" s="157"/>
    </row>
    <row r="61" spans="2:28" ht="15" thickBot="1" x14ac:dyDescent="0.35">
      <c r="B61" s="884"/>
      <c r="C61" s="885"/>
      <c r="D61" s="38"/>
      <c r="E61" s="38"/>
      <c r="F61" s="612" t="s">
        <v>14</v>
      </c>
      <c r="G61" s="6"/>
      <c r="H61" s="6"/>
      <c r="I61" s="659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1">
        <f>'Milling Down Time Hours'!M66</f>
        <v>0</v>
      </c>
      <c r="Q61" s="41"/>
      <c r="R61" s="41">
        <f>'Milling Down Time Hours'!L66</f>
        <v>0</v>
      </c>
      <c r="S61" s="14"/>
      <c r="T61" s="868"/>
      <c r="U61" s="868"/>
      <c r="V61" s="870"/>
      <c r="W61" s="162"/>
      <c r="X61" s="157"/>
      <c r="Y61" s="157"/>
    </row>
    <row r="62" spans="2:28" ht="15" thickBot="1" x14ac:dyDescent="0.35">
      <c r="B62" s="880">
        <v>46293</v>
      </c>
      <c r="C62" s="881"/>
      <c r="D62" s="14"/>
      <c r="E62" s="14"/>
      <c r="F62" s="613" t="s">
        <v>13</v>
      </c>
      <c r="G62" s="6"/>
      <c r="H62" s="6"/>
      <c r="I62" s="659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1"/>
      <c r="Q62" s="41"/>
      <c r="R62" s="41"/>
      <c r="S62" s="14"/>
      <c r="T62" s="869"/>
      <c r="U62" s="869"/>
      <c r="V62" s="871"/>
      <c r="W62" s="162"/>
      <c r="X62" s="157"/>
      <c r="Y62" s="157"/>
    </row>
    <row r="63" spans="2:28" ht="15" thickBot="1" x14ac:dyDescent="0.35">
      <c r="B63" s="884"/>
      <c r="C63" s="885"/>
      <c r="D63" s="38"/>
      <c r="E63" s="38"/>
      <c r="F63" s="612" t="s">
        <v>14</v>
      </c>
      <c r="G63" s="6"/>
      <c r="H63" s="6"/>
      <c r="I63" s="659">
        <f t="shared" si="21"/>
        <v>0</v>
      </c>
      <c r="J63" s="6"/>
      <c r="K63" s="6"/>
      <c r="L63" s="42"/>
      <c r="M63" s="28">
        <f t="shared" si="20"/>
        <v>0</v>
      </c>
      <c r="N63" s="42"/>
      <c r="O63" s="6"/>
      <c r="P63" s="41">
        <f>'Milling Down Time Hours'!M34</f>
        <v>24</v>
      </c>
      <c r="Q63" s="41"/>
      <c r="R63" s="41">
        <f>'Milling Down Time Hours'!L68</f>
        <v>0</v>
      </c>
      <c r="S63" s="14"/>
      <c r="T63" s="876"/>
      <c r="U63" s="876"/>
      <c r="V63" s="878"/>
      <c r="W63" s="162">
        <f t="shared" ref="W63:W98" si="22">T63*M63</f>
        <v>0</v>
      </c>
      <c r="X63" s="157">
        <f t="shared" ref="X63:X98" si="23">M63*U63</f>
        <v>0</v>
      </c>
      <c r="Y63" s="157">
        <f t="shared" ref="Y63:Y98" si="24">M63*V63</f>
        <v>0</v>
      </c>
    </row>
    <row r="64" spans="2:28" ht="15" thickBot="1" x14ac:dyDescent="0.35">
      <c r="B64" s="880">
        <v>46294</v>
      </c>
      <c r="C64" s="881"/>
      <c r="D64" s="14"/>
      <c r="E64" s="14"/>
      <c r="F64" s="613" t="s">
        <v>13</v>
      </c>
      <c r="G64" s="6"/>
      <c r="H64" s="6"/>
      <c r="I64" s="659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1"/>
      <c r="Q64" s="41"/>
      <c r="R64" s="41"/>
      <c r="S64" s="14"/>
      <c r="T64" s="877"/>
      <c r="U64" s="877"/>
      <c r="V64" s="879"/>
      <c r="W64" s="162">
        <f t="shared" si="22"/>
        <v>0</v>
      </c>
      <c r="X64" s="157">
        <f t="shared" si="23"/>
        <v>0</v>
      </c>
      <c r="Y64" s="157">
        <f t="shared" si="24"/>
        <v>0</v>
      </c>
    </row>
    <row r="65" spans="2:30" ht="15" thickBot="1" x14ac:dyDescent="0.35">
      <c r="B65" s="884"/>
      <c r="C65" s="885"/>
      <c r="D65" s="38"/>
      <c r="E65" s="38"/>
      <c r="F65" s="612" t="s">
        <v>14</v>
      </c>
      <c r="G65" s="6"/>
      <c r="H65" s="6"/>
      <c r="I65" s="659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1">
        <f>'Milling Down Time Hours'!M35</f>
        <v>24</v>
      </c>
      <c r="Q65" s="41"/>
      <c r="R65" s="41">
        <f>'Milling Down Time Hours'!L70</f>
        <v>0</v>
      </c>
      <c r="S65" s="14"/>
      <c r="T65" s="876"/>
      <c r="U65" s="876"/>
      <c r="V65" s="886"/>
      <c r="W65" s="162">
        <f t="shared" si="22"/>
        <v>0</v>
      </c>
      <c r="X65" s="157">
        <f t="shared" si="23"/>
        <v>0</v>
      </c>
      <c r="Y65" s="157">
        <f t="shared" si="24"/>
        <v>0</v>
      </c>
    </row>
    <row r="66" spans="2:30" ht="15" thickBot="1" x14ac:dyDescent="0.35">
      <c r="B66" s="880">
        <v>46295</v>
      </c>
      <c r="C66" s="881"/>
      <c r="D66" s="14"/>
      <c r="E66" s="14"/>
      <c r="F66" s="613" t="s">
        <v>13</v>
      </c>
      <c r="G66" s="6"/>
      <c r="H66" s="6"/>
      <c r="I66" s="659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1"/>
      <c r="Q66" s="41"/>
      <c r="R66" s="41"/>
      <c r="S66" s="14"/>
      <c r="T66" s="877"/>
      <c r="U66" s="877"/>
      <c r="V66" s="887"/>
      <c r="W66" s="162">
        <f t="shared" si="22"/>
        <v>0</v>
      </c>
      <c r="X66" s="157">
        <f t="shared" si="23"/>
        <v>0</v>
      </c>
      <c r="Y66" s="157">
        <f t="shared" si="24"/>
        <v>0</v>
      </c>
    </row>
    <row r="67" spans="2:30" ht="15" thickBot="1" x14ac:dyDescent="0.35">
      <c r="B67" s="884"/>
      <c r="C67" s="885"/>
      <c r="D67" s="38"/>
      <c r="E67" s="38"/>
      <c r="F67" s="612" t="s">
        <v>14</v>
      </c>
      <c r="G67" s="6"/>
      <c r="H67" s="6"/>
      <c r="I67" s="659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47"/>
      <c r="Q67" s="447"/>
      <c r="R67" s="41">
        <f>'Milling Down Time Hours'!L72</f>
        <v>0</v>
      </c>
      <c r="S67" s="14"/>
      <c r="T67" s="876"/>
      <c r="U67" s="876"/>
      <c r="V67" s="886"/>
      <c r="W67" s="162">
        <f t="shared" si="22"/>
        <v>0</v>
      </c>
      <c r="X67" s="157">
        <f t="shared" si="23"/>
        <v>0</v>
      </c>
      <c r="Y67" s="157">
        <f t="shared" si="24"/>
        <v>0</v>
      </c>
    </row>
    <row r="68" spans="2:30" ht="15" thickBot="1" x14ac:dyDescent="0.35">
      <c r="B68" s="880">
        <v>46296</v>
      </c>
      <c r="C68" s="881"/>
      <c r="D68" s="14"/>
      <c r="E68" s="14"/>
      <c r="F68" s="613" t="s">
        <v>13</v>
      </c>
      <c r="G68" s="6"/>
      <c r="H68" s="6"/>
      <c r="I68" s="659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47"/>
      <c r="Q68" s="447"/>
      <c r="R68" s="41"/>
      <c r="S68" s="14"/>
      <c r="T68" s="877"/>
      <c r="U68" s="877"/>
      <c r="V68" s="887"/>
      <c r="W68" s="162">
        <f t="shared" si="22"/>
        <v>0</v>
      </c>
      <c r="X68" s="157">
        <f t="shared" si="23"/>
        <v>0</v>
      </c>
      <c r="Y68" s="157">
        <f t="shared" si="24"/>
        <v>0</v>
      </c>
    </row>
    <row r="69" spans="2:30" ht="15" thickBot="1" x14ac:dyDescent="0.35">
      <c r="B69" s="884"/>
      <c r="C69" s="885"/>
      <c r="D69" s="38"/>
      <c r="E69" s="38"/>
      <c r="F69" s="612" t="s">
        <v>14</v>
      </c>
      <c r="G69" s="6"/>
      <c r="H69" s="6"/>
      <c r="I69" s="659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1">
        <f>'Milling Down Time Hours'!M37</f>
        <v>24</v>
      </c>
      <c r="Q69" s="41"/>
      <c r="R69" s="41">
        <f>'Milling Down Time Hours'!L74</f>
        <v>0</v>
      </c>
      <c r="S69" s="14"/>
      <c r="T69" s="876"/>
      <c r="U69" s="876"/>
      <c r="V69" s="878"/>
      <c r="W69" s="162">
        <f t="shared" si="22"/>
        <v>0</v>
      </c>
      <c r="X69" s="157">
        <f t="shared" si="23"/>
        <v>0</v>
      </c>
      <c r="Y69" s="157">
        <f t="shared" si="24"/>
        <v>0</v>
      </c>
    </row>
    <row r="70" spans="2:30" ht="15" thickBot="1" x14ac:dyDescent="0.35">
      <c r="B70" s="880">
        <v>46297</v>
      </c>
      <c r="C70" s="881"/>
      <c r="D70" s="14"/>
      <c r="E70" s="14"/>
      <c r="F70" s="613" t="s">
        <v>13</v>
      </c>
      <c r="G70" s="6"/>
      <c r="H70" s="6"/>
      <c r="I70" s="659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1"/>
      <c r="Q70" s="41"/>
      <c r="R70" s="41"/>
      <c r="S70" s="14"/>
      <c r="T70" s="877"/>
      <c r="U70" s="877"/>
      <c r="V70" s="879"/>
      <c r="W70" s="162">
        <f t="shared" si="22"/>
        <v>0</v>
      </c>
      <c r="X70" s="157">
        <f t="shared" si="23"/>
        <v>0</v>
      </c>
      <c r="Y70" s="157">
        <f t="shared" si="24"/>
        <v>0</v>
      </c>
    </row>
    <row r="71" spans="2:30" ht="15" thickBot="1" x14ac:dyDescent="0.35">
      <c r="B71" s="884"/>
      <c r="C71" s="885"/>
      <c r="D71" s="38"/>
      <c r="E71" s="38"/>
      <c r="F71" s="612" t="s">
        <v>14</v>
      </c>
      <c r="G71" s="42"/>
      <c r="H71" s="6"/>
      <c r="I71" s="659">
        <f t="shared" si="21"/>
        <v>0</v>
      </c>
      <c r="J71" s="6"/>
      <c r="K71" s="14"/>
      <c r="L71" s="42"/>
      <c r="M71" s="28">
        <f t="shared" si="20"/>
        <v>0</v>
      </c>
      <c r="N71" s="42"/>
      <c r="O71" s="6"/>
      <c r="P71" s="41">
        <f>'Milling Down Time Hours'!M38</f>
        <v>24</v>
      </c>
      <c r="Q71" s="41"/>
      <c r="R71" s="41">
        <f>'Milling Down Time Hours'!L76</f>
        <v>0</v>
      </c>
      <c r="S71" s="14"/>
      <c r="T71" s="876"/>
      <c r="U71" s="876"/>
      <c r="V71" s="878"/>
      <c r="W71" s="162">
        <f t="shared" si="22"/>
        <v>0</v>
      </c>
      <c r="X71" s="157">
        <f t="shared" si="23"/>
        <v>0</v>
      </c>
      <c r="Y71" s="157">
        <f t="shared" si="24"/>
        <v>0</v>
      </c>
    </row>
    <row r="72" spans="2:30" ht="15" thickBot="1" x14ac:dyDescent="0.35">
      <c r="B72" s="880">
        <v>46298</v>
      </c>
      <c r="C72" s="881"/>
      <c r="D72" s="14"/>
      <c r="E72" s="14"/>
      <c r="F72" s="613" t="s">
        <v>13</v>
      </c>
      <c r="G72" s="14"/>
      <c r="H72" s="6"/>
      <c r="I72" s="659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1"/>
      <c r="Q72" s="41"/>
      <c r="R72" s="41"/>
      <c r="S72" s="14"/>
      <c r="T72" s="877"/>
      <c r="U72" s="877"/>
      <c r="V72" s="879"/>
      <c r="W72" s="162">
        <f t="shared" si="22"/>
        <v>0</v>
      </c>
      <c r="X72" s="157">
        <f t="shared" si="23"/>
        <v>0</v>
      </c>
      <c r="Y72" s="157">
        <f t="shared" si="24"/>
        <v>0</v>
      </c>
    </row>
    <row r="73" spans="2:30" ht="15" thickBot="1" x14ac:dyDescent="0.35">
      <c r="B73" s="884"/>
      <c r="C73" s="885"/>
      <c r="D73" s="38"/>
      <c r="E73" s="38"/>
      <c r="F73" s="612" t="s">
        <v>14</v>
      </c>
      <c r="G73" s="42"/>
      <c r="H73" s="6"/>
      <c r="I73" s="659">
        <f t="shared" si="21"/>
        <v>0</v>
      </c>
      <c r="J73" s="6"/>
      <c r="K73" s="14"/>
      <c r="L73" s="42"/>
      <c r="M73" s="28">
        <f t="shared" ref="M73:M98" si="25">H73*K73*G73</f>
        <v>0</v>
      </c>
      <c r="N73" s="42"/>
      <c r="O73" s="6"/>
      <c r="P73" s="41">
        <f>'Milling Down Time Hours'!M39</f>
        <v>24</v>
      </c>
      <c r="Q73" s="41"/>
      <c r="R73" s="41">
        <f>'Milling Down Time Hours'!L78</f>
        <v>0</v>
      </c>
      <c r="S73" s="14"/>
      <c r="T73" s="876"/>
      <c r="U73" s="876"/>
      <c r="V73" s="878"/>
      <c r="W73" s="162">
        <f t="shared" si="22"/>
        <v>0</v>
      </c>
      <c r="X73" s="157">
        <f t="shared" si="23"/>
        <v>0</v>
      </c>
      <c r="Y73" s="157">
        <f t="shared" si="24"/>
        <v>0</v>
      </c>
    </row>
    <row r="74" spans="2:30" ht="15" thickBot="1" x14ac:dyDescent="0.35">
      <c r="B74" s="880">
        <v>46299</v>
      </c>
      <c r="C74" s="881"/>
      <c r="D74" s="14"/>
      <c r="E74" s="14"/>
      <c r="F74" s="613" t="s">
        <v>13</v>
      </c>
      <c r="G74" s="14"/>
      <c r="H74" s="6"/>
      <c r="I74" s="659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1"/>
      <c r="Q74" s="41"/>
      <c r="R74" s="41"/>
      <c r="S74" s="14"/>
      <c r="T74" s="877"/>
      <c r="U74" s="877"/>
      <c r="V74" s="879"/>
      <c r="W74" s="162">
        <f t="shared" si="22"/>
        <v>0</v>
      </c>
      <c r="X74" s="157">
        <f t="shared" si="23"/>
        <v>0</v>
      </c>
      <c r="Y74" s="157">
        <f t="shared" si="24"/>
        <v>0</v>
      </c>
      <c r="AD74" s="1">
        <v>0.41899999999999998</v>
      </c>
    </row>
    <row r="75" spans="2:30" ht="15" thickBot="1" x14ac:dyDescent="0.35">
      <c r="B75" s="884"/>
      <c r="C75" s="885"/>
      <c r="D75" s="38"/>
      <c r="E75" s="38"/>
      <c r="F75" s="612" t="s">
        <v>14</v>
      </c>
      <c r="G75" s="14"/>
      <c r="H75" s="6"/>
      <c r="I75" s="659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1">
        <f>'Milling Down Time Hours'!M40</f>
        <v>24</v>
      </c>
      <c r="Q75" s="41"/>
      <c r="R75" s="41">
        <f>'Milling Down Time Hours'!L80</f>
        <v>0</v>
      </c>
      <c r="S75" s="14"/>
      <c r="T75" s="868"/>
      <c r="U75" s="868"/>
      <c r="V75" s="870"/>
      <c r="W75" s="162">
        <f t="shared" si="22"/>
        <v>0</v>
      </c>
      <c r="X75" s="157">
        <f t="shared" si="23"/>
        <v>0</v>
      </c>
      <c r="Y75" s="157">
        <f t="shared" si="24"/>
        <v>0</v>
      </c>
      <c r="AD75" s="1">
        <v>0.41299999999999998</v>
      </c>
    </row>
    <row r="76" spans="2:30" ht="15" thickBot="1" x14ac:dyDescent="0.35">
      <c r="B76" s="880">
        <v>46300</v>
      </c>
      <c r="C76" s="881"/>
      <c r="D76" s="14"/>
      <c r="E76" s="14"/>
      <c r="F76" s="613" t="s">
        <v>13</v>
      </c>
      <c r="G76" s="14"/>
      <c r="H76" s="6"/>
      <c r="I76" s="659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1"/>
      <c r="Q76" s="41"/>
      <c r="R76" s="41"/>
      <c r="S76" s="14"/>
      <c r="T76" s="869"/>
      <c r="U76" s="869"/>
      <c r="V76" s="871"/>
      <c r="W76" s="162">
        <f t="shared" si="22"/>
        <v>0</v>
      </c>
      <c r="X76" s="157">
        <f t="shared" si="23"/>
        <v>0</v>
      </c>
      <c r="Y76" s="157">
        <f t="shared" si="24"/>
        <v>0</v>
      </c>
      <c r="AD76" s="1">
        <v>0.40400000000000003</v>
      </c>
    </row>
    <row r="77" spans="2:30" ht="15" thickBot="1" x14ac:dyDescent="0.35">
      <c r="B77" s="884"/>
      <c r="C77" s="885"/>
      <c r="D77" s="38"/>
      <c r="E77" s="38"/>
      <c r="F77" s="612" t="s">
        <v>14</v>
      </c>
      <c r="G77" s="42"/>
      <c r="H77" s="6"/>
      <c r="I77" s="659">
        <f t="shared" si="21"/>
        <v>0</v>
      </c>
      <c r="J77" s="6"/>
      <c r="K77" s="14"/>
      <c r="L77" s="42"/>
      <c r="M77" s="28">
        <f t="shared" si="25"/>
        <v>0</v>
      </c>
      <c r="N77" s="42"/>
      <c r="O77" s="6"/>
      <c r="P77" s="41">
        <f>'Milling Down Time Hours'!M41</f>
        <v>24</v>
      </c>
      <c r="Q77" s="41"/>
      <c r="R77" s="41">
        <f>'Milling Down Time Hours'!L82</f>
        <v>0</v>
      </c>
      <c r="S77" s="14"/>
      <c r="T77" s="876"/>
      <c r="U77" s="876"/>
      <c r="V77" s="878"/>
      <c r="W77" s="162">
        <f t="shared" si="22"/>
        <v>0</v>
      </c>
      <c r="X77" s="157">
        <f t="shared" si="23"/>
        <v>0</v>
      </c>
      <c r="Y77" s="157">
        <f t="shared" si="24"/>
        <v>0</v>
      </c>
      <c r="AD77" s="1">
        <v>0.47</v>
      </c>
    </row>
    <row r="78" spans="2:30" ht="15" thickBot="1" x14ac:dyDescent="0.35">
      <c r="B78" s="880">
        <v>46301</v>
      </c>
      <c r="C78" s="881"/>
      <c r="D78" s="14"/>
      <c r="E78" s="14"/>
      <c r="F78" s="613" t="s">
        <v>13</v>
      </c>
      <c r="G78" s="14"/>
      <c r="H78" s="6"/>
      <c r="I78" s="659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1"/>
      <c r="Q78" s="41"/>
      <c r="R78" s="41"/>
      <c r="S78" s="14"/>
      <c r="T78" s="877"/>
      <c r="U78" s="877"/>
      <c r="V78" s="879"/>
      <c r="W78" s="162">
        <f t="shared" si="22"/>
        <v>0</v>
      </c>
      <c r="X78" s="157">
        <f t="shared" si="23"/>
        <v>0</v>
      </c>
      <c r="Y78" s="157">
        <f t="shared" si="24"/>
        <v>0</v>
      </c>
      <c r="AD78" s="1">
        <v>0.46500000000000002</v>
      </c>
    </row>
    <row r="79" spans="2:30" ht="14.55" hidden="1" customHeight="1" thickBot="1" x14ac:dyDescent="0.35">
      <c r="B79" s="882"/>
      <c r="C79" s="883"/>
      <c r="D79" s="38"/>
      <c r="E79" s="38"/>
      <c r="F79" s="612" t="s">
        <v>14</v>
      </c>
      <c r="G79" s="42"/>
      <c r="H79" s="6"/>
      <c r="I79" s="659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29">
        <f>'Milling Down Time Hours'!M42</f>
        <v>24</v>
      </c>
      <c r="Q79" s="41"/>
      <c r="R79" s="929">
        <f>'Milling Down Time Hours'!L84</f>
        <v>0</v>
      </c>
      <c r="S79" s="14"/>
      <c r="T79" s="876">
        <v>0.35699999999999998</v>
      </c>
      <c r="U79" s="876">
        <v>1.056</v>
      </c>
      <c r="V79" s="878">
        <v>32.25</v>
      </c>
      <c r="W79" s="162">
        <f t="shared" si="22"/>
        <v>0</v>
      </c>
      <c r="X79" s="157">
        <f t="shared" si="23"/>
        <v>0</v>
      </c>
      <c r="Y79" s="157">
        <f t="shared" si="24"/>
        <v>0</v>
      </c>
      <c r="AD79" s="1">
        <v>0.51600000000000001</v>
      </c>
    </row>
    <row r="80" spans="2:30" ht="15" hidden="1" customHeight="1" thickBot="1" x14ac:dyDescent="0.35">
      <c r="B80" s="882"/>
      <c r="C80" s="883"/>
      <c r="D80" s="14"/>
      <c r="E80" s="14"/>
      <c r="F80" s="613" t="s">
        <v>13</v>
      </c>
      <c r="G80" s="6"/>
      <c r="H80" s="6"/>
      <c r="I80" s="659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29"/>
      <c r="Q80" s="41"/>
      <c r="R80" s="929"/>
      <c r="S80" s="14"/>
      <c r="T80" s="877"/>
      <c r="U80" s="877"/>
      <c r="V80" s="879"/>
      <c r="W80" s="162">
        <f t="shared" si="22"/>
        <v>0</v>
      </c>
      <c r="X80" s="157">
        <f t="shared" si="23"/>
        <v>0</v>
      </c>
      <c r="Y80" s="157">
        <f t="shared" si="24"/>
        <v>0</v>
      </c>
      <c r="AD80" s="120">
        <f>AVERAGE(AD74:AD79)</f>
        <v>0.44783333333333331</v>
      </c>
    </row>
    <row r="81" spans="2:25" ht="14.55" hidden="1" customHeight="1" thickBot="1" x14ac:dyDescent="0.35">
      <c r="B81" s="882"/>
      <c r="C81" s="883"/>
      <c r="D81" s="38"/>
      <c r="E81" s="38"/>
      <c r="F81" s="612" t="s">
        <v>14</v>
      </c>
      <c r="G81" s="6"/>
      <c r="H81" s="6"/>
      <c r="I81" s="659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29">
        <f>'Milling Down Time Hours'!M86</f>
        <v>0</v>
      </c>
      <c r="Q81" s="41"/>
      <c r="R81" s="929">
        <f>'Milling Down Time Hours'!L86</f>
        <v>0</v>
      </c>
      <c r="S81" s="14"/>
      <c r="T81" s="868" t="e">
        <f>SUM(#REF!)</f>
        <v>#REF!</v>
      </c>
      <c r="U81" s="868" t="e">
        <f t="shared" ref="U81" si="26">SUM(T81:T83)</f>
        <v>#REF!</v>
      </c>
      <c r="V81" s="870" t="e">
        <f t="shared" ref="V81" si="27">SUM(U81:U83)</f>
        <v>#REF!</v>
      </c>
      <c r="W81" s="162" t="e">
        <f t="shared" si="22"/>
        <v>#REF!</v>
      </c>
      <c r="X81" s="157" t="e">
        <f t="shared" si="23"/>
        <v>#REF!</v>
      </c>
      <c r="Y81" s="157" t="e">
        <f t="shared" si="24"/>
        <v>#REF!</v>
      </c>
    </row>
    <row r="82" spans="2:25" ht="15" hidden="1" customHeight="1" thickBot="1" x14ac:dyDescent="0.35">
      <c r="B82" s="882"/>
      <c r="C82" s="883"/>
      <c r="D82" s="14"/>
      <c r="E82" s="14"/>
      <c r="F82" s="613" t="s">
        <v>13</v>
      </c>
      <c r="G82" s="6"/>
      <c r="H82" s="6"/>
      <c r="I82" s="659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29"/>
      <c r="Q82" s="41"/>
      <c r="R82" s="929"/>
      <c r="S82" s="14"/>
      <c r="T82" s="869"/>
      <c r="U82" s="869"/>
      <c r="V82" s="871"/>
      <c r="W82" s="162">
        <f t="shared" si="22"/>
        <v>0</v>
      </c>
      <c r="X82" s="157">
        <f t="shared" si="23"/>
        <v>0</v>
      </c>
      <c r="Y82" s="157">
        <f t="shared" si="24"/>
        <v>0</v>
      </c>
    </row>
    <row r="83" spans="2:25" ht="14.55" hidden="1" customHeight="1" thickBot="1" x14ac:dyDescent="0.35">
      <c r="B83" s="882"/>
      <c r="C83" s="883"/>
      <c r="D83" s="38"/>
      <c r="E83" s="38"/>
      <c r="F83" s="612" t="s">
        <v>14</v>
      </c>
      <c r="G83" s="6"/>
      <c r="H83" s="6"/>
      <c r="I83" s="659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29">
        <f>'Milling Down Time Hours'!M88</f>
        <v>0</v>
      </c>
      <c r="Q83" s="41"/>
      <c r="R83" s="929">
        <f>'Milling Down Time Hours'!L88</f>
        <v>0</v>
      </c>
      <c r="S83" s="14"/>
      <c r="T83" s="868" t="e">
        <f>SUM(#REF!)</f>
        <v>#REF!</v>
      </c>
      <c r="U83" s="868" t="e">
        <f t="shared" ref="U83" si="28">SUM(T83:T85)</f>
        <v>#REF!</v>
      </c>
      <c r="V83" s="870" t="e">
        <f t="shared" ref="V83" si="29">SUM(U83:U85)</f>
        <v>#REF!</v>
      </c>
      <c r="W83" s="162" t="e">
        <f t="shared" si="22"/>
        <v>#REF!</v>
      </c>
      <c r="X83" s="157" t="e">
        <f t="shared" si="23"/>
        <v>#REF!</v>
      </c>
      <c r="Y83" s="157" t="e">
        <f t="shared" si="24"/>
        <v>#REF!</v>
      </c>
    </row>
    <row r="84" spans="2:25" ht="15" hidden="1" customHeight="1" thickBot="1" x14ac:dyDescent="0.35">
      <c r="B84" s="882"/>
      <c r="C84" s="883"/>
      <c r="D84" s="14"/>
      <c r="E84" s="14"/>
      <c r="F84" s="613" t="s">
        <v>13</v>
      </c>
      <c r="G84" s="6"/>
      <c r="H84" s="6"/>
      <c r="I84" s="659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29"/>
      <c r="Q84" s="41"/>
      <c r="R84" s="929"/>
      <c r="S84" s="14"/>
      <c r="T84" s="869"/>
      <c r="U84" s="869"/>
      <c r="V84" s="871"/>
      <c r="W84" s="162">
        <f t="shared" si="22"/>
        <v>0</v>
      </c>
      <c r="X84" s="157">
        <f t="shared" si="23"/>
        <v>0</v>
      </c>
      <c r="Y84" s="157">
        <f t="shared" si="24"/>
        <v>0</v>
      </c>
    </row>
    <row r="85" spans="2:25" ht="14.55" hidden="1" customHeight="1" thickBot="1" x14ac:dyDescent="0.35">
      <c r="B85" s="882"/>
      <c r="C85" s="883"/>
      <c r="D85" s="38"/>
      <c r="E85" s="38"/>
      <c r="F85" s="612" t="s">
        <v>14</v>
      </c>
      <c r="G85" s="6"/>
      <c r="H85" s="6"/>
      <c r="I85" s="659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29">
        <f>'Milling Down Time Hours'!M90</f>
        <v>0</v>
      </c>
      <c r="Q85" s="41"/>
      <c r="R85" s="929">
        <f>'Milling Down Time Hours'!L90</f>
        <v>0</v>
      </c>
      <c r="S85" s="14"/>
      <c r="T85" s="868" t="e">
        <f>SUM(#REF!)</f>
        <v>#REF!</v>
      </c>
      <c r="U85" s="868" t="e">
        <f t="shared" ref="U85" si="30">SUM(T85:T87)</f>
        <v>#REF!</v>
      </c>
      <c r="V85" s="870" t="e">
        <f t="shared" ref="V85" si="31">SUM(U85:U87)</f>
        <v>#REF!</v>
      </c>
      <c r="W85" s="162" t="e">
        <f t="shared" si="22"/>
        <v>#REF!</v>
      </c>
      <c r="X85" s="157" t="e">
        <f t="shared" si="23"/>
        <v>#REF!</v>
      </c>
      <c r="Y85" s="157" t="e">
        <f t="shared" si="24"/>
        <v>#REF!</v>
      </c>
    </row>
    <row r="86" spans="2:25" ht="15" hidden="1" customHeight="1" thickBot="1" x14ac:dyDescent="0.35">
      <c r="B86" s="882"/>
      <c r="C86" s="883"/>
      <c r="D86" s="14"/>
      <c r="E86" s="14"/>
      <c r="F86" s="613" t="s">
        <v>13</v>
      </c>
      <c r="G86" s="6"/>
      <c r="H86" s="6"/>
      <c r="I86" s="659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29"/>
      <c r="Q86" s="41"/>
      <c r="R86" s="929"/>
      <c r="S86" s="14"/>
      <c r="T86" s="869"/>
      <c r="U86" s="869"/>
      <c r="V86" s="871"/>
      <c r="W86" s="162">
        <f t="shared" si="22"/>
        <v>0</v>
      </c>
      <c r="X86" s="157">
        <f t="shared" si="23"/>
        <v>0</v>
      </c>
      <c r="Y86" s="157">
        <f t="shared" si="24"/>
        <v>0</v>
      </c>
    </row>
    <row r="87" spans="2:25" ht="14.55" hidden="1" customHeight="1" thickBot="1" x14ac:dyDescent="0.35">
      <c r="B87" s="882"/>
      <c r="C87" s="883"/>
      <c r="D87" s="38"/>
      <c r="E87" s="38"/>
      <c r="F87" s="612" t="s">
        <v>14</v>
      </c>
      <c r="G87" s="6"/>
      <c r="H87" s="6"/>
      <c r="I87" s="659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29">
        <f>'Milling Down Time Hours'!M92</f>
        <v>0</v>
      </c>
      <c r="Q87" s="41"/>
      <c r="R87" s="929">
        <f>'Milling Down Time Hours'!L92</f>
        <v>0</v>
      </c>
      <c r="S87" s="14"/>
      <c r="T87" s="868" t="e">
        <f>SUM(#REF!)</f>
        <v>#REF!</v>
      </c>
      <c r="U87" s="868" t="e">
        <f t="shared" ref="U87" si="32">SUM(T87:T89)</f>
        <v>#REF!</v>
      </c>
      <c r="V87" s="870" t="e">
        <f t="shared" ref="V87" si="33">SUM(U87:U89)</f>
        <v>#REF!</v>
      </c>
      <c r="W87" s="162" t="e">
        <f t="shared" si="22"/>
        <v>#REF!</v>
      </c>
      <c r="X87" s="157" t="e">
        <f t="shared" si="23"/>
        <v>#REF!</v>
      </c>
      <c r="Y87" s="157" t="e">
        <f t="shared" si="24"/>
        <v>#REF!</v>
      </c>
    </row>
    <row r="88" spans="2:25" ht="15" hidden="1" customHeight="1" thickBot="1" x14ac:dyDescent="0.35">
      <c r="B88" s="882"/>
      <c r="C88" s="883"/>
      <c r="D88" s="14"/>
      <c r="E88" s="14"/>
      <c r="F88" s="613" t="s">
        <v>13</v>
      </c>
      <c r="G88" s="6"/>
      <c r="H88" s="6"/>
      <c r="I88" s="659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29"/>
      <c r="Q88" s="41"/>
      <c r="R88" s="929"/>
      <c r="S88" s="14"/>
      <c r="T88" s="869"/>
      <c r="U88" s="869"/>
      <c r="V88" s="871"/>
      <c r="W88" s="162">
        <f t="shared" si="22"/>
        <v>0</v>
      </c>
      <c r="X88" s="157">
        <f t="shared" si="23"/>
        <v>0</v>
      </c>
      <c r="Y88" s="157">
        <f t="shared" si="24"/>
        <v>0</v>
      </c>
    </row>
    <row r="89" spans="2:25" ht="14.55" hidden="1" customHeight="1" thickBot="1" x14ac:dyDescent="0.35">
      <c r="B89" s="882"/>
      <c r="C89" s="883"/>
      <c r="D89" s="38"/>
      <c r="E89" s="38"/>
      <c r="F89" s="612" t="s">
        <v>14</v>
      </c>
      <c r="G89" s="6"/>
      <c r="H89" s="6"/>
      <c r="I89" s="659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29">
        <f>'Milling Down Time Hours'!M94</f>
        <v>0</v>
      </c>
      <c r="Q89" s="41"/>
      <c r="R89" s="929">
        <f>'Milling Down Time Hours'!L94</f>
        <v>0</v>
      </c>
      <c r="S89" s="14"/>
      <c r="T89" s="868" t="e">
        <f>SUM(#REF!)</f>
        <v>#REF!</v>
      </c>
      <c r="U89" s="868" t="e">
        <f t="shared" ref="U89" si="34">SUM(T89:T91)</f>
        <v>#REF!</v>
      </c>
      <c r="V89" s="870" t="e">
        <f t="shared" ref="V89" si="35">SUM(U89:U91)</f>
        <v>#REF!</v>
      </c>
      <c r="W89" s="162" t="e">
        <f t="shared" si="22"/>
        <v>#REF!</v>
      </c>
      <c r="X89" s="157" t="e">
        <f t="shared" si="23"/>
        <v>#REF!</v>
      </c>
      <c r="Y89" s="157" t="e">
        <f t="shared" si="24"/>
        <v>#REF!</v>
      </c>
    </row>
    <row r="90" spans="2:25" ht="15" hidden="1" customHeight="1" thickBot="1" x14ac:dyDescent="0.35">
      <c r="B90" s="882"/>
      <c r="C90" s="883"/>
      <c r="D90" s="14"/>
      <c r="E90" s="14"/>
      <c r="F90" s="613" t="s">
        <v>13</v>
      </c>
      <c r="G90" s="6"/>
      <c r="H90" s="6"/>
      <c r="I90" s="659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29"/>
      <c r="Q90" s="41"/>
      <c r="R90" s="929"/>
      <c r="S90" s="14"/>
      <c r="T90" s="869"/>
      <c r="U90" s="869"/>
      <c r="V90" s="871"/>
      <c r="W90" s="162">
        <f t="shared" si="22"/>
        <v>0</v>
      </c>
      <c r="X90" s="157">
        <f t="shared" si="23"/>
        <v>0</v>
      </c>
      <c r="Y90" s="157">
        <f t="shared" si="24"/>
        <v>0</v>
      </c>
    </row>
    <row r="91" spans="2:25" ht="14.55" hidden="1" customHeight="1" thickBot="1" x14ac:dyDescent="0.35">
      <c r="B91" s="882"/>
      <c r="C91" s="883"/>
      <c r="D91" s="38"/>
      <c r="E91" s="38"/>
      <c r="F91" s="612" t="s">
        <v>14</v>
      </c>
      <c r="G91" s="6"/>
      <c r="H91" s="6"/>
      <c r="I91" s="659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29">
        <f>'Milling Down Time Hours'!M96</f>
        <v>0</v>
      </c>
      <c r="Q91" s="41"/>
      <c r="R91" s="929">
        <f>'Milling Down Time Hours'!L96</f>
        <v>0</v>
      </c>
      <c r="S91" s="14"/>
      <c r="T91" s="868" t="e">
        <f>SUM(#REF!)</f>
        <v>#REF!</v>
      </c>
      <c r="U91" s="868" t="e">
        <f t="shared" ref="U91" si="36">SUM(T91:T93)</f>
        <v>#REF!</v>
      </c>
      <c r="V91" s="870" t="e">
        <f t="shared" ref="V91" si="37">SUM(U91:U93)</f>
        <v>#REF!</v>
      </c>
      <c r="W91" s="162" t="e">
        <f t="shared" si="22"/>
        <v>#REF!</v>
      </c>
      <c r="X91" s="157" t="e">
        <f t="shared" si="23"/>
        <v>#REF!</v>
      </c>
      <c r="Y91" s="157" t="e">
        <f t="shared" si="24"/>
        <v>#REF!</v>
      </c>
    </row>
    <row r="92" spans="2:25" ht="15" hidden="1" customHeight="1" thickBot="1" x14ac:dyDescent="0.35">
      <c r="B92" s="882"/>
      <c r="C92" s="883"/>
      <c r="D92" s="14"/>
      <c r="E92" s="14"/>
      <c r="F92" s="613" t="s">
        <v>13</v>
      </c>
      <c r="G92" s="6"/>
      <c r="H92" s="6"/>
      <c r="I92" s="659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29"/>
      <c r="Q92" s="41"/>
      <c r="R92" s="929"/>
      <c r="S92" s="14"/>
      <c r="T92" s="869"/>
      <c r="U92" s="869"/>
      <c r="V92" s="871"/>
      <c r="W92" s="162">
        <f t="shared" si="22"/>
        <v>0</v>
      </c>
      <c r="X92" s="157">
        <f t="shared" si="23"/>
        <v>0</v>
      </c>
      <c r="Y92" s="157">
        <f t="shared" si="24"/>
        <v>0</v>
      </c>
    </row>
    <row r="93" spans="2:25" ht="14.55" hidden="1" customHeight="1" thickBot="1" x14ac:dyDescent="0.35">
      <c r="B93" s="882"/>
      <c r="C93" s="883"/>
      <c r="D93" s="38"/>
      <c r="E93" s="38"/>
      <c r="F93" s="612" t="s">
        <v>14</v>
      </c>
      <c r="G93" s="6"/>
      <c r="H93" s="6"/>
      <c r="I93" s="659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29">
        <f>'Milling Down Time Hours'!M98</f>
        <v>0</v>
      </c>
      <c r="Q93" s="41"/>
      <c r="R93" s="929">
        <f>'Milling Down Time Hours'!L98</f>
        <v>0</v>
      </c>
      <c r="S93" s="14"/>
      <c r="T93" s="868" t="e">
        <f>SUM(#REF!)</f>
        <v>#REF!</v>
      </c>
      <c r="U93" s="868" t="e">
        <f t="shared" ref="U93" si="38">SUM(T93:T95)</f>
        <v>#REF!</v>
      </c>
      <c r="V93" s="870" t="e">
        <f t="shared" ref="V93" si="39">SUM(U93:U95)</f>
        <v>#REF!</v>
      </c>
      <c r="W93" s="162" t="e">
        <f t="shared" si="22"/>
        <v>#REF!</v>
      </c>
      <c r="X93" s="157" t="e">
        <f t="shared" si="23"/>
        <v>#REF!</v>
      </c>
      <c r="Y93" s="157" t="e">
        <f t="shared" si="24"/>
        <v>#REF!</v>
      </c>
    </row>
    <row r="94" spans="2:25" ht="15" hidden="1" customHeight="1" thickBot="1" x14ac:dyDescent="0.35">
      <c r="B94" s="882"/>
      <c r="C94" s="883"/>
      <c r="D94" s="14"/>
      <c r="E94" s="14"/>
      <c r="F94" s="613" t="s">
        <v>13</v>
      </c>
      <c r="G94" s="6"/>
      <c r="H94" s="6"/>
      <c r="I94" s="659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29"/>
      <c r="Q94" s="41"/>
      <c r="R94" s="929"/>
      <c r="S94" s="14"/>
      <c r="T94" s="869"/>
      <c r="U94" s="869"/>
      <c r="V94" s="871"/>
      <c r="W94" s="162">
        <f t="shared" si="22"/>
        <v>0</v>
      </c>
      <c r="X94" s="157">
        <f t="shared" si="23"/>
        <v>0</v>
      </c>
      <c r="Y94" s="157">
        <f t="shared" si="24"/>
        <v>0</v>
      </c>
    </row>
    <row r="95" spans="2:25" ht="14.55" hidden="1" customHeight="1" thickBot="1" x14ac:dyDescent="0.35">
      <c r="B95" s="882"/>
      <c r="C95" s="883"/>
      <c r="D95" s="38"/>
      <c r="E95" s="38"/>
      <c r="F95" s="612" t="s">
        <v>14</v>
      </c>
      <c r="G95" s="6"/>
      <c r="H95" s="6"/>
      <c r="I95" s="659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29">
        <f>'Milling Down Time Hours'!M100</f>
        <v>0</v>
      </c>
      <c r="Q95" s="41"/>
      <c r="R95" s="929">
        <f>'Milling Down Time Hours'!L100</f>
        <v>0</v>
      </c>
      <c r="S95" s="14"/>
      <c r="T95" s="868" t="e">
        <f>SUM(#REF!)</f>
        <v>#REF!</v>
      </c>
      <c r="U95" s="868" t="e">
        <f>SUM(T95:T99)</f>
        <v>#REF!</v>
      </c>
      <c r="V95" s="870" t="e">
        <f>SUM(U95:U99)</f>
        <v>#REF!</v>
      </c>
      <c r="W95" s="162" t="e">
        <f t="shared" si="22"/>
        <v>#REF!</v>
      </c>
      <c r="X95" s="157" t="e">
        <f t="shared" si="23"/>
        <v>#REF!</v>
      </c>
      <c r="Y95" s="157" t="e">
        <f t="shared" si="24"/>
        <v>#REF!</v>
      </c>
    </row>
    <row r="96" spans="2:25" ht="14.55" hidden="1" customHeight="1" thickBot="1" x14ac:dyDescent="0.35">
      <c r="B96" s="882"/>
      <c r="C96" s="883"/>
      <c r="D96" s="98"/>
      <c r="E96" s="98"/>
      <c r="F96" s="613" t="s">
        <v>13</v>
      </c>
      <c r="G96" s="182"/>
      <c r="H96" s="182"/>
      <c r="I96" s="659">
        <f t="shared" si="21"/>
        <v>0</v>
      </c>
      <c r="J96" s="182"/>
      <c r="K96" s="182"/>
      <c r="L96" s="98"/>
      <c r="M96" s="28">
        <f t="shared" si="25"/>
        <v>0</v>
      </c>
      <c r="N96" s="98"/>
      <c r="O96" s="182"/>
      <c r="P96" s="929"/>
      <c r="Q96" s="41"/>
      <c r="R96" s="929"/>
      <c r="S96" s="98"/>
      <c r="T96" s="874"/>
      <c r="U96" s="874"/>
      <c r="V96" s="875"/>
      <c r="W96" s="162">
        <f t="shared" si="22"/>
        <v>0</v>
      </c>
      <c r="X96" s="157">
        <f t="shared" si="23"/>
        <v>0</v>
      </c>
      <c r="Y96" s="157">
        <f t="shared" si="24"/>
        <v>0</v>
      </c>
    </row>
    <row r="97" spans="2:27" ht="15" thickBot="1" x14ac:dyDescent="0.35">
      <c r="B97" s="884"/>
      <c r="C97" s="885"/>
      <c r="D97" s="556"/>
      <c r="E97" s="556"/>
      <c r="F97" s="612" t="s">
        <v>14</v>
      </c>
      <c r="G97" s="42"/>
      <c r="H97" s="6"/>
      <c r="I97" s="659">
        <f t="shared" si="21"/>
        <v>0</v>
      </c>
      <c r="J97" s="6"/>
      <c r="K97" s="14"/>
      <c r="L97" s="42"/>
      <c r="M97" s="28">
        <f t="shared" si="25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22"/>
        <v>0</v>
      </c>
      <c r="X97" s="157">
        <f t="shared" si="23"/>
        <v>0</v>
      </c>
      <c r="Y97" s="157">
        <f t="shared" si="24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6"/>
      <c r="I98" s="659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22"/>
        <v>0</v>
      </c>
      <c r="X98" s="157">
        <f t="shared" si="23"/>
        <v>0</v>
      </c>
      <c r="Y98" s="157">
        <f t="shared" si="24"/>
        <v>0</v>
      </c>
      <c r="AA98" s="480">
        <f>SUM(Z5:Z17)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129"/>
      <c r="I99" s="129"/>
      <c r="J99" s="129"/>
      <c r="K99" s="129"/>
      <c r="L99" s="145">
        <f>AVERAGE(L5:L98)</f>
        <v>0.72363636363636363</v>
      </c>
      <c r="M99" s="483">
        <f>SUM(M5:M98)</f>
        <v>1723.7849127500003</v>
      </c>
      <c r="N99" s="145"/>
      <c r="O99" s="129"/>
      <c r="P99" s="130">
        <f>'Milling Down Time Hours'!M58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171"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R91:R92"/>
    <mergeCell ref="T91:T92"/>
    <mergeCell ref="U91:U92"/>
    <mergeCell ref="P81:P82"/>
    <mergeCell ref="R81:R82"/>
    <mergeCell ref="R83:R84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U51:U52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B17:C18"/>
    <mergeCell ref="B25:C26"/>
    <mergeCell ref="N21:N22"/>
    <mergeCell ref="U39:U40"/>
    <mergeCell ref="N25:N26"/>
    <mergeCell ref="N11:N12"/>
    <mergeCell ref="P11:P12"/>
    <mergeCell ref="P13:P14"/>
    <mergeCell ref="R13:R14"/>
    <mergeCell ref="N27:N28"/>
    <mergeCell ref="N30:N31"/>
    <mergeCell ref="B32:C33"/>
    <mergeCell ref="N32:N33"/>
    <mergeCell ref="N34:N35"/>
    <mergeCell ref="S28:S31"/>
    <mergeCell ref="B42:C43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313</v>
      </c>
      <c r="M4" s="106" t="s">
        <v>140</v>
      </c>
      <c r="Q4" s="1081" t="s">
        <v>482</v>
      </c>
      <c r="R4" s="1082"/>
      <c r="S4" s="1082"/>
      <c r="T4" s="108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478</v>
      </c>
      <c r="Q5" s="1084"/>
      <c r="R5" s="1085"/>
      <c r="S5" s="1085"/>
      <c r="T5" s="1086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483</v>
      </c>
      <c r="D7" s="14" t="s">
        <v>481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484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483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510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314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07" t="s">
        <v>1</v>
      </c>
      <c r="B4" s="1109" t="s">
        <v>51</v>
      </c>
      <c r="C4" s="1109"/>
      <c r="D4" s="1109"/>
      <c r="E4" s="1109"/>
      <c r="F4" s="102"/>
      <c r="G4" s="56"/>
      <c r="H4" s="56"/>
      <c r="I4" s="107"/>
      <c r="J4" s="107"/>
      <c r="K4" s="107"/>
      <c r="L4" s="1095" t="s">
        <v>240</v>
      </c>
      <c r="M4" s="1093"/>
      <c r="N4" s="1094"/>
      <c r="O4" s="1095" t="s">
        <v>236</v>
      </c>
      <c r="P4" s="1093"/>
      <c r="Q4" s="1094"/>
      <c r="R4" s="1095" t="s">
        <v>237</v>
      </c>
      <c r="S4" s="1093"/>
      <c r="T4" s="1094"/>
      <c r="U4" s="1095" t="s">
        <v>238</v>
      </c>
      <c r="V4" s="1093"/>
      <c r="W4" s="1094"/>
      <c r="X4" s="1095" t="s">
        <v>239</v>
      </c>
      <c r="Y4" s="1093"/>
      <c r="Z4" s="1094"/>
      <c r="AA4" s="1095" t="s">
        <v>52</v>
      </c>
      <c r="AB4" s="1093"/>
      <c r="AC4" s="1094"/>
      <c r="AD4" s="1095" t="s">
        <v>53</v>
      </c>
      <c r="AE4" s="1093"/>
      <c r="AF4" s="1094"/>
      <c r="AG4" s="1087">
        <v>0.83333333333333337</v>
      </c>
      <c r="AH4" s="1093"/>
      <c r="AI4" s="1094"/>
      <c r="AJ4" s="1087">
        <v>0.91666666666666663</v>
      </c>
      <c r="AK4" s="1088"/>
      <c r="AL4" s="1089"/>
      <c r="AM4" s="1090">
        <v>0</v>
      </c>
      <c r="AN4" s="1091"/>
      <c r="AO4" s="1092"/>
      <c r="AP4" s="1087">
        <v>8.3333333333333329E-2</v>
      </c>
      <c r="AQ4" s="1088"/>
      <c r="AR4" s="1089"/>
      <c r="AS4" s="1087">
        <v>0.16666666666666666</v>
      </c>
      <c r="AT4" s="1088"/>
      <c r="AU4" s="1089"/>
      <c r="AV4" s="61" t="s">
        <v>54</v>
      </c>
      <c r="AW4" s="46"/>
    </row>
    <row r="5" spans="1:49" x14ac:dyDescent="0.3">
      <c r="A5" s="1107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1113">
        <v>46147</v>
      </c>
      <c r="B6" s="1108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1122" t="s">
        <v>232</v>
      </c>
      <c r="AW6" s="1123"/>
    </row>
    <row r="7" spans="1:49" x14ac:dyDescent="0.3">
      <c r="A7" s="1113"/>
      <c r="B7" s="1097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1122"/>
      <c r="AW7" s="1124"/>
    </row>
    <row r="8" spans="1:49" x14ac:dyDescent="0.3">
      <c r="A8" s="1113"/>
      <c r="B8" s="1097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1122"/>
      <c r="AW8" s="1124"/>
    </row>
    <row r="9" spans="1:49" ht="15" thickBot="1" x14ac:dyDescent="0.35">
      <c r="A9" s="1108"/>
      <c r="B9" s="1097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123"/>
      <c r="AW9" s="1125"/>
    </row>
    <row r="10" spans="1:49" x14ac:dyDescent="0.3">
      <c r="A10" s="1110">
        <v>46148</v>
      </c>
      <c r="B10" s="1096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126" t="s">
        <v>241</v>
      </c>
      <c r="AW10" s="1129" t="s">
        <v>231</v>
      </c>
    </row>
    <row r="11" spans="1:49" x14ac:dyDescent="0.3">
      <c r="A11" s="1111"/>
      <c r="B11" s="1097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1127"/>
      <c r="AW11" s="1130"/>
    </row>
    <row r="12" spans="1:49" x14ac:dyDescent="0.3">
      <c r="A12" s="1111"/>
      <c r="B12" s="1097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1127"/>
      <c r="AW12" s="1130"/>
    </row>
    <row r="13" spans="1:49" ht="15" thickBot="1" x14ac:dyDescent="0.35">
      <c r="A13" s="1112"/>
      <c r="B13" s="1097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128"/>
      <c r="AW13" s="1131"/>
    </row>
    <row r="14" spans="1:49" ht="15" thickBot="1" x14ac:dyDescent="0.35">
      <c r="A14" s="1110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126" t="s">
        <v>242</v>
      </c>
      <c r="AW14" s="1132"/>
    </row>
    <row r="15" spans="1:49" x14ac:dyDescent="0.3">
      <c r="A15" s="1111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127"/>
      <c r="AW15" s="1133"/>
    </row>
    <row r="16" spans="1:49" x14ac:dyDescent="0.3">
      <c r="A16" s="1111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1127"/>
      <c r="AW16" s="1133"/>
    </row>
    <row r="17" spans="1:49" ht="15" thickBot="1" x14ac:dyDescent="0.35">
      <c r="A17" s="1112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127"/>
      <c r="AW17" s="1134"/>
    </row>
    <row r="18" spans="1:49" x14ac:dyDescent="0.3">
      <c r="A18" s="1114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286</v>
      </c>
      <c r="AW18" s="1121"/>
    </row>
    <row r="19" spans="1:49" x14ac:dyDescent="0.3">
      <c r="A19" s="1113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287</v>
      </c>
      <c r="AW19" s="1120"/>
    </row>
    <row r="20" spans="1:49" x14ac:dyDescent="0.3">
      <c r="A20" s="1113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1120"/>
    </row>
    <row r="21" spans="1:49" x14ac:dyDescent="0.3">
      <c r="A21" s="1113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1120"/>
    </row>
    <row r="22" spans="1:49" x14ac:dyDescent="0.3">
      <c r="A22" s="1113">
        <v>46151</v>
      </c>
      <c r="B22" s="53"/>
      <c r="C22" s="51"/>
      <c r="D22" s="1098"/>
      <c r="E22" s="1104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1120"/>
    </row>
    <row r="23" spans="1:49" x14ac:dyDescent="0.3">
      <c r="A23" s="1113"/>
      <c r="B23" s="54"/>
      <c r="C23" s="51"/>
      <c r="D23" s="1099"/>
      <c r="E23" s="1105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1120"/>
    </row>
    <row r="24" spans="1:49" x14ac:dyDescent="0.3">
      <c r="A24" s="1113"/>
      <c r="B24" s="54"/>
      <c r="C24" s="51"/>
      <c r="D24" s="1099"/>
      <c r="E24" s="1105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1120"/>
    </row>
    <row r="25" spans="1:49" ht="15" thickBot="1" x14ac:dyDescent="0.35">
      <c r="A25" s="1113"/>
      <c r="B25" s="55"/>
      <c r="C25" s="51"/>
      <c r="D25" s="1100"/>
      <c r="E25" s="1106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1118"/>
    </row>
    <row r="26" spans="1:49" x14ac:dyDescent="0.3">
      <c r="A26" s="1113">
        <v>46152</v>
      </c>
      <c r="B26" s="53"/>
      <c r="C26" s="51"/>
      <c r="D26" s="1098"/>
      <c r="E26" s="1104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121"/>
      <c r="AW26" s="1121"/>
    </row>
    <row r="27" spans="1:49" x14ac:dyDescent="0.3">
      <c r="A27" s="1113"/>
      <c r="B27" s="54"/>
      <c r="C27" s="51"/>
      <c r="D27" s="1099"/>
      <c r="E27" s="1105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120"/>
      <c r="AW27" s="1120"/>
    </row>
    <row r="28" spans="1:49" x14ac:dyDescent="0.3">
      <c r="A28" s="1113"/>
      <c r="B28" s="54"/>
      <c r="C28" s="51"/>
      <c r="D28" s="1099"/>
      <c r="E28" s="1105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1120"/>
      <c r="AW28" s="1120"/>
    </row>
    <row r="29" spans="1:49" x14ac:dyDescent="0.3">
      <c r="A29" s="1113"/>
      <c r="B29" s="55"/>
      <c r="C29" s="51"/>
      <c r="D29" s="1100"/>
      <c r="E29" s="1106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1120"/>
      <c r="AW29" s="1120"/>
    </row>
    <row r="30" spans="1:49" x14ac:dyDescent="0.3">
      <c r="A30" s="1113">
        <v>46153</v>
      </c>
      <c r="B30" s="53"/>
      <c r="C30" s="51"/>
      <c r="D30" s="1098"/>
      <c r="E30" s="1104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1120"/>
      <c r="AW30" s="1120"/>
    </row>
    <row r="31" spans="1:49" x14ac:dyDescent="0.3">
      <c r="A31" s="1113"/>
      <c r="B31" s="54"/>
      <c r="C31" s="51"/>
      <c r="D31" s="1099"/>
      <c r="E31" s="1105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1120"/>
      <c r="AW31" s="1120"/>
    </row>
    <row r="32" spans="1:49" x14ac:dyDescent="0.3">
      <c r="A32" s="1113"/>
      <c r="B32" s="54"/>
      <c r="C32" s="51"/>
      <c r="D32" s="1099"/>
      <c r="E32" s="1105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1120"/>
      <c r="AW32" s="1120"/>
    </row>
    <row r="33" spans="1:49" x14ac:dyDescent="0.3">
      <c r="A33" s="1113"/>
      <c r="B33" s="55"/>
      <c r="C33" s="51"/>
      <c r="D33" s="1100"/>
      <c r="E33" s="1106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1118"/>
      <c r="AW33" s="1118"/>
    </row>
    <row r="34" spans="1:49" x14ac:dyDescent="0.3">
      <c r="A34" s="1113">
        <v>46154</v>
      </c>
      <c r="B34" s="53"/>
      <c r="C34" s="51"/>
      <c r="D34" s="1098"/>
      <c r="E34" s="1104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1121"/>
      <c r="AW34" s="1121"/>
    </row>
    <row r="35" spans="1:49" x14ac:dyDescent="0.3">
      <c r="A35" s="1113"/>
      <c r="B35" s="54"/>
      <c r="C35" s="51"/>
      <c r="D35" s="1099"/>
      <c r="E35" s="1105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1120"/>
      <c r="AW35" s="1120"/>
    </row>
    <row r="36" spans="1:49" x14ac:dyDescent="0.3">
      <c r="A36" s="1113"/>
      <c r="B36" s="54"/>
      <c r="C36" s="51"/>
      <c r="D36" s="1099"/>
      <c r="E36" s="1105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1120"/>
      <c r="AW36" s="1120"/>
    </row>
    <row r="37" spans="1:49" x14ac:dyDescent="0.3">
      <c r="A37" s="1113"/>
      <c r="B37" s="55"/>
      <c r="C37" s="51"/>
      <c r="D37" s="1100"/>
      <c r="E37" s="1106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1120"/>
      <c r="AW37" s="1120"/>
    </row>
    <row r="38" spans="1:49" x14ac:dyDescent="0.3">
      <c r="A38" s="1113">
        <v>46155</v>
      </c>
      <c r="B38" s="53"/>
      <c r="C38" s="51"/>
      <c r="D38" s="1098"/>
      <c r="E38" s="1104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1120"/>
      <c r="AW38" s="1120"/>
    </row>
    <row r="39" spans="1:49" x14ac:dyDescent="0.3">
      <c r="A39" s="1113"/>
      <c r="B39" s="54"/>
      <c r="C39" s="51"/>
      <c r="D39" s="1099"/>
      <c r="E39" s="1105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1120"/>
      <c r="AW39" s="1120"/>
    </row>
    <row r="40" spans="1:49" x14ac:dyDescent="0.3">
      <c r="A40" s="1113"/>
      <c r="B40" s="54"/>
      <c r="C40" s="51"/>
      <c r="D40" s="1099"/>
      <c r="E40" s="1105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1120"/>
      <c r="AW40" s="1120"/>
    </row>
    <row r="41" spans="1:49" x14ac:dyDescent="0.3">
      <c r="A41" s="1113"/>
      <c r="B41" s="55"/>
      <c r="C41" s="51"/>
      <c r="D41" s="1100"/>
      <c r="E41" s="1106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1118"/>
      <c r="AW41" s="1118"/>
    </row>
    <row r="42" spans="1:49" x14ac:dyDescent="0.3">
      <c r="A42" s="1113">
        <v>46156</v>
      </c>
      <c r="B42" s="53"/>
      <c r="C42" s="51"/>
      <c r="D42" s="1098"/>
      <c r="E42" s="1104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1121"/>
      <c r="AW42" s="1121"/>
    </row>
    <row r="43" spans="1:49" x14ac:dyDescent="0.3">
      <c r="A43" s="1113"/>
      <c r="B43" s="54"/>
      <c r="C43" s="51"/>
      <c r="D43" s="1099"/>
      <c r="E43" s="1105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1120"/>
      <c r="AW43" s="1120"/>
    </row>
    <row r="44" spans="1:49" x14ac:dyDescent="0.3">
      <c r="A44" s="1113"/>
      <c r="B44" s="54"/>
      <c r="C44" s="51"/>
      <c r="D44" s="1099"/>
      <c r="E44" s="1105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1120"/>
      <c r="AW44" s="1120"/>
    </row>
    <row r="45" spans="1:49" x14ac:dyDescent="0.3">
      <c r="A45" s="1113"/>
      <c r="B45" s="55"/>
      <c r="C45" s="51"/>
      <c r="D45" s="1100"/>
      <c r="E45" s="1106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1120"/>
      <c r="AW45" s="1120"/>
    </row>
    <row r="46" spans="1:49" x14ac:dyDescent="0.3">
      <c r="A46" s="1113">
        <v>46157</v>
      </c>
      <c r="B46" s="53"/>
      <c r="C46" s="51"/>
      <c r="D46" s="1101" t="s">
        <v>158</v>
      </c>
      <c r="E46" s="1104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1120"/>
      <c r="AW46" s="1120"/>
    </row>
    <row r="47" spans="1:49" x14ac:dyDescent="0.3">
      <c r="A47" s="1113"/>
      <c r="B47" s="54"/>
      <c r="C47" s="51"/>
      <c r="D47" s="1102"/>
      <c r="E47" s="1105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1120"/>
      <c r="AW47" s="1120"/>
    </row>
    <row r="48" spans="1:49" x14ac:dyDescent="0.3">
      <c r="A48" s="1113"/>
      <c r="B48" s="54"/>
      <c r="C48" s="51"/>
      <c r="D48" s="1102"/>
      <c r="E48" s="1105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1120"/>
      <c r="AW48" s="1120"/>
    </row>
    <row r="49" spans="1:49" x14ac:dyDescent="0.3">
      <c r="A49" s="1113"/>
      <c r="B49" s="55"/>
      <c r="C49" s="51"/>
      <c r="D49" s="1103"/>
      <c r="E49" s="1106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1118"/>
      <c r="AW49" s="1118"/>
    </row>
    <row r="50" spans="1:49" x14ac:dyDescent="0.3">
      <c r="A50" s="1113">
        <v>46158</v>
      </c>
      <c r="B50" s="53"/>
      <c r="C50" s="51"/>
      <c r="D50" s="1098"/>
      <c r="E50" s="1104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1121"/>
      <c r="AW50" s="1121"/>
    </row>
    <row r="51" spans="1:49" x14ac:dyDescent="0.3">
      <c r="A51" s="1113"/>
      <c r="B51" s="54"/>
      <c r="C51" s="51"/>
      <c r="D51" s="1099"/>
      <c r="E51" s="1105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1120"/>
      <c r="AW51" s="1120"/>
    </row>
    <row r="52" spans="1:49" x14ac:dyDescent="0.3">
      <c r="A52" s="1113"/>
      <c r="B52" s="54"/>
      <c r="C52" s="51"/>
      <c r="D52" s="1099"/>
      <c r="E52" s="1105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1120"/>
      <c r="AW52" s="1120"/>
    </row>
    <row r="53" spans="1:49" x14ac:dyDescent="0.3">
      <c r="A53" s="1113"/>
      <c r="B53" s="55"/>
      <c r="C53" s="51"/>
      <c r="D53" s="1100"/>
      <c r="E53" s="1106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1120"/>
      <c r="AW53" s="1120"/>
    </row>
    <row r="54" spans="1:49" x14ac:dyDescent="0.3">
      <c r="A54" s="1113">
        <v>46159</v>
      </c>
      <c r="B54" s="53"/>
      <c r="C54" s="51"/>
      <c r="D54" s="100"/>
      <c r="E54" s="1115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1120"/>
      <c r="AW54" s="1120"/>
    </row>
    <row r="55" spans="1:49" x14ac:dyDescent="0.3">
      <c r="A55" s="1113"/>
      <c r="B55" s="54"/>
      <c r="C55" s="51"/>
      <c r="D55" s="100"/>
      <c r="E55" s="1116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1120"/>
      <c r="AW55" s="1120"/>
    </row>
    <row r="56" spans="1:49" x14ac:dyDescent="0.3">
      <c r="A56" s="1113"/>
      <c r="B56" s="54"/>
      <c r="C56" s="51"/>
      <c r="D56" s="100"/>
      <c r="E56" s="1116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1120"/>
      <c r="AW56" s="1120"/>
    </row>
    <row r="57" spans="1:49" x14ac:dyDescent="0.3">
      <c r="A57" s="1113"/>
      <c r="B57" s="55"/>
      <c r="C57" s="51"/>
      <c r="D57" s="100"/>
      <c r="E57" s="1117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1118"/>
      <c r="AW57" s="1118"/>
    </row>
    <row r="58" spans="1:49" x14ac:dyDescent="0.3">
      <c r="A58" s="1113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1121"/>
      <c r="AW58" s="1121"/>
    </row>
    <row r="59" spans="1:49" x14ac:dyDescent="0.3">
      <c r="A59" s="1113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1120"/>
      <c r="AW59" s="1120"/>
    </row>
    <row r="60" spans="1:49" x14ac:dyDescent="0.3">
      <c r="A60" s="1113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1120"/>
      <c r="AW60" s="1120"/>
    </row>
    <row r="61" spans="1:49" x14ac:dyDescent="0.3">
      <c r="A61" s="1113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1120"/>
      <c r="AW61" s="1120"/>
    </row>
    <row r="62" spans="1:49" x14ac:dyDescent="0.3">
      <c r="A62" s="1113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1120"/>
      <c r="AW62" s="1120"/>
    </row>
    <row r="63" spans="1:49" x14ac:dyDescent="0.3">
      <c r="A63" s="1113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1120"/>
      <c r="AW63" s="1120"/>
    </row>
    <row r="64" spans="1:49" x14ac:dyDescent="0.3">
      <c r="A64" s="1113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1120"/>
      <c r="AW64" s="1120"/>
    </row>
    <row r="65" spans="1:49" x14ac:dyDescent="0.3">
      <c r="A65" s="1113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1118"/>
      <c r="AW65" s="1118"/>
    </row>
    <row r="66" spans="1:49" x14ac:dyDescent="0.3">
      <c r="A66" s="1113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1121"/>
      <c r="AW66" s="1121"/>
    </row>
    <row r="67" spans="1:49" x14ac:dyDescent="0.3">
      <c r="A67" s="1113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1120"/>
      <c r="AW67" s="1120"/>
    </row>
    <row r="68" spans="1:49" x14ac:dyDescent="0.3">
      <c r="A68" s="1113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1120"/>
      <c r="AW68" s="1120"/>
    </row>
    <row r="69" spans="1:49" x14ac:dyDescent="0.3">
      <c r="A69" s="1113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1120"/>
      <c r="AW69" s="1120"/>
    </row>
    <row r="70" spans="1:49" x14ac:dyDescent="0.3">
      <c r="A70" s="1113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1120"/>
      <c r="AW70" s="1120"/>
    </row>
    <row r="71" spans="1:49" x14ac:dyDescent="0.3">
      <c r="A71" s="1113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1120"/>
      <c r="AW71" s="1120"/>
    </row>
    <row r="72" spans="1:49" x14ac:dyDescent="0.3">
      <c r="A72" s="1113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1120"/>
      <c r="AW72" s="1120"/>
    </row>
    <row r="73" spans="1:49" x14ac:dyDescent="0.3">
      <c r="A73" s="1113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1118"/>
      <c r="AW73" s="1118"/>
    </row>
    <row r="74" spans="1:49" x14ac:dyDescent="0.3">
      <c r="A74" s="1113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1121"/>
      <c r="AW74" s="1121"/>
    </row>
    <row r="75" spans="1:49" x14ac:dyDescent="0.3">
      <c r="A75" s="1113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1120"/>
      <c r="AW75" s="1120"/>
    </row>
    <row r="76" spans="1:49" x14ac:dyDescent="0.3">
      <c r="A76" s="1113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1120"/>
      <c r="AW76" s="1120"/>
    </row>
    <row r="77" spans="1:49" x14ac:dyDescent="0.3">
      <c r="A77" s="1113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1120"/>
      <c r="AW77" s="1120"/>
    </row>
    <row r="78" spans="1:49" x14ac:dyDescent="0.3">
      <c r="A78" s="1113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1120"/>
      <c r="AW78" s="1120"/>
    </row>
    <row r="79" spans="1:49" x14ac:dyDescent="0.3">
      <c r="A79" s="1113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1120"/>
      <c r="AW79" s="1120"/>
    </row>
    <row r="80" spans="1:49" x14ac:dyDescent="0.3">
      <c r="A80" s="1113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1120"/>
      <c r="AW80" s="1120"/>
    </row>
    <row r="81" spans="1:49" x14ac:dyDescent="0.3">
      <c r="A81" s="1113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1118"/>
      <c r="AW81" s="1118"/>
    </row>
    <row r="82" spans="1:49" x14ac:dyDescent="0.3">
      <c r="A82" s="1113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1121"/>
      <c r="AW82" s="1121"/>
    </row>
    <row r="83" spans="1:49" x14ac:dyDescent="0.3">
      <c r="A83" s="1113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1120"/>
      <c r="AW83" s="1120"/>
    </row>
    <row r="84" spans="1:49" x14ac:dyDescent="0.3">
      <c r="A84" s="1113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1120"/>
      <c r="AW84" s="1120"/>
    </row>
    <row r="85" spans="1:49" x14ac:dyDescent="0.3">
      <c r="A85" s="1113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1120"/>
      <c r="AW85" s="1120"/>
    </row>
    <row r="86" spans="1:49" x14ac:dyDescent="0.3">
      <c r="A86" s="1113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1120"/>
      <c r="AW86" s="1120"/>
    </row>
    <row r="87" spans="1:49" x14ac:dyDescent="0.3">
      <c r="A87" s="1113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1120"/>
      <c r="AW87" s="1120"/>
    </row>
    <row r="88" spans="1:49" x14ac:dyDescent="0.3">
      <c r="A88" s="1113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1120"/>
      <c r="AW88" s="1120"/>
    </row>
    <row r="89" spans="1:49" x14ac:dyDescent="0.3">
      <c r="A89" s="1113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1118"/>
      <c r="AW89" s="1118"/>
    </row>
    <row r="90" spans="1:49" x14ac:dyDescent="0.3">
      <c r="A90" s="1113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1121"/>
      <c r="AW90" s="1121"/>
    </row>
    <row r="91" spans="1:49" x14ac:dyDescent="0.3">
      <c r="A91" s="1113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1120"/>
      <c r="AW91" s="1120"/>
    </row>
    <row r="92" spans="1:49" x14ac:dyDescent="0.3">
      <c r="A92" s="1113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1120"/>
      <c r="AW92" s="1120"/>
    </row>
    <row r="93" spans="1:49" x14ac:dyDescent="0.3">
      <c r="A93" s="1113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1120"/>
      <c r="AW93" s="1120"/>
    </row>
    <row r="94" spans="1:49" x14ac:dyDescent="0.3">
      <c r="A94" s="1113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1120"/>
      <c r="AW94" s="1120"/>
    </row>
    <row r="95" spans="1:49" x14ac:dyDescent="0.3">
      <c r="A95" s="1113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1120"/>
      <c r="AW95" s="1120"/>
    </row>
    <row r="96" spans="1:49" x14ac:dyDescent="0.3">
      <c r="A96" s="1113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1120"/>
      <c r="AW96" s="1120"/>
    </row>
    <row r="97" spans="1:49" x14ac:dyDescent="0.3">
      <c r="A97" s="1113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1118"/>
      <c r="AW97" s="1118"/>
    </row>
    <row r="98" spans="1:49" x14ac:dyDescent="0.3">
      <c r="A98" s="1113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1121"/>
      <c r="AW98" s="1121"/>
    </row>
    <row r="99" spans="1:49" x14ac:dyDescent="0.3">
      <c r="A99" s="1113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1120"/>
      <c r="AW99" s="1120"/>
    </row>
    <row r="100" spans="1:49" x14ac:dyDescent="0.3">
      <c r="A100" s="1113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1120"/>
      <c r="AW100" s="1120"/>
    </row>
    <row r="101" spans="1:49" x14ac:dyDescent="0.3">
      <c r="A101" s="1113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1120"/>
      <c r="AW101" s="1120"/>
    </row>
    <row r="102" spans="1:49" x14ac:dyDescent="0.3">
      <c r="A102" s="1113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1120"/>
      <c r="AW102" s="1120"/>
    </row>
    <row r="103" spans="1:49" x14ac:dyDescent="0.3">
      <c r="A103" s="1113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1120"/>
      <c r="AW103" s="1120"/>
    </row>
    <row r="104" spans="1:49" x14ac:dyDescent="0.3">
      <c r="A104" s="1113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1120"/>
      <c r="AW104" s="1120"/>
    </row>
    <row r="105" spans="1:49" x14ac:dyDescent="0.3">
      <c r="A105" s="1113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1118"/>
      <c r="AW105" s="1118"/>
    </row>
    <row r="106" spans="1:49" x14ac:dyDescent="0.3">
      <c r="A106" s="1113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1121"/>
      <c r="AW106" s="1121"/>
    </row>
    <row r="107" spans="1:49" x14ac:dyDescent="0.3">
      <c r="A107" s="1113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1120"/>
      <c r="AW107" s="1120"/>
    </row>
    <row r="108" spans="1:49" x14ac:dyDescent="0.3">
      <c r="A108" s="1113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1120"/>
      <c r="AW108" s="1120"/>
    </row>
    <row r="109" spans="1:49" x14ac:dyDescent="0.3">
      <c r="A109" s="1113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1120"/>
      <c r="AW109" s="1120"/>
    </row>
    <row r="110" spans="1:49" x14ac:dyDescent="0.3">
      <c r="A110" s="1113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1120"/>
      <c r="AW110" s="1120"/>
    </row>
    <row r="111" spans="1:49" x14ac:dyDescent="0.3">
      <c r="A111" s="1113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1120"/>
      <c r="AW111" s="1120"/>
    </row>
    <row r="112" spans="1:49" x14ac:dyDescent="0.3">
      <c r="A112" s="1113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1120"/>
      <c r="AW112" s="1120"/>
    </row>
    <row r="113" spans="1:49" x14ac:dyDescent="0.3">
      <c r="A113" s="1113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1118"/>
      <c r="AW113" s="1118"/>
    </row>
    <row r="114" spans="1:49" x14ac:dyDescent="0.3">
      <c r="A114" s="1113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1121"/>
      <c r="AW114" s="1121"/>
    </row>
    <row r="115" spans="1:49" x14ac:dyDescent="0.3">
      <c r="A115" s="1113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1120"/>
      <c r="AW115" s="1120"/>
    </row>
    <row r="116" spans="1:49" x14ac:dyDescent="0.3">
      <c r="A116" s="1113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1120"/>
      <c r="AW116" s="1120"/>
    </row>
    <row r="117" spans="1:49" x14ac:dyDescent="0.3">
      <c r="A117" s="1113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1120"/>
      <c r="AW117" s="1120"/>
    </row>
    <row r="118" spans="1:49" x14ac:dyDescent="0.3">
      <c r="A118" s="1113">
        <v>46175</v>
      </c>
      <c r="B118" s="53"/>
      <c r="C118" s="51"/>
      <c r="D118" s="1098"/>
      <c r="E118" s="1104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1120"/>
      <c r="AW118" s="1120"/>
    </row>
    <row r="119" spans="1:49" x14ac:dyDescent="0.3">
      <c r="A119" s="1113"/>
      <c r="B119" s="54"/>
      <c r="C119" s="51"/>
      <c r="D119" s="1099"/>
      <c r="E119" s="1105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1120"/>
      <c r="AW119" s="1120"/>
    </row>
    <row r="120" spans="1:49" x14ac:dyDescent="0.3">
      <c r="A120" s="1113"/>
      <c r="B120" s="54"/>
      <c r="C120" s="51"/>
      <c r="D120" s="1099"/>
      <c r="E120" s="1105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1120"/>
      <c r="AW120" s="1120"/>
    </row>
    <row r="121" spans="1:49" x14ac:dyDescent="0.3">
      <c r="A121" s="1113"/>
      <c r="B121" s="55"/>
      <c r="C121" s="51"/>
      <c r="D121" s="1100"/>
      <c r="E121" s="1106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1118"/>
      <c r="AW121" s="1118"/>
    </row>
    <row r="122" spans="1:49" x14ac:dyDescent="0.3">
      <c r="A122" s="1113">
        <v>46176</v>
      </c>
      <c r="B122" s="53"/>
      <c r="C122" s="51"/>
      <c r="D122" s="1098"/>
      <c r="E122" s="1104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1121"/>
      <c r="AW122" s="1121"/>
    </row>
    <row r="123" spans="1:49" x14ac:dyDescent="0.3">
      <c r="A123" s="1113"/>
      <c r="B123" s="54"/>
      <c r="C123" s="51"/>
      <c r="D123" s="1099"/>
      <c r="E123" s="1105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1120"/>
      <c r="AW123" s="1120"/>
    </row>
    <row r="124" spans="1:49" x14ac:dyDescent="0.3">
      <c r="A124" s="1113"/>
      <c r="B124" s="54"/>
      <c r="C124" s="51"/>
      <c r="D124" s="1099"/>
      <c r="E124" s="1105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1120"/>
      <c r="AW124" s="1120"/>
    </row>
    <row r="125" spans="1:49" x14ac:dyDescent="0.3">
      <c r="A125" s="1113"/>
      <c r="B125" s="55"/>
      <c r="C125" s="51"/>
      <c r="D125" s="1100"/>
      <c r="E125" s="1106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1120"/>
      <c r="AW125" s="1120"/>
    </row>
    <row r="126" spans="1:49" x14ac:dyDescent="0.3">
      <c r="A126" s="1113">
        <v>46177</v>
      </c>
      <c r="B126" s="53"/>
      <c r="C126" s="51"/>
      <c r="D126" s="1098"/>
      <c r="E126" s="1104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1120"/>
      <c r="AW126" s="1120"/>
    </row>
    <row r="127" spans="1:49" x14ac:dyDescent="0.3">
      <c r="A127" s="1113"/>
      <c r="B127" s="54"/>
      <c r="C127" s="51"/>
      <c r="D127" s="1099"/>
      <c r="E127" s="1105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1120"/>
      <c r="AW127" s="1120"/>
    </row>
    <row r="128" spans="1:49" x14ac:dyDescent="0.3">
      <c r="A128" s="1113"/>
      <c r="B128" s="54"/>
      <c r="C128" s="51"/>
      <c r="D128" s="1099"/>
      <c r="E128" s="1105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1120"/>
      <c r="AW128" s="1120"/>
    </row>
    <row r="129" spans="1:49" x14ac:dyDescent="0.3">
      <c r="A129" s="1113"/>
      <c r="B129" s="55"/>
      <c r="C129" s="51"/>
      <c r="D129" s="1100"/>
      <c r="E129" s="1106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1118"/>
      <c r="AW129" s="1118"/>
    </row>
    <row r="130" spans="1:49" x14ac:dyDescent="0.3">
      <c r="A130" s="19"/>
      <c r="B130" s="19"/>
      <c r="C130" s="19"/>
      <c r="D130" s="1113"/>
      <c r="E130" s="1119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1121"/>
      <c r="AW130" s="1121"/>
    </row>
    <row r="131" spans="1:49" x14ac:dyDescent="0.3">
      <c r="A131" s="19"/>
      <c r="B131" s="19"/>
      <c r="C131" s="19"/>
      <c r="D131" s="1118"/>
      <c r="E131" s="1120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1120"/>
      <c r="AW131" s="1120"/>
    </row>
    <row r="132" spans="1:49" x14ac:dyDescent="0.3">
      <c r="A132" s="19"/>
      <c r="B132" s="19"/>
      <c r="C132" s="19"/>
      <c r="D132" s="1118"/>
      <c r="E132" s="1120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1120"/>
      <c r="AW132" s="1120"/>
    </row>
    <row r="133" spans="1:49" x14ac:dyDescent="0.3">
      <c r="A133" s="19"/>
      <c r="B133" s="19"/>
      <c r="C133" s="19"/>
      <c r="D133" s="1118"/>
      <c r="E133" s="1120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1120"/>
      <c r="AW133" s="1120"/>
    </row>
    <row r="134" spans="1:49" x14ac:dyDescent="0.3">
      <c r="A134" s="19"/>
      <c r="B134" s="19"/>
      <c r="C134" s="19"/>
      <c r="D134" s="1118"/>
      <c r="E134" s="1120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1120"/>
      <c r="AW134" s="1120"/>
    </row>
    <row r="135" spans="1:49" x14ac:dyDescent="0.3">
      <c r="A135" s="19"/>
      <c r="B135" s="19"/>
      <c r="C135" s="19"/>
      <c r="D135" s="1118"/>
      <c r="E135" s="1120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1120"/>
      <c r="AW135" s="1120"/>
    </row>
    <row r="136" spans="1:49" x14ac:dyDescent="0.3">
      <c r="A136" s="19"/>
      <c r="B136" s="19"/>
      <c r="C136" s="19"/>
      <c r="D136" s="1118"/>
      <c r="E136" s="1120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1120"/>
      <c r="AW136" s="1120"/>
    </row>
    <row r="137" spans="1:49" x14ac:dyDescent="0.3">
      <c r="A137" s="19"/>
      <c r="B137" s="19"/>
      <c r="C137" s="19"/>
      <c r="D137" s="1118"/>
      <c r="E137" s="1118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1118"/>
      <c r="AW137" s="1118"/>
    </row>
    <row r="138" spans="1:49" x14ac:dyDescent="0.3">
      <c r="A138" s="19"/>
      <c r="B138" s="19"/>
      <c r="C138" s="19"/>
      <c r="D138" s="1113"/>
      <c r="E138" s="1119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1121"/>
      <c r="AW138" s="1121"/>
    </row>
    <row r="139" spans="1:49" x14ac:dyDescent="0.3">
      <c r="A139" s="19"/>
      <c r="B139" s="19"/>
      <c r="C139" s="19"/>
      <c r="D139" s="1118"/>
      <c r="E139" s="1120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1120"/>
      <c r="AW139" s="1120"/>
    </row>
    <row r="140" spans="1:49" x14ac:dyDescent="0.3">
      <c r="A140" s="19"/>
      <c r="B140" s="19"/>
      <c r="C140" s="19"/>
      <c r="D140" s="1118"/>
      <c r="E140" s="1120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1120"/>
      <c r="AW140" s="1120"/>
    </row>
    <row r="141" spans="1:49" x14ac:dyDescent="0.3">
      <c r="A141" s="19"/>
      <c r="B141" s="19"/>
      <c r="C141" s="19"/>
      <c r="D141" s="1118"/>
      <c r="E141" s="1120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1120"/>
      <c r="AW141" s="1120"/>
    </row>
    <row r="142" spans="1:49" x14ac:dyDescent="0.3">
      <c r="A142" s="19"/>
      <c r="B142" s="19"/>
      <c r="C142" s="19"/>
      <c r="D142" s="1118"/>
      <c r="E142" s="1120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1120"/>
      <c r="AW142" s="1120"/>
    </row>
    <row r="143" spans="1:49" x14ac:dyDescent="0.3">
      <c r="A143" s="19"/>
      <c r="B143" s="19"/>
      <c r="C143" s="19"/>
      <c r="D143" s="1118"/>
      <c r="E143" s="1120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1120"/>
      <c r="AW143" s="1120"/>
    </row>
    <row r="144" spans="1:49" x14ac:dyDescent="0.3">
      <c r="A144" s="19"/>
      <c r="B144" s="19"/>
      <c r="C144" s="19"/>
      <c r="D144" s="1118"/>
      <c r="E144" s="1120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1120"/>
      <c r="AW144" s="1120"/>
    </row>
    <row r="145" spans="1:49" x14ac:dyDescent="0.3">
      <c r="A145" s="19"/>
      <c r="B145" s="19"/>
      <c r="C145" s="19"/>
      <c r="D145" s="1118"/>
      <c r="E145" s="1118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1118"/>
      <c r="AW145" s="1118"/>
    </row>
    <row r="146" spans="1:49" x14ac:dyDescent="0.3">
      <c r="A146" s="19"/>
      <c r="B146" s="19"/>
      <c r="C146" s="19"/>
      <c r="D146" s="1113"/>
      <c r="E146" s="1119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1121"/>
      <c r="AW146" s="1121"/>
    </row>
    <row r="147" spans="1:49" x14ac:dyDescent="0.3">
      <c r="A147" s="19"/>
      <c r="B147" s="19"/>
      <c r="C147" s="19"/>
      <c r="D147" s="1118"/>
      <c r="E147" s="1120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1120"/>
      <c r="AW147" s="1120"/>
    </row>
    <row r="148" spans="1:49" x14ac:dyDescent="0.3">
      <c r="A148" s="19"/>
      <c r="B148" s="19"/>
      <c r="C148" s="19"/>
      <c r="D148" s="1118"/>
      <c r="E148" s="1120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1120"/>
      <c r="AW148" s="1120"/>
    </row>
    <row r="149" spans="1:49" x14ac:dyDescent="0.3">
      <c r="A149" s="19"/>
      <c r="B149" s="19"/>
      <c r="C149" s="19"/>
      <c r="D149" s="1118"/>
      <c r="E149" s="1120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1120"/>
      <c r="AW149" s="1120"/>
    </row>
    <row r="150" spans="1:49" x14ac:dyDescent="0.3">
      <c r="A150" s="19"/>
      <c r="B150" s="19"/>
      <c r="C150" s="19"/>
      <c r="D150" s="1118"/>
      <c r="E150" s="1120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1120"/>
      <c r="AW150" s="1120"/>
    </row>
    <row r="151" spans="1:49" x14ac:dyDescent="0.3">
      <c r="A151" s="19"/>
      <c r="B151" s="19"/>
      <c r="C151" s="19"/>
      <c r="D151" s="1118"/>
      <c r="E151" s="1120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1120"/>
      <c r="AW151" s="1120"/>
    </row>
    <row r="152" spans="1:49" x14ac:dyDescent="0.3">
      <c r="A152" s="19"/>
      <c r="B152" s="19"/>
      <c r="C152" s="19"/>
      <c r="D152" s="1118"/>
      <c r="E152" s="1120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1120"/>
      <c r="AW152" s="1120"/>
    </row>
    <row r="153" spans="1:49" x14ac:dyDescent="0.3">
      <c r="A153" s="19"/>
      <c r="B153" s="19"/>
      <c r="C153" s="19"/>
      <c r="D153" s="1118"/>
      <c r="E153" s="1118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1118"/>
      <c r="AW153" s="1118"/>
    </row>
    <row r="154" spans="1:49" x14ac:dyDescent="0.3">
      <c r="A154" s="19"/>
      <c r="B154" s="19"/>
      <c r="C154" s="19"/>
      <c r="D154" s="1113"/>
      <c r="E154" s="1119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1121"/>
      <c r="AW154" s="1121"/>
    </row>
    <row r="155" spans="1:49" x14ac:dyDescent="0.3">
      <c r="A155" s="19"/>
      <c r="B155" s="19"/>
      <c r="C155" s="19"/>
      <c r="D155" s="1118"/>
      <c r="E155" s="1120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1120"/>
      <c r="AW155" s="1120"/>
    </row>
    <row r="156" spans="1:49" x14ac:dyDescent="0.3">
      <c r="A156" s="19"/>
      <c r="B156" s="19"/>
      <c r="C156" s="19"/>
      <c r="D156" s="1118"/>
      <c r="E156" s="1120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1120"/>
      <c r="AW156" s="1120"/>
    </row>
    <row r="157" spans="1:49" x14ac:dyDescent="0.3">
      <c r="A157" s="19"/>
      <c r="B157" s="19"/>
      <c r="C157" s="19"/>
      <c r="D157" s="1118"/>
      <c r="E157" s="1120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1120"/>
      <c r="AW157" s="1120"/>
    </row>
    <row r="158" spans="1:49" x14ac:dyDescent="0.3">
      <c r="A158" s="19"/>
      <c r="B158" s="19"/>
      <c r="C158" s="19"/>
      <c r="D158" s="1118"/>
      <c r="E158" s="1120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1120"/>
      <c r="AW158" s="1120"/>
    </row>
    <row r="159" spans="1:49" x14ac:dyDescent="0.3">
      <c r="A159" s="19"/>
      <c r="B159" s="19"/>
      <c r="C159" s="19"/>
      <c r="D159" s="1118"/>
      <c r="E159" s="1120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1120"/>
      <c r="AW159" s="1120"/>
    </row>
    <row r="160" spans="1:49" x14ac:dyDescent="0.3">
      <c r="A160" s="19"/>
      <c r="B160" s="19"/>
      <c r="C160" s="19"/>
      <c r="D160" s="1118"/>
      <c r="E160" s="1120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1120"/>
      <c r="AW160" s="1120"/>
    </row>
    <row r="161" spans="1:49" x14ac:dyDescent="0.3">
      <c r="A161" s="19"/>
      <c r="B161" s="19"/>
      <c r="C161" s="19"/>
      <c r="D161" s="1118"/>
      <c r="E161" s="1118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1118"/>
      <c r="AW161" s="1118"/>
    </row>
    <row r="162" spans="1:49" x14ac:dyDescent="0.3">
      <c r="A162" s="19"/>
      <c r="B162" s="19"/>
      <c r="C162" s="19"/>
      <c r="D162" s="1113"/>
      <c r="E162" s="1119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1121"/>
      <c r="AW162" s="1121"/>
    </row>
    <row r="163" spans="1:49" x14ac:dyDescent="0.3">
      <c r="A163" s="19"/>
      <c r="B163" s="19"/>
      <c r="C163" s="19"/>
      <c r="D163" s="1118"/>
      <c r="E163" s="1120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1120"/>
      <c r="AW163" s="1120"/>
    </row>
    <row r="164" spans="1:49" x14ac:dyDescent="0.3">
      <c r="A164" s="19"/>
      <c r="B164" s="19"/>
      <c r="C164" s="19"/>
      <c r="D164" s="1118"/>
      <c r="E164" s="1120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1120"/>
      <c r="AW164" s="1120"/>
    </row>
    <row r="165" spans="1:49" x14ac:dyDescent="0.3">
      <c r="A165" s="19"/>
      <c r="B165" s="19"/>
      <c r="C165" s="19"/>
      <c r="D165" s="1118"/>
      <c r="E165" s="1120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1120"/>
      <c r="AW165" s="1120"/>
    </row>
    <row r="166" spans="1:49" x14ac:dyDescent="0.3">
      <c r="A166" s="19"/>
      <c r="B166" s="19"/>
      <c r="C166" s="19"/>
      <c r="D166" s="1118"/>
      <c r="E166" s="1120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1120"/>
      <c r="AW166" s="1120"/>
    </row>
    <row r="167" spans="1:49" x14ac:dyDescent="0.3">
      <c r="A167" s="19"/>
      <c r="B167" s="19"/>
      <c r="C167" s="19"/>
      <c r="D167" s="1118"/>
      <c r="E167" s="1120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1120"/>
      <c r="AW167" s="1120"/>
    </row>
    <row r="168" spans="1:49" x14ac:dyDescent="0.3">
      <c r="A168" s="19"/>
      <c r="B168" s="19"/>
      <c r="C168" s="19"/>
      <c r="D168" s="1118"/>
      <c r="E168" s="1120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1120"/>
      <c r="AW168" s="1120"/>
    </row>
    <row r="169" spans="1:49" x14ac:dyDescent="0.3">
      <c r="A169" s="19"/>
      <c r="B169" s="19"/>
      <c r="C169" s="19"/>
      <c r="D169" s="1118"/>
      <c r="E169" s="1118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1118"/>
      <c r="AW169" s="1118"/>
    </row>
    <row r="170" spans="1:49" x14ac:dyDescent="0.3">
      <c r="A170" s="19"/>
      <c r="B170" s="19"/>
      <c r="C170" s="19"/>
      <c r="D170" s="1113"/>
      <c r="E170" s="1119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1121"/>
      <c r="AW170" s="1121"/>
    </row>
    <row r="171" spans="1:49" x14ac:dyDescent="0.3">
      <c r="A171" s="19"/>
      <c r="B171" s="19"/>
      <c r="C171" s="19"/>
      <c r="D171" s="1118"/>
      <c r="E171" s="1120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1120"/>
      <c r="AW171" s="1120"/>
    </row>
    <row r="172" spans="1:49" x14ac:dyDescent="0.3">
      <c r="A172" s="19"/>
      <c r="B172" s="19"/>
      <c r="C172" s="19"/>
      <c r="D172" s="1118"/>
      <c r="E172" s="1120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1120"/>
      <c r="AW172" s="1120"/>
    </row>
    <row r="173" spans="1:49" x14ac:dyDescent="0.3">
      <c r="A173" s="19"/>
      <c r="B173" s="19"/>
      <c r="C173" s="19"/>
      <c r="D173" s="1118"/>
      <c r="E173" s="1120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1120"/>
      <c r="AW173" s="1120"/>
    </row>
    <row r="174" spans="1:49" x14ac:dyDescent="0.3">
      <c r="A174" s="19"/>
      <c r="B174" s="19"/>
      <c r="C174" s="19"/>
      <c r="D174" s="1118"/>
      <c r="E174" s="1120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1120"/>
      <c r="AW174" s="1120"/>
    </row>
    <row r="175" spans="1:49" x14ac:dyDescent="0.3">
      <c r="A175" s="19"/>
      <c r="B175" s="19"/>
      <c r="C175" s="19"/>
      <c r="D175" s="1118"/>
      <c r="E175" s="1120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1120"/>
      <c r="AW175" s="1120"/>
    </row>
    <row r="176" spans="1:49" x14ac:dyDescent="0.3">
      <c r="A176" s="19"/>
      <c r="B176" s="19"/>
      <c r="C176" s="19"/>
      <c r="D176" s="1118"/>
      <c r="E176" s="1120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1120"/>
      <c r="AW176" s="1120"/>
    </row>
    <row r="177" spans="1:49" x14ac:dyDescent="0.3">
      <c r="A177" s="19"/>
      <c r="B177" s="19"/>
      <c r="C177" s="19"/>
      <c r="D177" s="1118"/>
      <c r="E177" s="1118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1118"/>
      <c r="AW177" s="1118"/>
    </row>
    <row r="178" spans="1:49" x14ac:dyDescent="0.3">
      <c r="A178" s="19"/>
      <c r="B178" s="19"/>
      <c r="C178" s="19"/>
      <c r="D178" s="1113"/>
      <c r="E178" s="1119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1121"/>
      <c r="AW178" s="1121"/>
    </row>
    <row r="179" spans="1:49" x14ac:dyDescent="0.3">
      <c r="A179" s="19"/>
      <c r="B179" s="19"/>
      <c r="C179" s="19"/>
      <c r="D179" s="1118"/>
      <c r="E179" s="1120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1120"/>
      <c r="AW179" s="1120"/>
    </row>
    <row r="180" spans="1:49" x14ac:dyDescent="0.3">
      <c r="A180" s="19"/>
      <c r="B180" s="19"/>
      <c r="C180" s="19"/>
      <c r="D180" s="1118"/>
      <c r="E180" s="1120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1120"/>
      <c r="AW180" s="1120"/>
    </row>
    <row r="181" spans="1:49" x14ac:dyDescent="0.3">
      <c r="A181" s="19"/>
      <c r="B181" s="19"/>
      <c r="C181" s="19"/>
      <c r="D181" s="1118"/>
      <c r="E181" s="1120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1120"/>
      <c r="AW181" s="1120"/>
    </row>
    <row r="182" spans="1:49" x14ac:dyDescent="0.3">
      <c r="A182" s="19"/>
      <c r="B182" s="19"/>
      <c r="C182" s="19"/>
      <c r="D182" s="1118"/>
      <c r="E182" s="1120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1120"/>
      <c r="AW182" s="1120"/>
    </row>
    <row r="183" spans="1:49" x14ac:dyDescent="0.3">
      <c r="A183" s="19"/>
      <c r="B183" s="19"/>
      <c r="C183" s="19"/>
      <c r="D183" s="1118"/>
      <c r="E183" s="1120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1120"/>
      <c r="AW183" s="1120"/>
    </row>
    <row r="184" spans="1:49" x14ac:dyDescent="0.3">
      <c r="A184" s="19"/>
      <c r="B184" s="19"/>
      <c r="C184" s="19"/>
      <c r="D184" s="1118"/>
      <c r="E184" s="1120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1120"/>
      <c r="AW184" s="1120"/>
    </row>
    <row r="185" spans="1:49" x14ac:dyDescent="0.3">
      <c r="A185" s="19"/>
      <c r="B185" s="19"/>
      <c r="C185" s="19"/>
      <c r="D185" s="1118"/>
      <c r="E185" s="1118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1118"/>
      <c r="AW185" s="1118"/>
    </row>
    <row r="186" spans="1:49" x14ac:dyDescent="0.3">
      <c r="A186" s="19"/>
      <c r="B186" s="19"/>
      <c r="C186" s="19"/>
      <c r="D186" s="1113"/>
      <c r="E186" s="1119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1121"/>
      <c r="AW186" s="1121"/>
    </row>
    <row r="187" spans="1:49" x14ac:dyDescent="0.3">
      <c r="A187" s="19"/>
      <c r="B187" s="19"/>
      <c r="C187" s="19"/>
      <c r="D187" s="1118"/>
      <c r="E187" s="1120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1120"/>
      <c r="AW187" s="1120"/>
    </row>
    <row r="188" spans="1:49" x14ac:dyDescent="0.3">
      <c r="A188" s="19"/>
      <c r="B188" s="19"/>
      <c r="C188" s="19"/>
      <c r="D188" s="1118"/>
      <c r="E188" s="1120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1120"/>
      <c r="AW188" s="1120"/>
    </row>
    <row r="189" spans="1:49" x14ac:dyDescent="0.3">
      <c r="A189" s="19"/>
      <c r="B189" s="19"/>
      <c r="C189" s="19"/>
      <c r="D189" s="1118"/>
      <c r="E189" s="1120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1120"/>
      <c r="AW189" s="1120"/>
    </row>
    <row r="190" spans="1:49" x14ac:dyDescent="0.3">
      <c r="A190" s="19"/>
      <c r="B190" s="19"/>
      <c r="C190" s="19"/>
      <c r="D190" s="1118"/>
      <c r="E190" s="1120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1120"/>
      <c r="AW190" s="1120"/>
    </row>
    <row r="191" spans="1:49" x14ac:dyDescent="0.3">
      <c r="A191" s="19"/>
      <c r="B191" s="19"/>
      <c r="C191" s="19"/>
      <c r="D191" s="1118"/>
      <c r="E191" s="1120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1120"/>
      <c r="AW191" s="1120"/>
    </row>
    <row r="192" spans="1:49" x14ac:dyDescent="0.3">
      <c r="A192" s="19"/>
      <c r="B192" s="19"/>
      <c r="C192" s="19"/>
      <c r="D192" s="1118"/>
      <c r="E192" s="1120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1120"/>
      <c r="AW192" s="1120"/>
    </row>
    <row r="193" spans="1:49" x14ac:dyDescent="0.3">
      <c r="A193" s="19"/>
      <c r="B193" s="19"/>
      <c r="C193" s="19"/>
      <c r="D193" s="1118"/>
      <c r="E193" s="1118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1118"/>
      <c r="AW193" s="1118"/>
    </row>
    <row r="194" spans="1:49" x14ac:dyDescent="0.3">
      <c r="A194" s="19"/>
      <c r="B194" s="19"/>
      <c r="C194" s="19"/>
      <c r="D194" s="1113"/>
      <c r="E194" s="1119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1121"/>
      <c r="AW194" s="1121"/>
    </row>
    <row r="195" spans="1:49" x14ac:dyDescent="0.3">
      <c r="A195" s="19"/>
      <c r="B195" s="19"/>
      <c r="C195" s="19"/>
      <c r="D195" s="1118"/>
      <c r="E195" s="1120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1120"/>
      <c r="AW195" s="1120"/>
    </row>
    <row r="196" spans="1:49" x14ac:dyDescent="0.3">
      <c r="A196" s="19"/>
      <c r="B196" s="19"/>
      <c r="C196" s="19"/>
      <c r="D196" s="1118"/>
      <c r="E196" s="1120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1120"/>
      <c r="AW196" s="1120"/>
    </row>
    <row r="197" spans="1:49" x14ac:dyDescent="0.3">
      <c r="A197" s="19"/>
      <c r="B197" s="19"/>
      <c r="C197" s="19"/>
      <c r="D197" s="1118"/>
      <c r="E197" s="1120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1120"/>
      <c r="AW197" s="1120"/>
    </row>
    <row r="198" spans="1:49" x14ac:dyDescent="0.3">
      <c r="A198" s="19"/>
      <c r="B198" s="19"/>
      <c r="C198" s="19"/>
      <c r="D198" s="1118"/>
      <c r="E198" s="1120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1120"/>
      <c r="AW198" s="1120"/>
    </row>
    <row r="199" spans="1:49" x14ac:dyDescent="0.3">
      <c r="A199" s="19"/>
      <c r="B199" s="19"/>
      <c r="C199" s="19"/>
      <c r="D199" s="1118"/>
      <c r="E199" s="1120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1120"/>
      <c r="AW199" s="1120"/>
    </row>
    <row r="200" spans="1:49" x14ac:dyDescent="0.3">
      <c r="A200" s="19"/>
      <c r="B200" s="19"/>
      <c r="C200" s="19"/>
      <c r="D200" s="1118"/>
      <c r="E200" s="1120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1120"/>
      <c r="AW200" s="1120"/>
    </row>
    <row r="201" spans="1:49" x14ac:dyDescent="0.3">
      <c r="A201" s="19"/>
      <c r="B201" s="19"/>
      <c r="C201" s="19"/>
      <c r="D201" s="1118"/>
      <c r="E201" s="1118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1118"/>
      <c r="AW201" s="1118"/>
    </row>
    <row r="202" spans="1:49" x14ac:dyDescent="0.3">
      <c r="A202" s="19"/>
      <c r="B202" s="19"/>
      <c r="C202" s="19"/>
      <c r="D202" s="1113"/>
      <c r="E202" s="1119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1121"/>
      <c r="AW202" s="1121"/>
    </row>
    <row r="203" spans="1:49" x14ac:dyDescent="0.3">
      <c r="A203" s="19"/>
      <c r="B203" s="19"/>
      <c r="C203" s="19"/>
      <c r="D203" s="1118"/>
      <c r="E203" s="1120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1120"/>
      <c r="AW203" s="1120"/>
    </row>
    <row r="204" spans="1:49" x14ac:dyDescent="0.3">
      <c r="A204" s="19"/>
      <c r="B204" s="19"/>
      <c r="C204" s="19"/>
      <c r="D204" s="1118"/>
      <c r="E204" s="1120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1120"/>
      <c r="AW204" s="1120"/>
    </row>
    <row r="205" spans="1:49" x14ac:dyDescent="0.3">
      <c r="A205" s="19"/>
      <c r="B205" s="19"/>
      <c r="C205" s="19"/>
      <c r="D205" s="1118"/>
      <c r="E205" s="1120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1120"/>
      <c r="AW205" s="1120"/>
    </row>
    <row r="206" spans="1:49" x14ac:dyDescent="0.3">
      <c r="A206" s="19"/>
      <c r="B206" s="19"/>
      <c r="C206" s="19"/>
      <c r="D206" s="1118"/>
      <c r="E206" s="1120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1120"/>
      <c r="AW206" s="1120"/>
    </row>
    <row r="207" spans="1:49" x14ac:dyDescent="0.3">
      <c r="A207" s="19"/>
      <c r="B207" s="19"/>
      <c r="C207" s="19"/>
      <c r="D207" s="1118"/>
      <c r="E207" s="1120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1120"/>
      <c r="AW207" s="1120"/>
    </row>
    <row r="208" spans="1:49" x14ac:dyDescent="0.3">
      <c r="A208" s="19"/>
      <c r="B208" s="19"/>
      <c r="C208" s="19"/>
      <c r="D208" s="1118"/>
      <c r="E208" s="1120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1120"/>
      <c r="AW208" s="1120"/>
    </row>
    <row r="209" spans="1:49" x14ac:dyDescent="0.3">
      <c r="A209" s="19"/>
      <c r="B209" s="19"/>
      <c r="C209" s="19"/>
      <c r="D209" s="1118"/>
      <c r="E209" s="1118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1118"/>
      <c r="AW209" s="1118"/>
    </row>
    <row r="210" spans="1:49" x14ac:dyDescent="0.3">
      <c r="A210" s="19"/>
      <c r="B210" s="19"/>
      <c r="C210" s="19"/>
      <c r="D210" s="1113"/>
      <c r="E210" s="1119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1121"/>
      <c r="AW210" s="1121"/>
    </row>
    <row r="211" spans="1:49" x14ac:dyDescent="0.3">
      <c r="A211" s="19"/>
      <c r="B211" s="19"/>
      <c r="C211" s="19"/>
      <c r="D211" s="1118"/>
      <c r="E211" s="1120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1120"/>
      <c r="AW211" s="1120"/>
    </row>
    <row r="212" spans="1:49" x14ac:dyDescent="0.3">
      <c r="A212" s="19"/>
      <c r="B212" s="19"/>
      <c r="C212" s="19"/>
      <c r="D212" s="1118"/>
      <c r="E212" s="1120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1120"/>
      <c r="AW212" s="1120"/>
    </row>
    <row r="213" spans="1:49" x14ac:dyDescent="0.3">
      <c r="A213" s="19"/>
      <c r="B213" s="19"/>
      <c r="C213" s="19"/>
      <c r="D213" s="1118"/>
      <c r="E213" s="1120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1120"/>
      <c r="AW213" s="1120"/>
    </row>
    <row r="214" spans="1:49" x14ac:dyDescent="0.3">
      <c r="A214" s="19"/>
      <c r="B214" s="19"/>
      <c r="C214" s="19"/>
      <c r="D214" s="1118"/>
      <c r="E214" s="1120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1120"/>
      <c r="AW214" s="1120"/>
    </row>
    <row r="215" spans="1:49" x14ac:dyDescent="0.3">
      <c r="A215" s="19"/>
      <c r="B215" s="19"/>
      <c r="C215" s="19"/>
      <c r="D215" s="1118"/>
      <c r="E215" s="1120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1120"/>
      <c r="AW215" s="1120"/>
    </row>
    <row r="216" spans="1:49" x14ac:dyDescent="0.3">
      <c r="A216" s="19"/>
      <c r="B216" s="19"/>
      <c r="C216" s="19"/>
      <c r="D216" s="1118"/>
      <c r="E216" s="1120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1120"/>
      <c r="AW216" s="1120"/>
    </row>
    <row r="217" spans="1:49" x14ac:dyDescent="0.3">
      <c r="A217" s="19"/>
      <c r="B217" s="19"/>
      <c r="C217" s="19"/>
      <c r="D217" s="1118"/>
      <c r="E217" s="1118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1118"/>
      <c r="AW217" s="1118"/>
    </row>
    <row r="218" spans="1:49" x14ac:dyDescent="0.3">
      <c r="A218" s="19"/>
      <c r="B218" s="19"/>
      <c r="C218" s="19"/>
      <c r="D218" s="1113"/>
      <c r="E218" s="1119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1121"/>
      <c r="AW218" s="1121"/>
    </row>
    <row r="219" spans="1:49" x14ac:dyDescent="0.3">
      <c r="A219" s="19"/>
      <c r="B219" s="19"/>
      <c r="C219" s="19"/>
      <c r="D219" s="1118"/>
      <c r="E219" s="1120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1120"/>
      <c r="AW219" s="1120"/>
    </row>
    <row r="220" spans="1:49" x14ac:dyDescent="0.3">
      <c r="A220" s="19"/>
      <c r="B220" s="19"/>
      <c r="C220" s="19"/>
      <c r="D220" s="1118"/>
      <c r="E220" s="1120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1120"/>
      <c r="AW220" s="1120"/>
    </row>
    <row r="221" spans="1:49" x14ac:dyDescent="0.3">
      <c r="A221" s="19"/>
      <c r="B221" s="19"/>
      <c r="C221" s="19"/>
      <c r="D221" s="1118"/>
      <c r="E221" s="1120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1120"/>
      <c r="AW221" s="1120"/>
    </row>
    <row r="222" spans="1:49" x14ac:dyDescent="0.3">
      <c r="A222" s="19"/>
      <c r="B222" s="19"/>
      <c r="C222" s="19"/>
      <c r="D222" s="1118"/>
      <c r="E222" s="1120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1120"/>
      <c r="AW222" s="1120"/>
    </row>
    <row r="223" spans="1:49" x14ac:dyDescent="0.3">
      <c r="A223" s="19"/>
      <c r="B223" s="19"/>
      <c r="C223" s="19"/>
      <c r="D223" s="1118"/>
      <c r="E223" s="1120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1120"/>
      <c r="AW223" s="1120"/>
    </row>
    <row r="224" spans="1:49" x14ac:dyDescent="0.3">
      <c r="A224" s="19"/>
      <c r="B224" s="19"/>
      <c r="C224" s="19"/>
      <c r="D224" s="1118"/>
      <c r="E224" s="1120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1120"/>
      <c r="AW224" s="1120"/>
    </row>
    <row r="225" spans="1:49" x14ac:dyDescent="0.3">
      <c r="A225" s="19"/>
      <c r="B225" s="19"/>
      <c r="C225" s="19"/>
      <c r="D225" s="1118"/>
      <c r="E225" s="1118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1118"/>
      <c r="AW225" s="1118"/>
    </row>
    <row r="226" spans="1:49" x14ac:dyDescent="0.3">
      <c r="A226" s="19"/>
      <c r="B226" s="19"/>
      <c r="C226" s="19"/>
      <c r="D226" s="1113"/>
      <c r="E226" s="1119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1121"/>
      <c r="AW226" s="1121"/>
    </row>
    <row r="227" spans="1:49" x14ac:dyDescent="0.3">
      <c r="A227" s="19"/>
      <c r="B227" s="19"/>
      <c r="C227" s="19"/>
      <c r="D227" s="1118"/>
      <c r="E227" s="1120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1120"/>
      <c r="AW227" s="1120"/>
    </row>
    <row r="228" spans="1:49" x14ac:dyDescent="0.3">
      <c r="A228" s="19"/>
      <c r="B228" s="19"/>
      <c r="C228" s="19"/>
      <c r="D228" s="1118"/>
      <c r="E228" s="1120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1120"/>
      <c r="AW228" s="1120"/>
    </row>
    <row r="229" spans="1:49" x14ac:dyDescent="0.3">
      <c r="A229" s="19"/>
      <c r="B229" s="19"/>
      <c r="C229" s="19"/>
      <c r="D229" s="1118"/>
      <c r="E229" s="1120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1120"/>
      <c r="AW229" s="1120"/>
    </row>
    <row r="230" spans="1:49" x14ac:dyDescent="0.3">
      <c r="A230" s="19"/>
      <c r="B230" s="19"/>
      <c r="C230" s="19"/>
      <c r="D230" s="1118"/>
      <c r="E230" s="1120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1120"/>
      <c r="AW230" s="1120"/>
    </row>
    <row r="231" spans="1:49" x14ac:dyDescent="0.3">
      <c r="A231" s="19"/>
      <c r="B231" s="19"/>
      <c r="C231" s="19"/>
      <c r="D231" s="1118"/>
      <c r="E231" s="1120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1120"/>
      <c r="AW231" s="1120"/>
    </row>
    <row r="232" spans="1:49" x14ac:dyDescent="0.3">
      <c r="A232" s="19"/>
      <c r="B232" s="19"/>
      <c r="C232" s="19"/>
      <c r="D232" s="1118"/>
      <c r="E232" s="1120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1120"/>
      <c r="AW232" s="1120"/>
    </row>
    <row r="233" spans="1:49" x14ac:dyDescent="0.3">
      <c r="A233" s="19"/>
      <c r="B233" s="19"/>
      <c r="C233" s="19"/>
      <c r="D233" s="1118"/>
      <c r="E233" s="1118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1118"/>
      <c r="AW233" s="1118"/>
    </row>
    <row r="234" spans="1:49" x14ac:dyDescent="0.3">
      <c r="A234" s="19"/>
      <c r="B234" s="19"/>
      <c r="C234" s="19"/>
      <c r="D234" s="1113"/>
      <c r="E234" s="1119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1121"/>
      <c r="AW234" s="1121"/>
    </row>
    <row r="235" spans="1:49" x14ac:dyDescent="0.3">
      <c r="A235" s="19"/>
      <c r="B235" s="19"/>
      <c r="C235" s="19"/>
      <c r="D235" s="1118"/>
      <c r="E235" s="1120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1120"/>
      <c r="AW235" s="1120"/>
    </row>
    <row r="236" spans="1:49" x14ac:dyDescent="0.3">
      <c r="A236" s="19"/>
      <c r="B236" s="19"/>
      <c r="C236" s="19"/>
      <c r="D236" s="1118"/>
      <c r="E236" s="1120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1120"/>
      <c r="AW236" s="1120"/>
    </row>
    <row r="237" spans="1:49" x14ac:dyDescent="0.3">
      <c r="A237" s="19"/>
      <c r="B237" s="19"/>
      <c r="C237" s="19"/>
      <c r="D237" s="1118"/>
      <c r="E237" s="1120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1120"/>
      <c r="AW237" s="1120"/>
    </row>
    <row r="238" spans="1:49" x14ac:dyDescent="0.3">
      <c r="A238" s="19"/>
      <c r="B238" s="19"/>
      <c r="C238" s="19"/>
      <c r="D238" s="1118"/>
      <c r="E238" s="1120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1120"/>
      <c r="AW238" s="1120"/>
    </row>
    <row r="239" spans="1:49" x14ac:dyDescent="0.3">
      <c r="A239" s="19"/>
      <c r="B239" s="19"/>
      <c r="C239" s="19"/>
      <c r="D239" s="1118"/>
      <c r="E239" s="1120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1120"/>
      <c r="AW239" s="1120"/>
    </row>
    <row r="240" spans="1:49" x14ac:dyDescent="0.3">
      <c r="A240" s="19"/>
      <c r="B240" s="19"/>
      <c r="C240" s="19"/>
      <c r="D240" s="1118"/>
      <c r="E240" s="1120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1120"/>
      <c r="AW240" s="1120"/>
    </row>
    <row r="241" spans="1:49" x14ac:dyDescent="0.3">
      <c r="A241" s="19"/>
      <c r="B241" s="19"/>
      <c r="C241" s="19"/>
      <c r="D241" s="1118"/>
      <c r="E241" s="1118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1118"/>
      <c r="AW241" s="1118"/>
    </row>
    <row r="242" spans="1:49" x14ac:dyDescent="0.3">
      <c r="A242" s="19"/>
      <c r="B242" s="19"/>
      <c r="C242" s="19"/>
      <c r="D242" s="1113"/>
      <c r="E242" s="1119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1121"/>
      <c r="AW242" s="1121"/>
    </row>
    <row r="243" spans="1:49" x14ac:dyDescent="0.3">
      <c r="A243" s="19"/>
      <c r="B243" s="19"/>
      <c r="C243" s="19"/>
      <c r="D243" s="1118"/>
      <c r="E243" s="1120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1120"/>
      <c r="AW243" s="1120"/>
    </row>
    <row r="244" spans="1:49" x14ac:dyDescent="0.3">
      <c r="A244" s="19"/>
      <c r="B244" s="19"/>
      <c r="C244" s="19"/>
      <c r="D244" s="1118"/>
      <c r="E244" s="1120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1120"/>
      <c r="AW244" s="1120"/>
    </row>
    <row r="245" spans="1:49" x14ac:dyDescent="0.3">
      <c r="A245" s="19"/>
      <c r="B245" s="19"/>
      <c r="C245" s="19"/>
      <c r="D245" s="1118"/>
      <c r="E245" s="1120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1120"/>
      <c r="AW245" s="1120"/>
    </row>
    <row r="246" spans="1:49" x14ac:dyDescent="0.3">
      <c r="A246" s="19"/>
      <c r="B246" s="19"/>
      <c r="C246" s="19"/>
      <c r="D246" s="1118"/>
      <c r="E246" s="1120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1120"/>
      <c r="AW246" s="1120"/>
    </row>
    <row r="247" spans="1:49" x14ac:dyDescent="0.3">
      <c r="A247" s="19"/>
      <c r="B247" s="19"/>
      <c r="C247" s="19"/>
      <c r="D247" s="1118"/>
      <c r="E247" s="1120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1120"/>
      <c r="AW247" s="1120"/>
    </row>
    <row r="248" spans="1:49" x14ac:dyDescent="0.3">
      <c r="A248" s="19"/>
      <c r="B248" s="19"/>
      <c r="C248" s="19"/>
      <c r="D248" s="1118"/>
      <c r="E248" s="1120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1120"/>
      <c r="AW248" s="1120"/>
    </row>
    <row r="249" spans="1:49" x14ac:dyDescent="0.3">
      <c r="A249" s="19"/>
      <c r="B249" s="19"/>
      <c r="C249" s="19"/>
      <c r="D249" s="1118"/>
      <c r="E249" s="1118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1118"/>
      <c r="AW249" s="1118"/>
    </row>
    <row r="250" spans="1:49" x14ac:dyDescent="0.3">
      <c r="A250" s="19"/>
      <c r="B250" s="19"/>
      <c r="C250" s="19"/>
      <c r="D250" s="1113"/>
      <c r="E250" s="1119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1121"/>
      <c r="AW250" s="1121"/>
    </row>
    <row r="251" spans="1:49" x14ac:dyDescent="0.3">
      <c r="A251" s="19"/>
      <c r="B251" s="19"/>
      <c r="C251" s="19"/>
      <c r="D251" s="1118"/>
      <c r="E251" s="1120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1120"/>
      <c r="AW251" s="1120"/>
    </row>
    <row r="252" spans="1:49" x14ac:dyDescent="0.3">
      <c r="A252" s="19"/>
      <c r="B252" s="19"/>
      <c r="C252" s="19"/>
      <c r="D252" s="1118"/>
      <c r="E252" s="1120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1120"/>
      <c r="AW252" s="1120"/>
    </row>
    <row r="253" spans="1:49" x14ac:dyDescent="0.3">
      <c r="A253" s="19"/>
      <c r="B253" s="19"/>
      <c r="C253" s="19"/>
      <c r="D253" s="1118"/>
      <c r="E253" s="1120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1120"/>
      <c r="AW253" s="1120"/>
    </row>
    <row r="254" spans="1:49" x14ac:dyDescent="0.3">
      <c r="A254" s="19"/>
      <c r="B254" s="19"/>
      <c r="C254" s="19"/>
      <c r="D254" s="1118"/>
      <c r="E254" s="1120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1120"/>
      <c r="AW254" s="1120"/>
    </row>
    <row r="255" spans="1:49" x14ac:dyDescent="0.3">
      <c r="A255" s="19"/>
      <c r="B255" s="19"/>
      <c r="C255" s="19"/>
      <c r="D255" s="1118"/>
      <c r="E255" s="1120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1120"/>
      <c r="AW255" s="1120"/>
    </row>
    <row r="256" spans="1:49" x14ac:dyDescent="0.3">
      <c r="A256" s="19"/>
      <c r="B256" s="19"/>
      <c r="C256" s="19"/>
      <c r="D256" s="1118"/>
      <c r="E256" s="1120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1120"/>
      <c r="AW256" s="1120"/>
    </row>
    <row r="257" spans="1:49" x14ac:dyDescent="0.3">
      <c r="A257" s="19"/>
      <c r="B257" s="19"/>
      <c r="C257" s="19"/>
      <c r="D257" s="1118"/>
      <c r="E257" s="1118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1118"/>
      <c r="AW257" s="1118"/>
    </row>
    <row r="258" spans="1:49" x14ac:dyDescent="0.3">
      <c r="A258" s="19"/>
      <c r="B258" s="19"/>
      <c r="C258" s="19"/>
      <c r="D258" s="1113"/>
      <c r="E258" s="1119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1121"/>
      <c r="AW258" s="1121"/>
    </row>
    <row r="259" spans="1:49" x14ac:dyDescent="0.3">
      <c r="A259" s="19"/>
      <c r="B259" s="19"/>
      <c r="C259" s="19"/>
      <c r="D259" s="1118"/>
      <c r="E259" s="1120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1120"/>
      <c r="AW259" s="1120"/>
    </row>
    <row r="260" spans="1:49" x14ac:dyDescent="0.3">
      <c r="A260" s="19"/>
      <c r="B260" s="19"/>
      <c r="C260" s="19"/>
      <c r="D260" s="1118"/>
      <c r="E260" s="1120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1120"/>
      <c r="AW260" s="1120"/>
    </row>
    <row r="261" spans="1:49" x14ac:dyDescent="0.3">
      <c r="A261" s="19"/>
      <c r="B261" s="19"/>
      <c r="C261" s="19"/>
      <c r="D261" s="1118"/>
      <c r="E261" s="1120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1120"/>
      <c r="AW261" s="1120"/>
    </row>
    <row r="262" spans="1:49" x14ac:dyDescent="0.3">
      <c r="A262" s="19"/>
      <c r="B262" s="19"/>
      <c r="C262" s="19"/>
      <c r="D262" s="1118"/>
      <c r="E262" s="1120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1120"/>
      <c r="AW262" s="1120"/>
    </row>
    <row r="263" spans="1:49" x14ac:dyDescent="0.3">
      <c r="A263" s="19"/>
      <c r="B263" s="19"/>
      <c r="C263" s="19"/>
      <c r="D263" s="1118"/>
      <c r="E263" s="1120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1120"/>
      <c r="AW263" s="1120"/>
    </row>
    <row r="264" spans="1:49" x14ac:dyDescent="0.3">
      <c r="A264" s="19"/>
      <c r="B264" s="19"/>
      <c r="C264" s="19"/>
      <c r="D264" s="1118"/>
      <c r="E264" s="1120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1120"/>
      <c r="AW264" s="1120"/>
    </row>
    <row r="265" spans="1:49" x14ac:dyDescent="0.3">
      <c r="A265" s="19"/>
      <c r="B265" s="19"/>
      <c r="C265" s="19"/>
      <c r="D265" s="1118"/>
      <c r="E265" s="1118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1118"/>
      <c r="AW265" s="1118"/>
    </row>
    <row r="266" spans="1:49" x14ac:dyDescent="0.3">
      <c r="A266" s="19"/>
      <c r="B266" s="19"/>
      <c r="C266" s="19"/>
      <c r="D266" s="1113"/>
      <c r="E266" s="1119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1121"/>
      <c r="AW266" s="1121"/>
    </row>
    <row r="267" spans="1:49" x14ac:dyDescent="0.3">
      <c r="A267" s="19"/>
      <c r="B267" s="19"/>
      <c r="C267" s="19"/>
      <c r="D267" s="1118"/>
      <c r="E267" s="1120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1120"/>
      <c r="AW267" s="1120"/>
    </row>
    <row r="268" spans="1:49" x14ac:dyDescent="0.3">
      <c r="A268" s="19"/>
      <c r="B268" s="19"/>
      <c r="C268" s="19"/>
      <c r="D268" s="1118"/>
      <c r="E268" s="1120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1120"/>
      <c r="AW268" s="1120"/>
    </row>
    <row r="269" spans="1:49" x14ac:dyDescent="0.3">
      <c r="A269" s="19"/>
      <c r="B269" s="19"/>
      <c r="C269" s="19"/>
      <c r="D269" s="1118"/>
      <c r="E269" s="1120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1120"/>
      <c r="AW269" s="1120"/>
    </row>
    <row r="270" spans="1:49" x14ac:dyDescent="0.3">
      <c r="A270" s="19"/>
      <c r="B270" s="19"/>
      <c r="C270" s="19"/>
      <c r="D270" s="1118"/>
      <c r="E270" s="1120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1120"/>
      <c r="AW270" s="1120"/>
    </row>
    <row r="271" spans="1:49" x14ac:dyDescent="0.3">
      <c r="A271" s="19"/>
      <c r="B271" s="19"/>
      <c r="C271" s="19"/>
      <c r="D271" s="1118"/>
      <c r="E271" s="1120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1120"/>
      <c r="AW271" s="1120"/>
    </row>
    <row r="272" spans="1:49" x14ac:dyDescent="0.3">
      <c r="A272" s="19"/>
      <c r="B272" s="19"/>
      <c r="C272" s="19"/>
      <c r="D272" s="1118"/>
      <c r="E272" s="1120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1120"/>
      <c r="AW272" s="1120"/>
    </row>
    <row r="273" spans="1:49" x14ac:dyDescent="0.3">
      <c r="A273" s="19"/>
      <c r="B273" s="19"/>
      <c r="C273" s="19"/>
      <c r="D273" s="1118"/>
      <c r="E273" s="1118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1118"/>
      <c r="AW273" s="1118"/>
    </row>
    <row r="274" spans="1:49" x14ac:dyDescent="0.3">
      <c r="A274" s="19"/>
      <c r="B274" s="19"/>
      <c r="C274" s="19"/>
      <c r="D274" s="1113"/>
      <c r="E274" s="1119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1121"/>
      <c r="AW274" s="1121"/>
    </row>
    <row r="275" spans="1:49" x14ac:dyDescent="0.3">
      <c r="A275" s="19"/>
      <c r="B275" s="19"/>
      <c r="C275" s="19"/>
      <c r="D275" s="1118"/>
      <c r="E275" s="1120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1120"/>
      <c r="AW275" s="1120"/>
    </row>
    <row r="276" spans="1:49" x14ac:dyDescent="0.3">
      <c r="A276" s="19"/>
      <c r="B276" s="19"/>
      <c r="C276" s="19"/>
      <c r="D276" s="1118"/>
      <c r="E276" s="1120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1120"/>
      <c r="AW276" s="1120"/>
    </row>
    <row r="277" spans="1:49" x14ac:dyDescent="0.3">
      <c r="A277" s="19"/>
      <c r="B277" s="19"/>
      <c r="C277" s="19"/>
      <c r="D277" s="1118"/>
      <c r="E277" s="1120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1120"/>
      <c r="AW277" s="1120"/>
    </row>
    <row r="278" spans="1:49" x14ac:dyDescent="0.3">
      <c r="A278" s="19"/>
      <c r="B278" s="19"/>
      <c r="C278" s="19"/>
      <c r="D278" s="1118"/>
      <c r="E278" s="1120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1120"/>
      <c r="AW278" s="1120"/>
    </row>
    <row r="279" spans="1:49" x14ac:dyDescent="0.3">
      <c r="A279" s="19"/>
      <c r="B279" s="19"/>
      <c r="C279" s="19"/>
      <c r="D279" s="1118"/>
      <c r="E279" s="1120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1120"/>
      <c r="AW279" s="1120"/>
    </row>
    <row r="280" spans="1:49" x14ac:dyDescent="0.3">
      <c r="A280" s="19"/>
      <c r="B280" s="19"/>
      <c r="C280" s="19"/>
      <c r="D280" s="1118"/>
      <c r="E280" s="1120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1120"/>
      <c r="AW280" s="1120"/>
    </row>
    <row r="281" spans="1:49" x14ac:dyDescent="0.3">
      <c r="A281" s="19"/>
      <c r="B281" s="19"/>
      <c r="C281" s="19"/>
      <c r="D281" s="1118"/>
      <c r="E281" s="1118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1118"/>
      <c r="AW281" s="1118"/>
    </row>
    <row r="282" spans="1:49" x14ac:dyDescent="0.3">
      <c r="A282" s="19"/>
      <c r="B282" s="19"/>
      <c r="C282" s="19"/>
      <c r="D282" s="1113"/>
      <c r="E282" s="1119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1121"/>
      <c r="AW282" s="1121"/>
    </row>
    <row r="283" spans="1:49" x14ac:dyDescent="0.3">
      <c r="A283" s="19"/>
      <c r="B283" s="19"/>
      <c r="C283" s="19"/>
      <c r="D283" s="1118"/>
      <c r="E283" s="1120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1120"/>
      <c r="AW283" s="1120"/>
    </row>
    <row r="284" spans="1:49" x14ac:dyDescent="0.3">
      <c r="A284" s="19"/>
      <c r="B284" s="19"/>
      <c r="C284" s="19"/>
      <c r="D284" s="1118"/>
      <c r="E284" s="1120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1120"/>
      <c r="AW284" s="1120"/>
    </row>
    <row r="285" spans="1:49" x14ac:dyDescent="0.3">
      <c r="A285" s="19"/>
      <c r="B285" s="19"/>
      <c r="C285" s="19"/>
      <c r="D285" s="1118"/>
      <c r="E285" s="1120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1120"/>
      <c r="AW285" s="1120"/>
    </row>
    <row r="286" spans="1:49" x14ac:dyDescent="0.3">
      <c r="A286" s="19"/>
      <c r="B286" s="19"/>
      <c r="C286" s="19"/>
      <c r="D286" s="1118"/>
      <c r="E286" s="1120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1120"/>
      <c r="AW286" s="1120"/>
    </row>
    <row r="287" spans="1:49" x14ac:dyDescent="0.3">
      <c r="A287" s="19"/>
      <c r="B287" s="19"/>
      <c r="C287" s="19"/>
      <c r="D287" s="1118"/>
      <c r="E287" s="1120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1120"/>
      <c r="AW287" s="1120"/>
    </row>
    <row r="288" spans="1:49" x14ac:dyDescent="0.3">
      <c r="A288" s="19"/>
      <c r="B288" s="19"/>
      <c r="C288" s="19"/>
      <c r="D288" s="1118"/>
      <c r="E288" s="1120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1120"/>
      <c r="AW288" s="1120"/>
    </row>
    <row r="289" spans="1:49" x14ac:dyDescent="0.3">
      <c r="A289" s="19"/>
      <c r="B289" s="19"/>
      <c r="C289" s="19"/>
      <c r="D289" s="1118"/>
      <c r="E289" s="1118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1118"/>
      <c r="AW289" s="1118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H12" zoomScale="115" zoomScaleNormal="115" workbookViewId="0">
      <selection activeCell="I12" sqref="I1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028" t="s">
        <v>71</v>
      </c>
      <c r="C3" s="1028" t="s">
        <v>289</v>
      </c>
      <c r="D3" s="1028" t="s">
        <v>290</v>
      </c>
      <c r="E3" s="225" t="s">
        <v>293</v>
      </c>
      <c r="F3" s="225" t="s">
        <v>294</v>
      </c>
      <c r="G3" s="1030" t="s">
        <v>253</v>
      </c>
      <c r="H3" s="1031"/>
      <c r="I3" s="1031"/>
      <c r="J3" s="1032"/>
      <c r="K3" s="1021" t="s">
        <v>260</v>
      </c>
    </row>
    <row r="4" spans="2:20" x14ac:dyDescent="0.3">
      <c r="B4" s="1036"/>
      <c r="C4" s="1036"/>
      <c r="D4" s="1036"/>
      <c r="E4" s="226" t="s">
        <v>55</v>
      </c>
      <c r="F4" s="226" t="s">
        <v>295</v>
      </c>
      <c r="G4" s="1030" t="s">
        <v>266</v>
      </c>
      <c r="H4" s="1031"/>
      <c r="I4" s="1032"/>
      <c r="J4" s="134" t="s">
        <v>259</v>
      </c>
      <c r="K4" s="1021"/>
      <c r="O4" s="15" t="s">
        <v>488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29"/>
      <c r="C5" s="1029"/>
      <c r="D5" s="1029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1021"/>
      <c r="O5" s="526" t="s">
        <v>489</v>
      </c>
      <c r="P5" s="526">
        <v>1</v>
      </c>
      <c r="Q5" s="686">
        <v>46268</v>
      </c>
      <c r="R5" s="526">
        <v>7.8E-2</v>
      </c>
      <c r="S5" s="526">
        <v>0.6</v>
      </c>
      <c r="T5" s="526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6" t="s">
        <v>490</v>
      </c>
      <c r="P6" s="526">
        <v>1</v>
      </c>
      <c r="Q6" s="686">
        <v>46268</v>
      </c>
      <c r="R6" s="526">
        <v>0.38</v>
      </c>
      <c r="S6" s="526">
        <v>0.59</v>
      </c>
      <c r="T6" s="526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6" t="s">
        <v>491</v>
      </c>
      <c r="P7" s="526">
        <v>1</v>
      </c>
      <c r="Q7" s="686">
        <v>46268</v>
      </c>
      <c r="R7" s="526">
        <v>3.7999999999999999E-2</v>
      </c>
      <c r="S7" s="526">
        <v>0.61</v>
      </c>
      <c r="T7" s="526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6" t="s">
        <v>492</v>
      </c>
      <c r="P8" s="526">
        <v>1</v>
      </c>
      <c r="Q8" s="686">
        <v>46268</v>
      </c>
      <c r="R8" s="526">
        <v>6.9000000000000006E-2</v>
      </c>
      <c r="S8" s="526">
        <v>0.67</v>
      </c>
      <c r="T8" s="526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1" t="s">
        <v>489</v>
      </c>
      <c r="P9" s="531">
        <v>2</v>
      </c>
      <c r="Q9" s="687">
        <v>46269</v>
      </c>
      <c r="R9" s="531">
        <v>3.4000000000000002E-2</v>
      </c>
      <c r="S9" s="531">
        <v>0.26</v>
      </c>
      <c r="T9" s="531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1" t="s">
        <v>490</v>
      </c>
      <c r="P10" s="531">
        <v>2</v>
      </c>
      <c r="Q10" s="687">
        <v>46269</v>
      </c>
      <c r="R10" s="531">
        <v>7.9000000000000001E-2</v>
      </c>
      <c r="S10" s="531">
        <v>0.25</v>
      </c>
      <c r="T10" s="531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AVERAGE(R34:R39)</f>
        <v>4.3500000000000004E-2</v>
      </c>
      <c r="H11" s="136">
        <f t="shared" ref="H11" si="5">AVERAGE(S34:S39)</f>
        <v>0.23799999999999999</v>
      </c>
      <c r="I11" s="136">
        <f>AVERAGE(T37:T39)</f>
        <v>7.3999999999999995</v>
      </c>
      <c r="J11" s="14">
        <v>1.7999999999999999E-2</v>
      </c>
      <c r="K11" s="14">
        <v>6</v>
      </c>
      <c r="O11" s="531" t="s">
        <v>491</v>
      </c>
      <c r="P11" s="531">
        <v>2</v>
      </c>
      <c r="Q11" s="687">
        <v>46269</v>
      </c>
      <c r="R11" s="531">
        <v>3.6999999999999998E-2</v>
      </c>
      <c r="S11" s="531">
        <v>0.25</v>
      </c>
      <c r="T11" s="531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1" t="s">
        <v>492</v>
      </c>
      <c r="P12" s="531">
        <v>2</v>
      </c>
      <c r="Q12" s="687">
        <v>46269</v>
      </c>
      <c r="R12" s="531">
        <v>7.2999999999999995E-2</v>
      </c>
      <c r="S12" s="531">
        <v>0.24</v>
      </c>
      <c r="T12" s="531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6" t="s">
        <v>542</v>
      </c>
      <c r="P13" s="526">
        <v>3</v>
      </c>
      <c r="Q13" s="686">
        <v>46274</v>
      </c>
      <c r="R13" s="526">
        <v>0.11700000000000001</v>
      </c>
      <c r="S13" s="526">
        <v>0.31</v>
      </c>
      <c r="T13" s="526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6" t="s">
        <v>543</v>
      </c>
      <c r="P14" s="526">
        <v>3</v>
      </c>
      <c r="Q14" s="686">
        <v>46274</v>
      </c>
      <c r="R14" s="526">
        <v>0.16500000000000001</v>
      </c>
      <c r="S14" s="526">
        <v>0.36</v>
      </c>
      <c r="T14" s="526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6" t="s">
        <v>544</v>
      </c>
      <c r="P15" s="526">
        <v>3</v>
      </c>
      <c r="Q15" s="686">
        <v>46274</v>
      </c>
      <c r="R15" s="526">
        <v>0.13</v>
      </c>
      <c r="S15" s="526">
        <v>0.31</v>
      </c>
      <c r="T15" s="526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6" t="s">
        <v>489</v>
      </c>
      <c r="P16" s="526">
        <v>3</v>
      </c>
      <c r="Q16" s="686">
        <v>46274</v>
      </c>
      <c r="R16" s="526">
        <v>8.3000000000000004E-2</v>
      </c>
      <c r="S16" s="526">
        <v>0.15</v>
      </c>
      <c r="T16" s="526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6" t="s">
        <v>490</v>
      </c>
      <c r="P17" s="526">
        <v>3</v>
      </c>
      <c r="Q17" s="686">
        <v>46274</v>
      </c>
      <c r="R17" s="526">
        <v>4.2000000000000003E-2</v>
      </c>
      <c r="S17" s="526">
        <v>0.13</v>
      </c>
      <c r="T17" s="526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6" t="s">
        <v>491</v>
      </c>
      <c r="P18" s="526">
        <v>3</v>
      </c>
      <c r="Q18" s="686">
        <v>46274</v>
      </c>
      <c r="R18" s="526">
        <v>5.1999999999999998E-2</v>
      </c>
      <c r="S18" s="526">
        <v>0.14000000000000001</v>
      </c>
      <c r="T18" s="526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694" t="s">
        <v>542</v>
      </c>
      <c r="P19" s="694">
        <v>4</v>
      </c>
      <c r="Q19" s="695">
        <v>46275</v>
      </c>
      <c r="R19" s="694">
        <v>0.124</v>
      </c>
      <c r="S19" s="694">
        <v>0.22</v>
      </c>
      <c r="T19" s="694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694" t="s">
        <v>543</v>
      </c>
      <c r="P20" s="694">
        <v>4</v>
      </c>
      <c r="Q20" s="695">
        <v>46275</v>
      </c>
      <c r="R20" s="694">
        <v>0.14499999999999999</v>
      </c>
      <c r="S20" s="694">
        <v>0.25</v>
      </c>
      <c r="T20" s="6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694" t="s">
        <v>544</v>
      </c>
      <c r="P21" s="694">
        <v>4</v>
      </c>
      <c r="Q21" s="695">
        <v>46275</v>
      </c>
      <c r="R21" s="694">
        <v>0.13100000000000001</v>
      </c>
      <c r="S21" s="694">
        <v>0.25</v>
      </c>
      <c r="T21" s="6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694" t="s">
        <v>489</v>
      </c>
      <c r="P22" s="694">
        <v>4</v>
      </c>
      <c r="Q22" s="695">
        <v>46275</v>
      </c>
      <c r="R22" s="694">
        <v>6.4000000000000001E-2</v>
      </c>
      <c r="S22" s="694">
        <v>0.22</v>
      </c>
      <c r="T22" s="6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694" t="s">
        <v>490</v>
      </c>
      <c r="P23" s="694">
        <v>4</v>
      </c>
      <c r="Q23" s="695">
        <v>46275</v>
      </c>
      <c r="R23" s="694">
        <v>9.5000000000000001E-2</v>
      </c>
      <c r="S23" s="694">
        <v>0.25</v>
      </c>
      <c r="T23" s="6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694" t="s">
        <v>491</v>
      </c>
      <c r="P24" s="694">
        <v>4</v>
      </c>
      <c r="Q24" s="695">
        <v>46275</v>
      </c>
      <c r="R24" s="694">
        <v>9.6000000000000002E-2</v>
      </c>
      <c r="S24" s="694">
        <v>0.25</v>
      </c>
      <c r="T24" s="694">
        <v>4.58</v>
      </c>
    </row>
    <row r="25" spans="2:20" x14ac:dyDescent="0.3">
      <c r="O25" s="694" t="s">
        <v>542</v>
      </c>
      <c r="P25" s="694">
        <v>4</v>
      </c>
      <c r="Q25" s="695">
        <v>46276</v>
      </c>
      <c r="R25" s="694">
        <v>4.4999999999999998E-2</v>
      </c>
      <c r="S25" s="694">
        <v>0.21</v>
      </c>
      <c r="T25" s="694">
        <v>4.1100000000000003</v>
      </c>
    </row>
    <row r="26" spans="2:20" x14ac:dyDescent="0.3">
      <c r="O26" s="694" t="s">
        <v>543</v>
      </c>
      <c r="P26" s="694">
        <v>4</v>
      </c>
      <c r="Q26" s="695">
        <v>46276</v>
      </c>
      <c r="R26" s="694">
        <v>4.1000000000000002E-2</v>
      </c>
      <c r="S26" s="694">
        <v>0.44</v>
      </c>
      <c r="T26" s="694">
        <v>6.67</v>
      </c>
    </row>
    <row r="27" spans="2:20" x14ac:dyDescent="0.3">
      <c r="O27" s="694" t="s">
        <v>544</v>
      </c>
      <c r="P27" s="694">
        <v>4</v>
      </c>
      <c r="Q27" s="695">
        <v>46276</v>
      </c>
      <c r="R27" s="694">
        <v>6.3E-2</v>
      </c>
      <c r="S27" s="694">
        <v>0.48</v>
      </c>
      <c r="T27" s="694">
        <v>6.84</v>
      </c>
    </row>
    <row r="28" spans="2:20" x14ac:dyDescent="0.3">
      <c r="O28" s="748" t="s">
        <v>542</v>
      </c>
      <c r="P28" s="748">
        <v>5</v>
      </c>
      <c r="Q28" s="749">
        <v>46277</v>
      </c>
      <c r="R28" s="748">
        <v>4.4999999999999998E-2</v>
      </c>
      <c r="S28" s="748">
        <v>0.41</v>
      </c>
      <c r="T28" s="748">
        <v>7.15</v>
      </c>
    </row>
    <row r="29" spans="2:20" x14ac:dyDescent="0.3">
      <c r="O29" s="748" t="s">
        <v>543</v>
      </c>
      <c r="P29" s="748">
        <v>5</v>
      </c>
      <c r="Q29" s="749">
        <v>46277</v>
      </c>
      <c r="R29" s="748">
        <v>4.1000000000000002E-2</v>
      </c>
      <c r="S29" s="748">
        <v>0.6</v>
      </c>
      <c r="T29" s="748">
        <v>7.18</v>
      </c>
    </row>
    <row r="30" spans="2:20" x14ac:dyDescent="0.3">
      <c r="O30" s="748" t="s">
        <v>544</v>
      </c>
      <c r="P30" s="748">
        <v>5</v>
      </c>
      <c r="Q30" s="749">
        <v>46277</v>
      </c>
      <c r="R30" s="748">
        <v>6.3E-2</v>
      </c>
      <c r="S30" s="748">
        <v>0.27</v>
      </c>
      <c r="T30" s="748">
        <v>7.26</v>
      </c>
    </row>
    <row r="31" spans="2:20" x14ac:dyDescent="0.3">
      <c r="O31" s="748" t="s">
        <v>489</v>
      </c>
      <c r="P31" s="748">
        <v>5</v>
      </c>
      <c r="Q31" s="749">
        <v>46277</v>
      </c>
      <c r="R31" s="748">
        <v>0.24299999999999999</v>
      </c>
      <c r="S31" s="748">
        <v>0.39</v>
      </c>
      <c r="T31" s="748">
        <v>7.74</v>
      </c>
    </row>
    <row r="32" spans="2:20" x14ac:dyDescent="0.3">
      <c r="O32" s="748" t="s">
        <v>490</v>
      </c>
      <c r="P32" s="748">
        <v>5</v>
      </c>
      <c r="Q32" s="749">
        <v>46277</v>
      </c>
      <c r="R32" s="748">
        <v>0.21099999999999999</v>
      </c>
      <c r="S32" s="748">
        <v>0.27</v>
      </c>
      <c r="T32" s="748">
        <v>8.23</v>
      </c>
    </row>
    <row r="33" spans="15:20" x14ac:dyDescent="0.3">
      <c r="O33" s="748" t="s">
        <v>491</v>
      </c>
      <c r="P33" s="748">
        <v>5</v>
      </c>
      <c r="Q33" s="749">
        <v>46277</v>
      </c>
      <c r="R33" s="748">
        <v>0.14499999999999999</v>
      </c>
      <c r="S33" s="748">
        <v>0.33</v>
      </c>
      <c r="T33" s="748">
        <v>7.55</v>
      </c>
    </row>
    <row r="34" spans="15:20" x14ac:dyDescent="0.3">
      <c r="O34" s="484" t="s">
        <v>489</v>
      </c>
      <c r="P34" s="485">
        <v>6</v>
      </c>
      <c r="Q34" s="758">
        <v>46278</v>
      </c>
      <c r="R34" s="486">
        <v>8.5999999999999993E-2</v>
      </c>
      <c r="S34" s="486">
        <v>0.11</v>
      </c>
      <c r="T34" s="486">
        <v>11.708</v>
      </c>
    </row>
    <row r="35" spans="15:20" x14ac:dyDescent="0.3">
      <c r="O35" s="484" t="s">
        <v>490</v>
      </c>
      <c r="P35" s="485">
        <v>6</v>
      </c>
      <c r="Q35" s="758">
        <v>46278</v>
      </c>
      <c r="R35" s="486">
        <v>0.05</v>
      </c>
      <c r="S35" s="486">
        <v>0.20300000000000001</v>
      </c>
      <c r="T35" s="486">
        <v>13.382999999999999</v>
      </c>
    </row>
    <row r="36" spans="15:20" x14ac:dyDescent="0.3">
      <c r="O36" s="484" t="s">
        <v>491</v>
      </c>
      <c r="P36" s="485">
        <v>6</v>
      </c>
      <c r="Q36" s="758">
        <v>46278</v>
      </c>
      <c r="R36" s="486">
        <v>1.9E-2</v>
      </c>
      <c r="S36" s="486">
        <v>6.5000000000000002E-2</v>
      </c>
      <c r="T36" s="486">
        <v>12.15</v>
      </c>
    </row>
    <row r="37" spans="15:20" x14ac:dyDescent="0.3">
      <c r="O37" s="750" t="s">
        <v>542</v>
      </c>
      <c r="P37" s="750">
        <v>6</v>
      </c>
      <c r="Q37" s="762">
        <v>46279</v>
      </c>
      <c r="R37" s="750">
        <v>4.8000000000000001E-2</v>
      </c>
      <c r="S37" s="750">
        <v>0.35</v>
      </c>
      <c r="T37" s="750">
        <v>7.47</v>
      </c>
    </row>
    <row r="38" spans="15:20" x14ac:dyDescent="0.3">
      <c r="O38" s="750" t="s">
        <v>543</v>
      </c>
      <c r="P38" s="750">
        <v>6</v>
      </c>
      <c r="Q38" s="762">
        <v>46279</v>
      </c>
      <c r="R38" s="750">
        <v>3.5000000000000003E-2</v>
      </c>
      <c r="S38" s="750">
        <v>0.35</v>
      </c>
      <c r="T38" s="750">
        <v>7.36</v>
      </c>
    </row>
    <row r="39" spans="15:20" x14ac:dyDescent="0.3">
      <c r="O39" s="750" t="s">
        <v>544</v>
      </c>
      <c r="P39" s="750">
        <v>6</v>
      </c>
      <c r="Q39" s="762">
        <v>46279</v>
      </c>
      <c r="R39" s="750">
        <v>2.3E-2</v>
      </c>
      <c r="S39" s="750">
        <v>0.35</v>
      </c>
      <c r="T39" s="750">
        <v>7.37</v>
      </c>
    </row>
    <row r="40" spans="15:20" x14ac:dyDescent="0.3">
      <c r="O40" s="750"/>
      <c r="P40" s="750"/>
      <c r="Q40" s="750"/>
      <c r="R40" s="750"/>
      <c r="S40" s="750"/>
      <c r="T40" s="750"/>
    </row>
    <row r="41" spans="15:20" x14ac:dyDescent="0.3">
      <c r="O41" s="747"/>
      <c r="P41" s="747"/>
      <c r="Q41" s="747"/>
      <c r="R41" s="747"/>
      <c r="S41" s="747"/>
      <c r="T41" s="747"/>
    </row>
    <row r="42" spans="15:20" x14ac:dyDescent="0.3">
      <c r="O42" s="747"/>
      <c r="P42" s="747"/>
      <c r="Q42" s="747"/>
      <c r="R42" s="747"/>
      <c r="S42" s="747"/>
      <c r="T42" s="747"/>
    </row>
    <row r="43" spans="15:20" x14ac:dyDescent="0.3">
      <c r="O43" s="747"/>
      <c r="P43" s="747"/>
      <c r="Q43" s="747"/>
      <c r="R43" s="747"/>
      <c r="S43" s="747"/>
      <c r="T43" s="747"/>
    </row>
    <row r="44" spans="15:20" x14ac:dyDescent="0.3">
      <c r="O44" s="747"/>
      <c r="P44" s="747"/>
      <c r="Q44" s="747"/>
      <c r="R44" s="747"/>
      <c r="S44" s="747"/>
      <c r="T44" s="747"/>
    </row>
    <row r="45" spans="15:20" x14ac:dyDescent="0.3">
      <c r="O45" s="747"/>
      <c r="P45" s="747"/>
      <c r="Q45" s="747"/>
      <c r="R45" s="747"/>
      <c r="S45" s="747"/>
      <c r="T45" s="747"/>
    </row>
    <row r="46" spans="15:20" x14ac:dyDescent="0.3">
      <c r="O46" s="747"/>
      <c r="P46" s="747"/>
      <c r="Q46" s="747"/>
      <c r="R46" s="747"/>
      <c r="S46" s="747"/>
      <c r="T46" s="747"/>
    </row>
    <row r="47" spans="15:20" x14ac:dyDescent="0.3">
      <c r="O47" s="747"/>
      <c r="P47" s="747"/>
      <c r="Q47" s="747"/>
      <c r="R47" s="747"/>
      <c r="S47" s="747"/>
      <c r="T47" s="747"/>
    </row>
    <row r="48" spans="15:20" x14ac:dyDescent="0.3">
      <c r="O48" s="747"/>
      <c r="P48" s="747"/>
      <c r="Q48" s="747"/>
      <c r="R48" s="747"/>
      <c r="S48" s="747"/>
      <c r="T48" s="747"/>
    </row>
    <row r="49" spans="15:20" x14ac:dyDescent="0.3">
      <c r="O49" s="747"/>
      <c r="P49" s="747"/>
      <c r="Q49" s="747"/>
      <c r="R49" s="747"/>
      <c r="S49" s="747"/>
      <c r="T49" s="747"/>
    </row>
    <row r="50" spans="15:20" x14ac:dyDescent="0.3">
      <c r="O50" s="747"/>
      <c r="P50" s="747"/>
      <c r="Q50" s="747"/>
      <c r="R50" s="747"/>
      <c r="S50" s="747"/>
      <c r="T50" s="747"/>
    </row>
    <row r="51" spans="15:20" x14ac:dyDescent="0.3">
      <c r="O51" s="747"/>
      <c r="P51" s="747"/>
      <c r="Q51" s="747"/>
      <c r="R51" s="747"/>
      <c r="S51" s="747"/>
      <c r="T51" s="747"/>
    </row>
    <row r="52" spans="15:20" x14ac:dyDescent="0.3">
      <c r="O52" s="747"/>
      <c r="P52" s="747"/>
      <c r="Q52" s="747"/>
      <c r="R52" s="747"/>
      <c r="S52" s="747"/>
      <c r="T52" s="747"/>
    </row>
    <row r="53" spans="15:20" x14ac:dyDescent="0.3">
      <c r="O53" s="747"/>
      <c r="P53" s="747"/>
      <c r="Q53" s="747"/>
      <c r="R53" s="747"/>
      <c r="S53" s="747"/>
      <c r="T53" s="747"/>
    </row>
    <row r="54" spans="15:20" x14ac:dyDescent="0.3">
      <c r="O54" s="747"/>
      <c r="P54" s="747"/>
      <c r="Q54" s="747"/>
      <c r="R54" s="747"/>
      <c r="S54" s="747"/>
      <c r="T54" s="747"/>
    </row>
    <row r="55" spans="15:20" x14ac:dyDescent="0.3">
      <c r="O55" s="747"/>
      <c r="P55" s="747"/>
      <c r="Q55" s="747"/>
      <c r="R55" s="747"/>
      <c r="S55" s="747"/>
      <c r="T55" s="747"/>
    </row>
  </sheetData>
  <mergeCells count="6">
    <mergeCell ref="K3:K5"/>
    <mergeCell ref="B3:B5"/>
    <mergeCell ref="C3:C5"/>
    <mergeCell ref="D3:D5"/>
    <mergeCell ref="G3:J3"/>
    <mergeCell ref="G4:I4"/>
  </mergeCells>
  <phoneticPr fontId="6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35" t="s">
        <v>72</v>
      </c>
      <c r="G1" s="1135"/>
      <c r="H1" s="1135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 (2)</vt:lpstr>
      <vt:lpstr>Filter Press Down Time Hours </vt:lpstr>
      <vt:lpstr>Milling and Leach Feed</vt:lpstr>
      <vt:lpstr>Leach Time Process&amp;Down Time</vt:lpstr>
      <vt:lpstr>Leaching</vt:lpstr>
      <vt:lpstr>LT Floculation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2026-09-15T07:10:42Z</dcterms:modified>
</cp:coreProperties>
</file>