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3D9F4385-B512-436D-B2BA-A26C824AAFC5}" xr6:coauthVersionLast="47" xr6:coauthVersionMax="47" xr10:uidLastSave="{00000000-0000-0000-0000-000000000000}"/>
  <bookViews>
    <workbookView xWindow="-108" yWindow="-108" windowWidth="23256" windowHeight="12456" firstSheet="11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6" i="7" l="1"/>
  <c r="D57" i="7"/>
  <c r="D58" i="7" s="1"/>
  <c r="D59" i="7" s="1"/>
  <c r="D60" i="7" s="1"/>
  <c r="D61" i="7" s="1"/>
  <c r="D62" i="7" s="1"/>
  <c r="D63" i="7" s="1"/>
  <c r="D64" i="7" s="1"/>
  <c r="D65" i="7" s="1"/>
  <c r="C66" i="7"/>
  <c r="C62" i="7"/>
  <c r="C61" i="7"/>
  <c r="C60" i="7"/>
  <c r="C59" i="7"/>
  <c r="C58" i="7"/>
  <c r="C57" i="7"/>
  <c r="D56" i="7"/>
  <c r="C56" i="7"/>
  <c r="D55" i="7"/>
  <c r="C55" i="7"/>
  <c r="O29" i="13"/>
  <c r="N61" i="13" s="1"/>
  <c r="AD120" i="21"/>
  <c r="J120" i="21"/>
  <c r="J121" i="21"/>
  <c r="AD27" i="21"/>
  <c r="AB28" i="13"/>
  <c r="AC28" i="13"/>
  <c r="AA28" i="13"/>
  <c r="Y28" i="13"/>
  <c r="Z28" i="13"/>
  <c r="X28" i="13"/>
  <c r="AE27" i="13"/>
  <c r="AD27" i="13"/>
  <c r="AB27" i="13"/>
  <c r="AC27" i="13"/>
  <c r="AA27" i="13"/>
  <c r="Y27" i="13"/>
  <c r="Z27" i="13"/>
  <c r="X27" i="13"/>
  <c r="V131" i="21"/>
  <c r="U117" i="21"/>
  <c r="V117" i="21"/>
  <c r="T117" i="21"/>
  <c r="U116" i="21"/>
  <c r="V116" i="21"/>
  <c r="T116" i="21"/>
  <c r="U114" i="21"/>
  <c r="V114" i="21"/>
  <c r="T114" i="21"/>
  <c r="U113" i="21"/>
  <c r="V113" i="21"/>
  <c r="T113" i="21"/>
  <c r="U112" i="21"/>
  <c r="V112" i="21"/>
  <c r="T112" i="21"/>
  <c r="Z9" i="12"/>
  <c r="N114" i="1"/>
  <c r="H22" i="15"/>
  <c r="I22" i="15"/>
  <c r="G22" i="15"/>
  <c r="A28" i="13"/>
  <c r="T110" i="21"/>
  <c r="T111" i="21"/>
  <c r="U111" i="21"/>
  <c r="V111" i="21"/>
  <c r="V28" i="13"/>
  <c r="J119" i="21"/>
  <c r="H119" i="21" s="1"/>
  <c r="U28" i="13"/>
  <c r="V26" i="13"/>
  <c r="L99" i="5"/>
  <c r="N67" i="20"/>
  <c r="Z119" i="21"/>
  <c r="L21" i="13"/>
  <c r="L28" i="13"/>
  <c r="W28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U27" i="13"/>
  <c r="U25" i="13"/>
  <c r="J118" i="21"/>
  <c r="H118" i="21" s="1"/>
  <c r="O27" i="13"/>
  <c r="L27" i="13"/>
  <c r="P63" i="20"/>
  <c r="N66" i="20"/>
  <c r="A27" i="13"/>
  <c r="A26" i="13"/>
  <c r="N65" i="20"/>
  <c r="Z117" i="21"/>
  <c r="J117" i="21" s="1"/>
  <c r="I186" i="17"/>
  <c r="Y180" i="17" s="1"/>
  <c r="I172" i="17"/>
  <c r="I166" i="17"/>
  <c r="Y165" i="17" s="1"/>
  <c r="I160" i="17"/>
  <c r="Y156" i="17" s="1"/>
  <c r="Y188" i="17"/>
  <c r="Y185" i="17"/>
  <c r="Y182" i="17"/>
  <c r="Y179" i="17"/>
  <c r="Y176" i="17"/>
  <c r="Y173" i="17"/>
  <c r="Y170" i="17"/>
  <c r="Y171" i="17" s="1"/>
  <c r="Y167" i="17"/>
  <c r="Y168" i="17" s="1"/>
  <c r="Y164" i="17"/>
  <c r="Y161" i="17"/>
  <c r="Y158" i="17"/>
  <c r="Y155" i="17"/>
  <c r="Q164" i="17"/>
  <c r="Q165" i="17" s="1"/>
  <c r="Q171" i="17"/>
  <c r="Q176" i="17"/>
  <c r="Q177" i="17" s="1"/>
  <c r="Q181" i="17"/>
  <c r="I193" i="17"/>
  <c r="Q192" i="17" s="1"/>
  <c r="Q186" i="17"/>
  <c r="I190" i="17"/>
  <c r="Y183" i="17" s="1"/>
  <c r="I184" i="17"/>
  <c r="Y177" i="17" s="1"/>
  <c r="I181" i="17"/>
  <c r="I175" i="17"/>
  <c r="I169" i="17"/>
  <c r="I163" i="17"/>
  <c r="Y162" i="17" s="1"/>
  <c r="Q180" i="17"/>
  <c r="Q170" i="17"/>
  <c r="I157" i="17"/>
  <c r="Q159" i="17" s="1"/>
  <c r="Q158" i="17"/>
  <c r="Q155" i="17"/>
  <c r="I151" i="17"/>
  <c r="P31" i="20"/>
  <c r="N64" i="20"/>
  <c r="P52" i="5"/>
  <c r="P50" i="5"/>
  <c r="P49" i="5"/>
  <c r="L93" i="5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G25" i="13"/>
  <c r="AH25" i="13"/>
  <c r="H21" i="15"/>
  <c r="I21" i="15"/>
  <c r="U110" i="21"/>
  <c r="Y26" i="13" s="1"/>
  <c r="V110" i="21"/>
  <c r="Z26" i="13" s="1"/>
  <c r="V109" i="21"/>
  <c r="U109" i="21"/>
  <c r="AL29" i="13" l="1"/>
  <c r="AN29" i="13"/>
  <c r="AM29" i="13"/>
  <c r="M119" i="21"/>
  <c r="X26" i="13"/>
  <c r="I118" i="21"/>
  <c r="H115" i="21"/>
  <c r="U26" i="13"/>
  <c r="M115" i="21" s="1"/>
  <c r="N26" i="13"/>
  <c r="N27" i="13"/>
  <c r="L26" i="13"/>
  <c r="L25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C28" i="13" l="1"/>
  <c r="M116" i="21"/>
  <c r="N115" i="21" s="1"/>
  <c r="O115" i="21"/>
  <c r="I115" i="21"/>
  <c r="H116" i="21"/>
  <c r="H117" i="21" s="1"/>
  <c r="C27" i="13"/>
  <c r="H112" i="21"/>
  <c r="I112" i="21" s="1"/>
  <c r="M117" i="21" l="1"/>
  <c r="S115" i="21" s="1"/>
  <c r="AL28" i="13"/>
  <c r="AM28" i="13"/>
  <c r="AN28" i="13"/>
  <c r="D28" i="13"/>
  <c r="H113" i="21"/>
  <c r="I113" i="21" s="1"/>
  <c r="H114" i="21" l="1"/>
  <c r="I114" i="21" s="1"/>
  <c r="I125" i="1"/>
  <c r="L125" i="1" s="1"/>
  <c r="K125" i="1"/>
  <c r="M125" i="1" s="1"/>
  <c r="N122" i="1"/>
  <c r="I122" i="1"/>
  <c r="K122" i="1" s="1"/>
  <c r="M122" i="1" s="1"/>
  <c r="L122" i="1"/>
  <c r="I123" i="1"/>
  <c r="K123" i="1" s="1"/>
  <c r="M123" i="1" s="1"/>
  <c r="I124" i="1"/>
  <c r="K124" i="1"/>
  <c r="M124" i="1" s="1"/>
  <c r="L124" i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18" i="21"/>
  <c r="M120" i="21"/>
  <c r="W120" i="21"/>
  <c r="M122" i="21"/>
  <c r="W122" i="21" s="1"/>
  <c r="M124" i="21"/>
  <c r="W124" i="21" s="1"/>
  <c r="M126" i="21"/>
  <c r="Y126" i="21" s="1"/>
  <c r="J34" i="12"/>
  <c r="J35" i="12"/>
  <c r="J36" i="12"/>
  <c r="J37" i="12"/>
  <c r="I38" i="12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Y120" i="21" l="1"/>
  <c r="N119" i="21"/>
  <c r="Y124" i="21"/>
  <c r="X124" i="21"/>
  <c r="W118" i="21"/>
  <c r="S118" i="21"/>
  <c r="O118" i="21"/>
  <c r="X120" i="21"/>
  <c r="X118" i="21"/>
  <c r="N117" i="21"/>
  <c r="AL27" i="13"/>
  <c r="AM27" i="13"/>
  <c r="AN27" i="13"/>
  <c r="AL26" i="13"/>
  <c r="AM26" i="13"/>
  <c r="W116" i="21"/>
  <c r="X116" i="21"/>
  <c r="AO26" i="13"/>
  <c r="AP26" i="13"/>
  <c r="AQ26" i="13"/>
  <c r="O24" i="13"/>
  <c r="AO24" i="13" s="1"/>
  <c r="AP22" i="13"/>
  <c r="O25" i="13"/>
  <c r="M112" i="21"/>
  <c r="M113" i="21" s="1"/>
  <c r="X126" i="21"/>
  <c r="W126" i="21"/>
  <c r="O72" i="2"/>
  <c r="X8" i="2" s="1"/>
  <c r="N124" i="1"/>
  <c r="L123" i="1"/>
  <c r="Y122" i="21"/>
  <c r="X122" i="21"/>
  <c r="Y118" i="21"/>
  <c r="Y25" i="13"/>
  <c r="M106" i="21"/>
  <c r="M107" i="21" s="1"/>
  <c r="X25" i="13"/>
  <c r="Z25" i="13"/>
  <c r="Y116" i="21"/>
  <c r="M110" i="21"/>
  <c r="M111" i="21" s="1"/>
  <c r="W111" i="21" s="1"/>
  <c r="Z24" i="13"/>
  <c r="I110" i="21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M102" i="21"/>
  <c r="H102" i="21"/>
  <c r="L121" i="1"/>
  <c r="L120" i="1"/>
  <c r="L119" i="1"/>
  <c r="K113" i="1"/>
  <c r="M113" i="1" s="1"/>
  <c r="X22" i="13"/>
  <c r="Z22" i="13"/>
  <c r="H99" i="21"/>
  <c r="H100" i="21" s="1"/>
  <c r="L118" i="1"/>
  <c r="N118" i="1" s="1"/>
  <c r="K117" i="1"/>
  <c r="M117" i="1" s="1"/>
  <c r="L116" i="1"/>
  <c r="N116" i="1" s="1"/>
  <c r="L115" i="1"/>
  <c r="Q79" i="21"/>
  <c r="I112" i="1"/>
  <c r="K112" i="1" s="1"/>
  <c r="M112" i="1" s="1"/>
  <c r="N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X113" i="21" l="1"/>
  <c r="Y113" i="21"/>
  <c r="W113" i="21"/>
  <c r="J99" i="5"/>
  <c r="K99" i="5" s="1"/>
  <c r="R119" i="21"/>
  <c r="Q119" i="21" s="1"/>
  <c r="P119" i="21" s="1"/>
  <c r="I119" i="21" s="1"/>
  <c r="AM24" i="13"/>
  <c r="AM25" i="13"/>
  <c r="AL25" i="13"/>
  <c r="AP24" i="13"/>
  <c r="AQ24" i="13"/>
  <c r="X112" i="21"/>
  <c r="AL24" i="13"/>
  <c r="Y112" i="21"/>
  <c r="O113" i="21"/>
  <c r="W112" i="21"/>
  <c r="AB112" i="21" s="1"/>
  <c r="N111" i="21"/>
  <c r="J97" i="5"/>
  <c r="K97" i="5" s="1"/>
  <c r="R117" i="21"/>
  <c r="Q117" i="21" s="1"/>
  <c r="P117" i="21" s="1"/>
  <c r="I117" i="21" s="1"/>
  <c r="J96" i="5"/>
  <c r="K96" i="5" s="1"/>
  <c r="O116" i="21"/>
  <c r="O112" i="21"/>
  <c r="M114" i="21"/>
  <c r="N113" i="21" s="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A26" i="13" s="1"/>
  <c r="AE26" i="13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N130" i="1" s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O119" i="21" l="1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N104" i="1"/>
  <c r="X61" i="21"/>
  <c r="Y61" i="21"/>
  <c r="O21" i="13"/>
  <c r="AL21" i="13" s="1"/>
  <c r="I61" i="21"/>
  <c r="L39" i="12"/>
  <c r="H29" i="12"/>
  <c r="H39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L151" i="12"/>
  <c r="M151" i="12" s="1"/>
  <c r="L152" i="12"/>
  <c r="M152" i="12" s="1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9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13" i="12" s="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K52" i="1"/>
  <c r="M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F157" i="12" l="1"/>
  <c r="G160" i="12" s="1"/>
  <c r="AC26" i="13"/>
  <c r="AN26" i="13" s="1"/>
  <c r="BF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0" i="12"/>
  <c r="M159" i="12"/>
  <c r="G156" i="12" s="1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Y19" i="13"/>
  <c r="X19" i="13"/>
  <c r="G149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F158" i="12" l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X21" i="17" s="1"/>
  <c r="K24" i="17"/>
  <c r="Y21" i="17" s="1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U18" i="17"/>
  <c r="V18" i="17"/>
  <c r="T18" i="17"/>
  <c r="U13" i="17"/>
  <c r="V13" i="17"/>
  <c r="T13" i="17"/>
  <c r="W13" i="17" s="1"/>
  <c r="U8" i="17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8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30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E32" i="7" l="1"/>
  <c r="K77" i="7"/>
  <c r="I77" i="7"/>
  <c r="J39" i="12"/>
  <c r="W21" i="17"/>
  <c r="X8" i="17"/>
  <c r="Y11" i="13"/>
  <c r="P95" i="13" s="1"/>
  <c r="AT58" i="13"/>
  <c r="AT57" i="13"/>
  <c r="AT56" i="13"/>
  <c r="AT30" i="13"/>
  <c r="AT55" i="13"/>
  <c r="X15" i="13"/>
  <c r="O99" i="13" s="1"/>
  <c r="V95" i="4"/>
  <c r="Y95" i="4" s="1"/>
  <c r="X9" i="4"/>
  <c r="AB11" i="13" s="1"/>
  <c r="AF7" i="7"/>
  <c r="AF76" i="7" s="1"/>
  <c r="T72" i="2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L10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Z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Z14" i="12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M16" i="2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76" i="7"/>
  <c r="M29" i="4" l="1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29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AP17" i="13"/>
  <c r="H18" i="21"/>
  <c r="I18" i="21" s="1"/>
  <c r="L47" i="5"/>
  <c r="AC7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9" i="1"/>
  <c r="C26" i="7"/>
  <c r="C29" i="7"/>
  <c r="G14" i="7"/>
  <c r="H14" i="7" s="1"/>
  <c r="E14" i="7"/>
  <c r="L12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AV11" i="13" l="1"/>
  <c r="O28" i="21"/>
  <c r="BD11" i="13"/>
  <c r="W28" i="21"/>
  <c r="AB28" i="21" s="1"/>
  <c r="W48" i="21"/>
  <c r="X48" i="21"/>
  <c r="Y48" i="21"/>
  <c r="M29" i="21"/>
  <c r="N29" i="21" s="1"/>
  <c r="S98" i="21"/>
  <c r="M12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29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N39" i="7" l="1"/>
  <c r="AZ13" i="13"/>
  <c r="O29" i="21"/>
  <c r="X29" i="21"/>
  <c r="AO6" i="13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N77" i="7" l="1"/>
  <c r="Y30" i="21"/>
  <c r="O30" i="21"/>
  <c r="M31" i="21"/>
  <c r="S28" i="21" s="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N30" i="21" l="1"/>
  <c r="X31" i="21"/>
  <c r="W31" i="21"/>
  <c r="AB31" i="21" s="1"/>
  <c r="O31" i="21"/>
  <c r="Y31" i="21"/>
  <c r="W127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  <c r="X114" i="21" l="1"/>
  <c r="O114" i="21"/>
  <c r="S112" i="21"/>
  <c r="W114" i="21"/>
  <c r="Y11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RE ASSAY SAMPLE
</t>
        </r>
      </text>
    </comment>
    <comment ref="H211" authorId="0" shapeId="0" xr:uid="{DA327AE8-4D8D-42C7-A829-E50E098CE572}">
      <text>
        <r>
          <rPr>
            <b/>
            <sz val="9"/>
            <color indexed="81"/>
            <rFont val="Tahoma"/>
            <charset val="1"/>
          </rPr>
          <t xml:space="preserve">Dyan Ramdhani: 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<sst xmlns="http://schemas.openxmlformats.org/spreadsheetml/2006/main" count="3167" uniqueCount="887">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</sst>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93" fillId="0" borderId="0" applyFont="0" applyFill="0" applyBorder="0" applyAlignment="0" applyProtection="0"/>
    <xf numFmtId="9" fontId="93" fillId="0" borderId="0" applyFont="0" applyFill="0" applyBorder="0" applyAlignment="0" applyProtection="0"/>
    <xf numFmtId="164" fontId="94" fillId="0" borderId="0" applyFont="0" applyFill="0" applyBorder="0" applyAlignment="0" applyProtection="0"/>
  </cellStyleXfs>
  <cellXfs count="180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4" fillId="2" borderId="12" xfId="0" applyFont="1" applyFill="1" applyBorder="1"/>
    <xf numFmtId="0" fontId="0" fillId="2" borderId="12" xfId="0" applyFill="1" applyBorder="1"/>
    <xf numFmtId="0" fontId="9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5" fillId="4" borderId="12" xfId="0" applyFont="1" applyFill="1" applyBorder="1" applyAlignment="1">
      <alignment horizontal="center"/>
    </xf>
    <xf numFmtId="0" fontId="95" fillId="3" borderId="12" xfId="0" applyFont="1" applyFill="1" applyBorder="1" applyAlignment="1">
      <alignment horizontal="center"/>
    </xf>
    <xf numFmtId="0" fontId="9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5" fillId="3" borderId="12" xfId="0" applyFont="1" applyFill="1" applyBorder="1"/>
    <xf numFmtId="0" fontId="0" fillId="3" borderId="12" xfId="0" applyFill="1" applyBorder="1"/>
    <xf numFmtId="0" fontId="95" fillId="3" borderId="31" xfId="0" applyFont="1" applyFill="1" applyBorder="1" applyAlignment="1">
      <alignment horizontal="center"/>
    </xf>
    <xf numFmtId="0" fontId="9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6" fillId="5" borderId="0" xfId="0" applyFont="1" applyFill="1"/>
    <xf numFmtId="0" fontId="9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8" fillId="2" borderId="0" xfId="3" applyNumberFormat="1" applyFont="1" applyFill="1"/>
    <xf numFmtId="170" fontId="9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4" fillId="2" borderId="12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9" fillId="5" borderId="0" xfId="2" applyNumberFormat="1" applyFont="1" applyFill="1"/>
    <xf numFmtId="172" fontId="9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0" fillId="6" borderId="12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 vertical="center"/>
    </xf>
    <xf numFmtId="0" fontId="100" fillId="8" borderId="12" xfId="0" applyFont="1" applyFill="1" applyBorder="1" applyAlignment="1">
      <alignment horizontal="center" vertical="center"/>
    </xf>
    <xf numFmtId="0" fontId="100" fillId="9" borderId="12" xfId="0" applyFont="1" applyFill="1" applyBorder="1" applyAlignment="1">
      <alignment horizontal="center" vertical="center"/>
    </xf>
    <xf numFmtId="14" fontId="10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0" fillId="7" borderId="20" xfId="0" applyNumberFormat="1" applyFont="1" applyFill="1" applyBorder="1" applyAlignment="1">
      <alignment horizontal="center" vertical="center"/>
    </xf>
    <xf numFmtId="14" fontId="100" fillId="7" borderId="21" xfId="0" applyNumberFormat="1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/>
    </xf>
    <xf numFmtId="0" fontId="102" fillId="11" borderId="12" xfId="0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 vertical="center"/>
    </xf>
    <xf numFmtId="14" fontId="102" fillId="12" borderId="12" xfId="0" applyNumberFormat="1" applyFont="1" applyFill="1" applyBorder="1" applyAlignment="1">
      <alignment horizontal="center" vertical="center"/>
    </xf>
    <xf numFmtId="0" fontId="102" fillId="13" borderId="12" xfId="0" applyFont="1" applyFill="1" applyBorder="1" applyAlignment="1">
      <alignment horizontal="center" vertical="center"/>
    </xf>
    <xf numFmtId="0" fontId="94" fillId="0" borderId="7" xfId="0" applyFont="1" applyBorder="1" applyAlignment="1">
      <alignment horizontal="center"/>
    </xf>
    <xf numFmtId="20" fontId="94" fillId="2" borderId="28" xfId="0" applyNumberFormat="1" applyFont="1" applyFill="1" applyBorder="1" applyAlignment="1">
      <alignment horizontal="center" vertical="center"/>
    </xf>
    <xf numFmtId="1" fontId="9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4" fillId="2" borderId="12" xfId="0" applyFont="1" applyFill="1" applyBorder="1" applyAlignment="1">
      <alignment vertical="center"/>
    </xf>
    <xf numFmtId="0" fontId="9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4" fillId="2" borderId="12" xfId="0" applyNumberFormat="1" applyFont="1" applyFill="1" applyBorder="1" applyAlignment="1">
      <alignment horizontal="center" vertical="center"/>
    </xf>
    <xf numFmtId="0" fontId="95" fillId="3" borderId="12" xfId="0" applyFont="1" applyFill="1" applyBorder="1" applyAlignment="1">
      <alignment horizontal="right"/>
    </xf>
    <xf numFmtId="1" fontId="95" fillId="3" borderId="20" xfId="0" applyNumberFormat="1" applyFont="1" applyFill="1" applyBorder="1" applyAlignment="1">
      <alignment horizontal="right"/>
    </xf>
    <xf numFmtId="9" fontId="9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0" fillId="0" borderId="0" xfId="0" applyFont="1"/>
    <xf numFmtId="1" fontId="100" fillId="0" borderId="0" xfId="0" applyNumberFormat="1" applyFont="1" applyAlignment="1">
      <alignment horizontal="center"/>
    </xf>
    <xf numFmtId="0" fontId="100" fillId="0" borderId="0" xfId="0" applyFont="1" applyAlignment="1">
      <alignment horizontal="center"/>
    </xf>
    <xf numFmtId="0" fontId="10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0" fillId="0" borderId="38" xfId="0" applyFont="1" applyBorder="1"/>
    <xf numFmtId="1" fontId="100" fillId="0" borderId="38" xfId="0" applyNumberFormat="1" applyFont="1" applyBorder="1" applyAlignment="1">
      <alignment horizontal="center"/>
    </xf>
    <xf numFmtId="0" fontId="100" fillId="0" borderId="38" xfId="0" applyFont="1" applyBorder="1" applyAlignment="1">
      <alignment horizontal="center"/>
    </xf>
    <xf numFmtId="43" fontId="100" fillId="0" borderId="38" xfId="1" applyFont="1" applyBorder="1" applyAlignment="1">
      <alignment horizontal="center"/>
    </xf>
    <xf numFmtId="0" fontId="100" fillId="0" borderId="39" xfId="0" applyFont="1" applyBorder="1"/>
    <xf numFmtId="0" fontId="102" fillId="0" borderId="0" xfId="0" applyFont="1" applyAlignment="1">
      <alignment wrapText="1"/>
    </xf>
    <xf numFmtId="0" fontId="102" fillId="3" borderId="45" xfId="0" applyFont="1" applyFill="1" applyBorder="1" applyAlignment="1">
      <alignment horizontal="center" vertical="center" wrapText="1"/>
    </xf>
    <xf numFmtId="0" fontId="100" fillId="0" borderId="47" xfId="0" applyFont="1" applyBorder="1"/>
    <xf numFmtId="173" fontId="100" fillId="0" borderId="48" xfId="0" applyNumberFormat="1" applyFont="1" applyBorder="1" applyAlignment="1">
      <alignment horizontal="center"/>
    </xf>
    <xf numFmtId="1" fontId="100" fillId="0" borderId="48" xfId="0" applyNumberFormat="1" applyFont="1" applyBorder="1" applyAlignment="1">
      <alignment horizontal="center"/>
    </xf>
    <xf numFmtId="174" fontId="100" fillId="0" borderId="48" xfId="0" applyNumberFormat="1" applyFont="1" applyBorder="1" applyAlignment="1">
      <alignment horizontal="center"/>
    </xf>
    <xf numFmtId="0" fontId="100" fillId="0" borderId="48" xfId="0" applyFont="1" applyBorder="1"/>
    <xf numFmtId="9" fontId="100" fillId="0" borderId="48" xfId="0" applyNumberFormat="1" applyFont="1" applyBorder="1" applyAlignment="1">
      <alignment horizontal="center"/>
    </xf>
    <xf numFmtId="0" fontId="100" fillId="0" borderId="48" xfId="0" applyFont="1" applyBorder="1" applyAlignment="1">
      <alignment horizontal="center"/>
    </xf>
    <xf numFmtId="9" fontId="100" fillId="0" borderId="49" xfId="0" applyNumberFormat="1" applyFont="1" applyBorder="1" applyAlignment="1">
      <alignment horizontal="center"/>
    </xf>
    <xf numFmtId="0" fontId="10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1" fillId="2" borderId="12" xfId="0" applyFont="1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95" fillId="10" borderId="20" xfId="0" applyFont="1" applyFill="1" applyBorder="1"/>
    <xf numFmtId="0" fontId="95" fillId="10" borderId="28" xfId="0" applyFont="1" applyFill="1" applyBorder="1"/>
    <xf numFmtId="14" fontId="10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5" fillId="16" borderId="12" xfId="0" applyFont="1" applyFill="1" applyBorder="1" applyAlignment="1">
      <alignment horizontal="center"/>
    </xf>
    <xf numFmtId="0" fontId="95" fillId="10" borderId="7" xfId="0" applyFont="1" applyFill="1" applyBorder="1" applyAlignment="1">
      <alignment horizontal="center"/>
    </xf>
    <xf numFmtId="9" fontId="100" fillId="0" borderId="12" xfId="0" applyNumberFormat="1" applyFont="1" applyBorder="1" applyAlignment="1">
      <alignment horizontal="center"/>
    </xf>
    <xf numFmtId="0" fontId="95" fillId="17" borderId="12" xfId="0" applyFont="1" applyFill="1" applyBorder="1" applyAlignment="1">
      <alignment horizontal="center"/>
    </xf>
    <xf numFmtId="0" fontId="9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5" fillId="3" borderId="0" xfId="0" applyFont="1" applyFill="1" applyAlignment="1">
      <alignment horizontal="center"/>
    </xf>
    <xf numFmtId="0" fontId="9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0" fillId="18" borderId="12" xfId="0" applyNumberFormat="1" applyFont="1" applyFill="1" applyBorder="1" applyAlignment="1">
      <alignment horizontal="center"/>
    </xf>
    <xf numFmtId="2" fontId="11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5" fillId="3" borderId="20" xfId="0" applyNumberFormat="1" applyFont="1" applyFill="1" applyBorder="1" applyAlignment="1">
      <alignment horizontal="right"/>
    </xf>
    <xf numFmtId="0" fontId="110" fillId="18" borderId="7" xfId="0" applyFont="1" applyFill="1" applyBorder="1"/>
    <xf numFmtId="0" fontId="110" fillId="18" borderId="29" xfId="0" applyFont="1" applyFill="1" applyBorder="1"/>
    <xf numFmtId="174" fontId="110" fillId="18" borderId="29" xfId="0" applyNumberFormat="1" applyFont="1" applyFill="1" applyBorder="1" applyAlignment="1">
      <alignment horizontal="center"/>
    </xf>
    <xf numFmtId="0" fontId="111" fillId="2" borderId="0" xfId="0" applyFont="1" applyFill="1"/>
    <xf numFmtId="176" fontId="100" fillId="0" borderId="48" xfId="0" applyNumberFormat="1" applyFont="1" applyBorder="1" applyAlignment="1">
      <alignment horizontal="center"/>
    </xf>
    <xf numFmtId="0" fontId="94" fillId="2" borderId="7" xfId="0" applyFont="1" applyFill="1" applyBorder="1" applyAlignment="1">
      <alignment horizontal="center" vertical="center"/>
    </xf>
    <xf numFmtId="0" fontId="95" fillId="18" borderId="12" xfId="0" applyFont="1" applyFill="1" applyBorder="1" applyAlignment="1">
      <alignment horizontal="center"/>
    </xf>
    <xf numFmtId="0" fontId="10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5" fillId="2" borderId="0" xfId="0" applyFont="1" applyFill="1" applyAlignment="1">
      <alignment horizontal="center"/>
    </xf>
    <xf numFmtId="0" fontId="9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2" fillId="2" borderId="28" xfId="0" applyFont="1" applyFill="1" applyBorder="1" applyAlignment="1">
      <alignment horizontal="center" vertical="center"/>
    </xf>
    <xf numFmtId="9" fontId="110" fillId="18" borderId="29" xfId="2" applyFont="1" applyFill="1" applyBorder="1" applyAlignment="1">
      <alignment horizontal="center"/>
    </xf>
    <xf numFmtId="0" fontId="95" fillId="20" borderId="12" xfId="0" applyFont="1" applyFill="1" applyBorder="1"/>
    <xf numFmtId="9" fontId="100" fillId="0" borderId="0" xfId="2" applyFont="1" applyAlignment="1">
      <alignment horizontal="center"/>
    </xf>
    <xf numFmtId="0" fontId="95" fillId="0" borderId="12" xfId="0" applyFont="1" applyBorder="1"/>
    <xf numFmtId="176" fontId="0" fillId="0" borderId="12" xfId="0" applyNumberFormat="1" applyBorder="1"/>
    <xf numFmtId="1" fontId="113" fillId="2" borderId="12" xfId="0" applyNumberFormat="1" applyFont="1" applyFill="1" applyBorder="1"/>
    <xf numFmtId="9" fontId="113" fillId="2" borderId="12" xfId="0" applyNumberFormat="1" applyFont="1" applyFill="1" applyBorder="1"/>
    <xf numFmtId="0" fontId="105" fillId="2" borderId="12" xfId="0" applyFont="1" applyFill="1" applyBorder="1"/>
    <xf numFmtId="1" fontId="102" fillId="3" borderId="45" xfId="0" applyNumberFormat="1" applyFont="1" applyFill="1" applyBorder="1" applyAlignment="1">
      <alignment horizontal="center" vertical="center" wrapText="1"/>
    </xf>
    <xf numFmtId="43" fontId="102" fillId="3" borderId="45" xfId="1" applyFont="1" applyFill="1" applyBorder="1" applyAlignment="1">
      <alignment horizontal="center" vertical="center" wrapText="1"/>
    </xf>
    <xf numFmtId="0" fontId="9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1" fillId="2" borderId="28" xfId="0" applyFont="1" applyFill="1" applyBorder="1" applyAlignment="1">
      <alignment vertical="center"/>
    </xf>
    <xf numFmtId="20" fontId="9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0" fontId="90" fillId="2" borderId="12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0" fillId="8" borderId="20" xfId="0" applyFont="1" applyFill="1" applyBorder="1" applyAlignment="1">
      <alignment horizontal="center" vertical="center"/>
    </xf>
    <xf numFmtId="14" fontId="100" fillId="7" borderId="12" xfId="0" applyNumberFormat="1" applyFont="1" applyFill="1" applyBorder="1" applyAlignment="1">
      <alignment horizontal="center" vertical="center"/>
    </xf>
    <xf numFmtId="20" fontId="88" fillId="2" borderId="28" xfId="0" applyNumberFormat="1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9" fontId="100" fillId="8" borderId="12" xfId="0" applyNumberFormat="1" applyFont="1" applyFill="1" applyBorder="1" applyAlignment="1">
      <alignment horizontal="center" vertical="center"/>
    </xf>
    <xf numFmtId="1" fontId="10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14" fontId="10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0" fillId="2" borderId="20" xfId="0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vertical="center"/>
    </xf>
    <xf numFmtId="0" fontId="101" fillId="2" borderId="28" xfId="0" applyFont="1" applyFill="1" applyBorder="1"/>
    <xf numFmtId="0" fontId="100" fillId="2" borderId="28" xfId="0" applyFont="1" applyFill="1" applyBorder="1" applyAlignment="1">
      <alignment horizontal="center" vertical="center"/>
    </xf>
    <xf numFmtId="14" fontId="100" fillId="7" borderId="10" xfId="0" applyNumberFormat="1" applyFont="1" applyFill="1" applyBorder="1" applyAlignment="1">
      <alignment vertical="center"/>
    </xf>
    <xf numFmtId="14" fontId="100" fillId="7" borderId="10" xfId="0" applyNumberFormat="1" applyFont="1" applyFill="1" applyBorder="1" applyAlignment="1">
      <alignment horizontal="center" vertical="center"/>
    </xf>
    <xf numFmtId="14" fontId="100" fillId="2" borderId="10" xfId="0" applyNumberFormat="1" applyFont="1" applyFill="1" applyBorder="1" applyAlignment="1">
      <alignment vertical="center"/>
    </xf>
    <xf numFmtId="14" fontId="100" fillId="2" borderId="10" xfId="0" applyNumberFormat="1" applyFont="1" applyFill="1" applyBorder="1" applyAlignment="1">
      <alignment horizontal="center" vertical="center"/>
    </xf>
    <xf numFmtId="0" fontId="100" fillId="2" borderId="10" xfId="0" applyFont="1" applyFill="1" applyBorder="1" applyAlignment="1">
      <alignment horizontal="center" vertical="center"/>
    </xf>
    <xf numFmtId="1" fontId="100" fillId="8" borderId="10" xfId="0" applyNumberFormat="1" applyFont="1" applyFill="1" applyBorder="1" applyAlignment="1">
      <alignment horizontal="center" vertical="center"/>
    </xf>
    <xf numFmtId="0" fontId="100" fillId="8" borderId="10" xfId="0" applyFont="1" applyFill="1" applyBorder="1" applyAlignment="1">
      <alignment horizontal="center" vertical="center"/>
    </xf>
    <xf numFmtId="14" fontId="100" fillId="7" borderId="17" xfId="0" applyNumberFormat="1" applyFont="1" applyFill="1" applyBorder="1" applyAlignment="1">
      <alignment vertical="center"/>
    </xf>
    <xf numFmtId="14" fontId="100" fillId="2" borderId="17" xfId="0" applyNumberFormat="1" applyFont="1" applyFill="1" applyBorder="1" applyAlignment="1">
      <alignment vertical="center"/>
    </xf>
    <xf numFmtId="14" fontId="100" fillId="2" borderId="17" xfId="0" applyNumberFormat="1" applyFont="1" applyFill="1" applyBorder="1" applyAlignment="1">
      <alignment horizontal="center" vertical="center"/>
    </xf>
    <xf numFmtId="0" fontId="10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0" fillId="9" borderId="28" xfId="0" applyFont="1" applyFill="1" applyBorder="1" applyAlignment="1">
      <alignment horizontal="center" vertical="center"/>
    </xf>
    <xf numFmtId="0" fontId="101" fillId="2" borderId="10" xfId="0" applyFont="1" applyFill="1" applyBorder="1"/>
    <xf numFmtId="0" fontId="101" fillId="2" borderId="17" xfId="0" applyFont="1" applyFill="1" applyBorder="1"/>
    <xf numFmtId="0" fontId="0" fillId="2" borderId="17" xfId="0" applyFill="1" applyBorder="1"/>
    <xf numFmtId="0" fontId="100" fillId="9" borderId="17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/>
    </xf>
    <xf numFmtId="9" fontId="100" fillId="2" borderId="12" xfId="0" applyNumberFormat="1" applyFont="1" applyFill="1" applyBorder="1" applyAlignment="1">
      <alignment horizontal="center" vertical="center"/>
    </xf>
    <xf numFmtId="1" fontId="100" fillId="8" borderId="28" xfId="0" applyNumberFormat="1" applyFont="1" applyFill="1" applyBorder="1" applyAlignment="1">
      <alignment horizontal="center" vertical="center"/>
    </xf>
    <xf numFmtId="0" fontId="95" fillId="18" borderId="28" xfId="0" applyFont="1" applyFill="1" applyBorder="1" applyAlignment="1">
      <alignment horizontal="center" vertical="center"/>
    </xf>
    <xf numFmtId="0" fontId="9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0" fillId="0" borderId="47" xfId="0" applyNumberFormat="1" applyFont="1" applyBorder="1" applyAlignment="1">
      <alignment horizontal="center"/>
    </xf>
    <xf numFmtId="1" fontId="100" fillId="0" borderId="12" xfId="0" applyNumberFormat="1" applyFont="1" applyBorder="1" applyAlignment="1">
      <alignment horizontal="center"/>
    </xf>
    <xf numFmtId="174" fontId="100" fillId="0" borderId="12" xfId="0" applyNumberFormat="1" applyFont="1" applyBorder="1" applyAlignment="1">
      <alignment horizontal="center"/>
    </xf>
    <xf numFmtId="0" fontId="10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0" fillId="2" borderId="12" xfId="0" applyFont="1" applyFill="1" applyBorder="1" applyAlignment="1">
      <alignment vertical="top" wrapText="1"/>
    </xf>
    <xf numFmtId="0" fontId="9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5" fillId="18" borderId="30" xfId="0" applyFont="1" applyFill="1" applyBorder="1" applyAlignment="1">
      <alignment horizontal="center" vertical="center"/>
    </xf>
    <xf numFmtId="0" fontId="9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5" fillId="20" borderId="12" xfId="0" applyFont="1" applyFill="1" applyBorder="1" applyAlignment="1">
      <alignment horizontal="center"/>
    </xf>
    <xf numFmtId="0" fontId="95" fillId="18" borderId="20" xfId="0" applyFont="1" applyFill="1" applyBorder="1" applyAlignment="1">
      <alignment horizontal="center" vertical="center"/>
    </xf>
    <xf numFmtId="0" fontId="95" fillId="18" borderId="21" xfId="0" applyFont="1" applyFill="1" applyBorder="1" applyAlignment="1">
      <alignment horizontal="center" vertical="center"/>
    </xf>
    <xf numFmtId="43" fontId="9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8" fillId="2" borderId="12" xfId="0" applyNumberFormat="1" applyFont="1" applyFill="1" applyBorder="1" applyAlignment="1">
      <alignment horizontal="center" vertical="center"/>
    </xf>
    <xf numFmtId="0" fontId="95" fillId="18" borderId="30" xfId="0" applyFont="1" applyFill="1" applyBorder="1" applyAlignment="1">
      <alignment horizontal="center"/>
    </xf>
    <xf numFmtId="0" fontId="95" fillId="18" borderId="32" xfId="0" applyFont="1" applyFill="1" applyBorder="1" applyAlignment="1">
      <alignment horizontal="center"/>
    </xf>
    <xf numFmtId="0" fontId="9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5" fillId="4" borderId="12" xfId="0" applyFont="1" applyFill="1" applyBorder="1"/>
    <xf numFmtId="0" fontId="95" fillId="18" borderId="12" xfId="0" applyFont="1" applyFill="1" applyBorder="1"/>
    <xf numFmtId="0" fontId="95" fillId="18" borderId="12" xfId="0" applyFont="1" applyFill="1" applyBorder="1" applyAlignment="1">
      <alignment horizontal="left"/>
    </xf>
    <xf numFmtId="0" fontId="76" fillId="2" borderId="12" xfId="0" applyFont="1" applyFill="1" applyBorder="1"/>
    <xf numFmtId="0" fontId="94" fillId="3" borderId="0" xfId="0" applyFont="1" applyFill="1" applyAlignment="1">
      <alignment horizontal="center"/>
    </xf>
    <xf numFmtId="0" fontId="94" fillId="3" borderId="19" xfId="0" applyFont="1" applyFill="1" applyBorder="1" applyAlignment="1">
      <alignment horizontal="center"/>
    </xf>
    <xf numFmtId="0" fontId="9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6" fillId="2" borderId="28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0" fillId="3" borderId="19" xfId="0" applyFont="1" applyFill="1" applyBorder="1" applyAlignment="1">
      <alignment horizontal="center" vertical="center"/>
    </xf>
    <xf numFmtId="165" fontId="110" fillId="3" borderId="21" xfId="1" applyNumberFormat="1" applyFont="1" applyFill="1" applyBorder="1" applyAlignment="1">
      <alignment horizontal="center" vertical="center"/>
    </xf>
    <xf numFmtId="166" fontId="110" fillId="3" borderId="21" xfId="0" applyNumberFormat="1" applyFont="1" applyFill="1" applyBorder="1" applyAlignment="1">
      <alignment horizontal="center" vertical="center"/>
    </xf>
    <xf numFmtId="9" fontId="110" fillId="3" borderId="21" xfId="2" applyFont="1" applyFill="1" applyBorder="1" applyAlignment="1">
      <alignment horizontal="center" vertical="center"/>
    </xf>
    <xf numFmtId="9" fontId="110" fillId="3" borderId="22" xfId="2" applyFont="1" applyFill="1" applyBorder="1" applyAlignment="1">
      <alignment horizontal="center" vertical="center" wrapText="1"/>
    </xf>
    <xf numFmtId="14" fontId="115" fillId="2" borderId="9" xfId="0" applyNumberFormat="1" applyFont="1" applyFill="1" applyBorder="1" applyAlignment="1">
      <alignment horizontal="center" vertical="center"/>
    </xf>
    <xf numFmtId="0" fontId="115" fillId="2" borderId="10" xfId="0" applyFont="1" applyFill="1" applyBorder="1" applyAlignment="1">
      <alignment vertical="center"/>
    </xf>
    <xf numFmtId="165" fontId="115" fillId="2" borderId="10" xfId="1" applyNumberFormat="1" applyFont="1" applyFill="1" applyBorder="1" applyAlignment="1">
      <alignment horizontal="center" vertical="center"/>
    </xf>
    <xf numFmtId="166" fontId="115" fillId="2" borderId="10" xfId="0" applyNumberFormat="1" applyFont="1" applyFill="1" applyBorder="1" applyAlignment="1">
      <alignment horizontal="center" vertical="center"/>
    </xf>
    <xf numFmtId="9" fontId="115" fillId="2" borderId="10" xfId="2" applyFont="1" applyFill="1" applyBorder="1" applyAlignment="1">
      <alignment horizontal="center" vertical="center"/>
    </xf>
    <xf numFmtId="167" fontId="115" fillId="2" borderId="11" xfId="1" applyNumberFormat="1" applyFont="1" applyFill="1" applyBorder="1" applyAlignment="1">
      <alignment horizontal="center" vertical="center"/>
    </xf>
    <xf numFmtId="0" fontId="115" fillId="2" borderId="11" xfId="0" applyFont="1" applyFill="1" applyBorder="1" applyAlignment="1">
      <alignment horizontal="center" vertical="center"/>
    </xf>
    <xf numFmtId="1" fontId="115" fillId="2" borderId="11" xfId="0" applyNumberFormat="1" applyFont="1" applyFill="1" applyBorder="1" applyAlignment="1">
      <alignment horizontal="center" vertical="center"/>
    </xf>
    <xf numFmtId="165" fontId="115" fillId="2" borderId="10" xfId="0" applyNumberFormat="1" applyFont="1" applyFill="1" applyBorder="1" applyAlignment="1">
      <alignment horizontal="center" vertical="center"/>
    </xf>
    <xf numFmtId="0" fontId="115" fillId="2" borderId="12" xfId="0" applyFont="1" applyFill="1" applyBorder="1"/>
    <xf numFmtId="14" fontId="115" fillId="2" borderId="14" xfId="0" applyNumberFormat="1" applyFont="1" applyFill="1" applyBorder="1" applyAlignment="1">
      <alignment horizontal="center" vertical="center"/>
    </xf>
    <xf numFmtId="0" fontId="115" fillId="2" borderId="15" xfId="0" applyFont="1" applyFill="1" applyBorder="1" applyAlignment="1">
      <alignment vertical="center"/>
    </xf>
    <xf numFmtId="165" fontId="115" fillId="2" borderId="15" xfId="1" applyNumberFormat="1" applyFont="1" applyFill="1" applyBorder="1" applyAlignment="1">
      <alignment horizontal="center" vertical="center"/>
    </xf>
    <xf numFmtId="166" fontId="115" fillId="2" borderId="15" xfId="0" applyNumberFormat="1" applyFont="1" applyFill="1" applyBorder="1" applyAlignment="1">
      <alignment horizontal="center" vertical="center"/>
    </xf>
    <xf numFmtId="9" fontId="115" fillId="2" borderId="15" xfId="2" applyFont="1" applyFill="1" applyBorder="1" applyAlignment="1">
      <alignment horizontal="center" vertical="center"/>
    </xf>
    <xf numFmtId="165" fontId="115" fillId="2" borderId="17" xfId="1" applyNumberFormat="1" applyFont="1" applyFill="1" applyBorder="1" applyAlignment="1">
      <alignment horizontal="center" vertical="center"/>
    </xf>
    <xf numFmtId="167" fontId="115" fillId="2" borderId="16" xfId="1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/>
    <xf numFmtId="168" fontId="115" fillId="2" borderId="12" xfId="0" applyNumberFormat="1" applyFont="1" applyFill="1" applyBorder="1"/>
    <xf numFmtId="165" fontId="115" fillId="2" borderId="15" xfId="0" applyNumberFormat="1" applyFont="1" applyFill="1" applyBorder="1" applyAlignment="1">
      <alignment horizontal="center" vertical="center"/>
    </xf>
    <xf numFmtId="165" fontId="115" fillId="2" borderId="17" xfId="0" applyNumberFormat="1" applyFont="1" applyFill="1" applyBorder="1" applyAlignment="1">
      <alignment horizontal="center" vertical="center"/>
    </xf>
    <xf numFmtId="167" fontId="115" fillId="2" borderId="12" xfId="0" applyNumberFormat="1" applyFont="1" applyFill="1" applyBorder="1"/>
    <xf numFmtId="0" fontId="115" fillId="2" borderId="17" xfId="0" applyFont="1" applyFill="1" applyBorder="1" applyAlignment="1">
      <alignment vertical="center"/>
    </xf>
    <xf numFmtId="1" fontId="115" fillId="2" borderId="16" xfId="0" applyNumberFormat="1" applyFont="1" applyFill="1" applyBorder="1" applyAlignment="1">
      <alignment horizontal="center" vertical="center"/>
    </xf>
    <xf numFmtId="14" fontId="115" fillId="2" borderId="19" xfId="0" applyNumberFormat="1" applyFont="1" applyFill="1" applyBorder="1" applyAlignment="1">
      <alignment horizontal="center" vertical="center"/>
    </xf>
    <xf numFmtId="0" fontId="115" fillId="2" borderId="20" xfId="0" applyFont="1" applyFill="1" applyBorder="1" applyAlignment="1">
      <alignment vertical="center"/>
    </xf>
    <xf numFmtId="165" fontId="115" fillId="2" borderId="20" xfId="1" applyNumberFormat="1" applyFont="1" applyFill="1" applyBorder="1" applyAlignment="1">
      <alignment horizontal="center" vertical="center"/>
    </xf>
    <xf numFmtId="166" fontId="115" fillId="2" borderId="21" xfId="0" applyNumberFormat="1" applyFont="1" applyFill="1" applyBorder="1" applyAlignment="1">
      <alignment horizontal="center" vertical="center"/>
    </xf>
    <xf numFmtId="9" fontId="115" fillId="2" borderId="21" xfId="2" applyFont="1" applyFill="1" applyBorder="1" applyAlignment="1">
      <alignment horizontal="center" vertical="center"/>
    </xf>
    <xf numFmtId="167" fontId="115" fillId="2" borderId="22" xfId="1" applyNumberFormat="1" applyFont="1" applyFill="1" applyBorder="1" applyAlignment="1">
      <alignment horizontal="center" vertical="center"/>
    </xf>
    <xf numFmtId="1" fontId="115" fillId="2" borderId="22" xfId="0" applyNumberFormat="1" applyFont="1" applyFill="1" applyBorder="1" applyAlignment="1">
      <alignment horizontal="center" vertical="center"/>
    </xf>
    <xf numFmtId="165" fontId="115" fillId="2" borderId="21" xfId="0" applyNumberFormat="1" applyFont="1" applyFill="1" applyBorder="1" applyAlignment="1">
      <alignment horizontal="center" vertical="center"/>
    </xf>
    <xf numFmtId="165" fontId="115" fillId="2" borderId="20" xfId="0" applyNumberFormat="1" applyFont="1" applyFill="1" applyBorder="1" applyAlignment="1">
      <alignment horizontal="center" vertical="center"/>
    </xf>
    <xf numFmtId="165" fontId="115" fillId="2" borderId="23" xfId="0" applyNumberFormat="1" applyFont="1" applyFill="1" applyBorder="1" applyAlignment="1">
      <alignment horizontal="center" vertical="center"/>
    </xf>
    <xf numFmtId="165" fontId="115" fillId="2" borderId="25" xfId="0" applyNumberFormat="1" applyFont="1" applyFill="1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15" fillId="2" borderId="27" xfId="0" applyFont="1" applyFill="1" applyBorder="1" applyAlignment="1">
      <alignment vertical="center"/>
    </xf>
    <xf numFmtId="165" fontId="115" fillId="2" borderId="27" xfId="1" applyNumberFormat="1" applyFont="1" applyFill="1" applyBorder="1" applyAlignment="1">
      <alignment horizontal="center" vertical="center"/>
    </xf>
    <xf numFmtId="166" fontId="115" fillId="2" borderId="27" xfId="0" applyNumberFormat="1" applyFont="1" applyFill="1" applyBorder="1" applyAlignment="1">
      <alignment horizontal="center" vertical="center"/>
    </xf>
    <xf numFmtId="9" fontId="115" fillId="2" borderId="27" xfId="2" applyFont="1" applyFill="1" applyBorder="1" applyAlignment="1">
      <alignment horizontal="center" vertical="center"/>
    </xf>
    <xf numFmtId="165" fontId="115" fillId="2" borderId="15" xfId="0" applyNumberFormat="1" applyFont="1" applyFill="1" applyBorder="1" applyAlignment="1">
      <alignment vertical="center"/>
    </xf>
    <xf numFmtId="165" fontId="115" fillId="2" borderId="17" xfId="0" applyNumberFormat="1" applyFont="1" applyFill="1" applyBorder="1" applyAlignment="1">
      <alignment vertical="center"/>
    </xf>
    <xf numFmtId="175" fontId="115" fillId="2" borderId="27" xfId="2" applyNumberFormat="1" applyFont="1" applyFill="1" applyBorder="1" applyAlignment="1">
      <alignment horizontal="center" vertical="center"/>
    </xf>
    <xf numFmtId="14" fontId="110" fillId="4" borderId="19" xfId="0" applyNumberFormat="1" applyFont="1" applyFill="1" applyBorder="1" applyAlignment="1">
      <alignment horizontal="center" vertical="center"/>
    </xf>
    <xf numFmtId="0" fontId="110" fillId="4" borderId="21" xfId="0" applyFont="1" applyFill="1" applyBorder="1" applyAlignment="1">
      <alignment vertical="center"/>
    </xf>
    <xf numFmtId="165" fontId="110" fillId="4" borderId="21" xfId="1" applyNumberFormat="1" applyFont="1" applyFill="1" applyBorder="1" applyAlignment="1">
      <alignment horizontal="center" vertical="center"/>
    </xf>
    <xf numFmtId="166" fontId="110" fillId="4" borderId="21" xfId="0" applyNumberFormat="1" applyFont="1" applyFill="1" applyBorder="1" applyAlignment="1">
      <alignment horizontal="center" vertical="center"/>
    </xf>
    <xf numFmtId="9" fontId="110" fillId="4" borderId="21" xfId="2" applyFont="1" applyFill="1" applyBorder="1" applyAlignment="1">
      <alignment horizontal="center" vertical="center"/>
    </xf>
    <xf numFmtId="167" fontId="110" fillId="4" borderId="22" xfId="1" applyNumberFormat="1" applyFont="1" applyFill="1" applyBorder="1" applyAlignment="1">
      <alignment horizontal="center" vertical="center"/>
    </xf>
    <xf numFmtId="0" fontId="110" fillId="4" borderId="22" xfId="0" applyFont="1" applyFill="1" applyBorder="1" applyAlignment="1">
      <alignment horizontal="center" vertical="center"/>
    </xf>
    <xf numFmtId="1" fontId="110" fillId="4" borderId="22" xfId="0" applyNumberFormat="1" applyFont="1" applyFill="1" applyBorder="1" applyAlignment="1">
      <alignment horizontal="center" vertical="center"/>
    </xf>
    <xf numFmtId="165" fontId="110" fillId="4" borderId="21" xfId="0" applyNumberFormat="1" applyFont="1" applyFill="1" applyBorder="1" applyAlignment="1">
      <alignment horizontal="center" vertical="center"/>
    </xf>
    <xf numFmtId="0" fontId="110" fillId="4" borderId="17" xfId="0" applyFont="1" applyFill="1" applyBorder="1"/>
    <xf numFmtId="165" fontId="110" fillId="4" borderId="17" xfId="1" applyNumberFormat="1" applyFont="1" applyFill="1" applyBorder="1" applyAlignment="1">
      <alignment horizontal="center" vertical="center"/>
    </xf>
    <xf numFmtId="9" fontId="110" fillId="4" borderId="17" xfId="2" applyFont="1" applyFill="1" applyBorder="1" applyAlignment="1">
      <alignment horizontal="center" vertical="center"/>
    </xf>
    <xf numFmtId="1" fontId="110" fillId="4" borderId="17" xfId="0" applyNumberFormat="1" applyFont="1" applyFill="1" applyBorder="1" applyAlignment="1">
      <alignment horizontal="center"/>
    </xf>
    <xf numFmtId="165" fontId="11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0" fillId="4" borderId="54" xfId="0" applyNumberFormat="1" applyFont="1" applyFill="1" applyBorder="1" applyAlignment="1">
      <alignment vertical="center"/>
    </xf>
    <xf numFmtId="0" fontId="110" fillId="3" borderId="22" xfId="0" applyFont="1" applyFill="1" applyBorder="1" applyAlignment="1">
      <alignment horizontal="center" vertical="center" wrapText="1"/>
    </xf>
    <xf numFmtId="0" fontId="110" fillId="3" borderId="21" xfId="0" applyFont="1" applyFill="1" applyBorder="1" applyAlignment="1">
      <alignment horizontal="center" vertical="center"/>
    </xf>
    <xf numFmtId="0" fontId="110" fillId="3" borderId="21" xfId="0" applyFont="1" applyFill="1" applyBorder="1" applyAlignment="1">
      <alignment horizontal="center" vertical="center" wrapText="1"/>
    </xf>
    <xf numFmtId="0" fontId="110" fillId="20" borderId="28" xfId="0" applyFont="1" applyFill="1" applyBorder="1" applyAlignment="1">
      <alignment horizontal="center" vertical="center"/>
    </xf>
    <xf numFmtId="14" fontId="115" fillId="17" borderId="9" xfId="0" applyNumberFormat="1" applyFont="1" applyFill="1" applyBorder="1" applyAlignment="1">
      <alignment horizontal="center" vertical="center"/>
    </xf>
    <xf numFmtId="0" fontId="115" fillId="17" borderId="10" xfId="0" applyFont="1" applyFill="1" applyBorder="1" applyAlignment="1">
      <alignment vertical="center"/>
    </xf>
    <xf numFmtId="165" fontId="115" fillId="17" borderId="10" xfId="1" applyNumberFormat="1" applyFont="1" applyFill="1" applyBorder="1" applyAlignment="1">
      <alignment horizontal="center" vertical="center"/>
    </xf>
    <xf numFmtId="166" fontId="115" fillId="17" borderId="10" xfId="0" applyNumberFormat="1" applyFont="1" applyFill="1" applyBorder="1" applyAlignment="1">
      <alignment horizontal="center" vertical="center"/>
    </xf>
    <xf numFmtId="9" fontId="115" fillId="17" borderId="10" xfId="2" applyFont="1" applyFill="1" applyBorder="1" applyAlignment="1">
      <alignment horizontal="center" vertical="center"/>
    </xf>
    <xf numFmtId="167" fontId="115" fillId="17" borderId="11" xfId="1" applyNumberFormat="1" applyFont="1" applyFill="1" applyBorder="1" applyAlignment="1">
      <alignment horizontal="center" vertical="center"/>
    </xf>
    <xf numFmtId="1" fontId="115" fillId="17" borderId="11" xfId="0" applyNumberFormat="1" applyFont="1" applyFill="1" applyBorder="1" applyAlignment="1">
      <alignment horizontal="center" vertical="center"/>
    </xf>
    <xf numFmtId="165" fontId="115" fillId="17" borderId="10" xfId="0" applyNumberFormat="1" applyFont="1" applyFill="1" applyBorder="1" applyAlignment="1">
      <alignment horizontal="center" vertical="center"/>
    </xf>
    <xf numFmtId="0" fontId="115" fillId="17" borderId="12" xfId="0" applyFont="1" applyFill="1" applyBorder="1"/>
    <xf numFmtId="14" fontId="115" fillId="17" borderId="14" xfId="0" applyNumberFormat="1" applyFont="1" applyFill="1" applyBorder="1" applyAlignment="1">
      <alignment horizontal="center" vertical="center"/>
    </xf>
    <xf numFmtId="0" fontId="115" fillId="17" borderId="15" xfId="0" applyFont="1" applyFill="1" applyBorder="1" applyAlignment="1">
      <alignment vertical="center"/>
    </xf>
    <xf numFmtId="165" fontId="115" fillId="17" borderId="17" xfId="1" applyNumberFormat="1" applyFont="1" applyFill="1" applyBorder="1" applyAlignment="1">
      <alignment horizontal="center" vertical="center"/>
    </xf>
    <xf numFmtId="9" fontId="115" fillId="17" borderId="15" xfId="2" applyFont="1" applyFill="1" applyBorder="1" applyAlignment="1">
      <alignment horizontal="center" vertical="center"/>
    </xf>
    <xf numFmtId="167" fontId="115" fillId="17" borderId="16" xfId="1" applyNumberFormat="1" applyFont="1" applyFill="1" applyBorder="1" applyAlignment="1">
      <alignment horizontal="center" vertical="center"/>
    </xf>
    <xf numFmtId="165" fontId="115" fillId="17" borderId="15" xfId="0" applyNumberFormat="1" applyFont="1" applyFill="1" applyBorder="1" applyAlignment="1">
      <alignment horizontal="center" vertical="center"/>
    </xf>
    <xf numFmtId="165" fontId="115" fillId="17" borderId="12" xfId="0" applyNumberFormat="1" applyFont="1" applyFill="1" applyBorder="1"/>
    <xf numFmtId="165" fontId="115" fillId="17" borderId="17" xfId="0" applyNumberFormat="1" applyFont="1" applyFill="1" applyBorder="1" applyAlignment="1">
      <alignment horizontal="center" vertical="center"/>
    </xf>
    <xf numFmtId="0" fontId="115" fillId="17" borderId="17" xfId="0" applyFont="1" applyFill="1" applyBorder="1" applyAlignment="1">
      <alignment vertical="center"/>
    </xf>
    <xf numFmtId="1" fontId="11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5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0" fontId="72" fillId="2" borderId="7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left" vertical="center"/>
    </xf>
    <xf numFmtId="0" fontId="115" fillId="2" borderId="12" xfId="0" applyFont="1" applyFill="1" applyBorder="1" applyAlignment="1">
      <alignment wrapText="1"/>
    </xf>
    <xf numFmtId="0" fontId="7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5" fillId="4" borderId="12" xfId="0" applyFont="1" applyFill="1" applyBorder="1" applyAlignment="1">
      <alignment horizontal="center" wrapText="1"/>
    </xf>
    <xf numFmtId="166" fontId="116" fillId="17" borderId="10" xfId="0" applyNumberFormat="1" applyFont="1" applyFill="1" applyBorder="1" applyAlignment="1">
      <alignment horizontal="center" vertical="center"/>
    </xf>
    <xf numFmtId="166" fontId="116" fillId="2" borderId="21" xfId="0" applyNumberFormat="1" applyFont="1" applyFill="1" applyBorder="1" applyAlignment="1">
      <alignment horizontal="center" vertical="center"/>
    </xf>
    <xf numFmtId="166" fontId="116" fillId="17" borderId="15" xfId="0" applyNumberFormat="1" applyFont="1" applyFill="1" applyBorder="1" applyAlignment="1">
      <alignment horizontal="center" vertical="center"/>
    </xf>
    <xf numFmtId="166" fontId="116" fillId="2" borderId="15" xfId="0" applyNumberFormat="1" applyFont="1" applyFill="1" applyBorder="1" applyAlignment="1">
      <alignment horizontal="center" vertical="center"/>
    </xf>
    <xf numFmtId="166" fontId="116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0" fillId="18" borderId="12" xfId="0" applyFont="1" applyFill="1" applyBorder="1" applyAlignment="1">
      <alignment horizontal="center"/>
    </xf>
    <xf numFmtId="0" fontId="9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5" fillId="18" borderId="12" xfId="0" applyNumberFormat="1" applyFont="1" applyFill="1" applyBorder="1" applyAlignment="1">
      <alignment horizontal="center" wrapText="1"/>
    </xf>
    <xf numFmtId="14" fontId="69" fillId="2" borderId="12" xfId="0" applyNumberFormat="1" applyFont="1" applyFill="1" applyBorder="1"/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/>
    </xf>
    <xf numFmtId="173" fontId="100" fillId="0" borderId="47" xfId="0" applyNumberFormat="1" applyFont="1" applyBorder="1" applyAlignment="1">
      <alignment horizontal="center"/>
    </xf>
    <xf numFmtId="1" fontId="100" fillId="0" borderId="20" xfId="0" applyNumberFormat="1" applyFont="1" applyBorder="1" applyAlignment="1">
      <alignment horizontal="center"/>
    </xf>
    <xf numFmtId="0" fontId="100" fillId="0" borderId="20" xfId="0" applyFont="1" applyBorder="1"/>
    <xf numFmtId="9" fontId="100" fillId="0" borderId="20" xfId="0" applyNumberFormat="1" applyFont="1" applyBorder="1" applyAlignment="1">
      <alignment horizontal="center"/>
    </xf>
    <xf numFmtId="0" fontId="100" fillId="0" borderId="20" xfId="0" applyFont="1" applyBorder="1" applyAlignment="1">
      <alignment horizontal="center"/>
    </xf>
    <xf numFmtId="173" fontId="100" fillId="14" borderId="12" xfId="0" applyNumberFormat="1" applyFont="1" applyFill="1" applyBorder="1" applyAlignment="1">
      <alignment horizontal="center"/>
    </xf>
    <xf numFmtId="43" fontId="100" fillId="14" borderId="12" xfId="1" applyFont="1" applyFill="1" applyBorder="1" applyAlignment="1">
      <alignment horizontal="center"/>
    </xf>
    <xf numFmtId="0" fontId="100" fillId="21" borderId="12" xfId="0" applyFont="1" applyFill="1" applyBorder="1" applyAlignment="1">
      <alignment horizontal="center"/>
    </xf>
    <xf numFmtId="0" fontId="100" fillId="14" borderId="12" xfId="0" applyFont="1" applyFill="1" applyBorder="1"/>
    <xf numFmtId="1" fontId="100" fillId="21" borderId="12" xfId="0" applyNumberFormat="1" applyFont="1" applyFill="1" applyBorder="1" applyAlignment="1">
      <alignment horizontal="center"/>
    </xf>
    <xf numFmtId="2" fontId="100" fillId="21" borderId="12" xfId="0" applyNumberFormat="1" applyFont="1" applyFill="1" applyBorder="1" applyAlignment="1">
      <alignment horizontal="center"/>
    </xf>
    <xf numFmtId="176" fontId="100" fillId="21" borderId="12" xfId="0" applyNumberFormat="1" applyFont="1" applyFill="1" applyBorder="1" applyAlignment="1">
      <alignment horizontal="center"/>
    </xf>
    <xf numFmtId="9" fontId="100" fillId="21" borderId="12" xfId="0" applyNumberFormat="1" applyFont="1" applyFill="1" applyBorder="1" applyAlignment="1">
      <alignment horizontal="center"/>
    </xf>
    <xf numFmtId="0" fontId="100" fillId="14" borderId="12" xfId="0" applyFont="1" applyFill="1" applyBorder="1" applyAlignment="1">
      <alignment horizontal="center"/>
    </xf>
    <xf numFmtId="0" fontId="102" fillId="21" borderId="12" xfId="0" applyFont="1" applyFill="1" applyBorder="1" applyAlignment="1">
      <alignment horizontal="center" wrapText="1"/>
    </xf>
    <xf numFmtId="43" fontId="100" fillId="21" borderId="12" xfId="1" applyFont="1" applyFill="1" applyBorder="1" applyAlignment="1">
      <alignment horizontal="center"/>
    </xf>
    <xf numFmtId="1" fontId="100" fillId="14" borderId="48" xfId="0" applyNumberFormat="1" applyFont="1" applyFill="1" applyBorder="1" applyAlignment="1">
      <alignment horizontal="center"/>
    </xf>
    <xf numFmtId="0" fontId="9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7" fillId="2" borderId="7" xfId="0" applyFont="1" applyFill="1" applyBorder="1" applyAlignment="1">
      <alignment vertical="center"/>
    </xf>
    <xf numFmtId="0" fontId="9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5" fillId="2" borderId="7" xfId="0" applyFont="1" applyFill="1" applyBorder="1" applyAlignment="1">
      <alignment vertical="center"/>
    </xf>
    <xf numFmtId="0" fontId="98" fillId="16" borderId="0" xfId="0" applyFont="1" applyFill="1"/>
    <xf numFmtId="0" fontId="0" fillId="16" borderId="0" xfId="0" applyFill="1"/>
    <xf numFmtId="180" fontId="98" fillId="16" borderId="0" xfId="3" applyNumberFormat="1" applyFont="1" applyFill="1"/>
    <xf numFmtId="0" fontId="95" fillId="0" borderId="0" xfId="0" applyFont="1" applyAlignment="1">
      <alignment horizontal="center"/>
    </xf>
    <xf numFmtId="0" fontId="95" fillId="18" borderId="7" xfId="0" applyFont="1" applyFill="1" applyBorder="1" applyAlignment="1">
      <alignment horizontal="center"/>
    </xf>
    <xf numFmtId="0" fontId="9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5" fillId="4" borderId="12" xfId="0" applyNumberFormat="1" applyFont="1" applyFill="1" applyBorder="1" applyAlignment="1">
      <alignment horizontal="center"/>
    </xf>
    <xf numFmtId="0" fontId="9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1" fillId="2" borderId="7" xfId="0" applyFont="1" applyFill="1" applyBorder="1" applyAlignment="1">
      <alignment vertical="center"/>
    </xf>
    <xf numFmtId="0" fontId="60" fillId="2" borderId="28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4" fillId="2" borderId="13" xfId="0" applyNumberFormat="1" applyFont="1" applyFill="1" applyBorder="1" applyAlignment="1">
      <alignment vertical="center"/>
    </xf>
    <xf numFmtId="14" fontId="94" fillId="2" borderId="14" xfId="0" applyNumberFormat="1" applyFont="1" applyFill="1" applyBorder="1" applyAlignment="1">
      <alignment vertical="center"/>
    </xf>
    <xf numFmtId="1" fontId="11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left" vertical="center"/>
    </xf>
    <xf numFmtId="14" fontId="55" fillId="2" borderId="20" xfId="0" applyNumberFormat="1" applyFont="1" applyFill="1" applyBorder="1" applyAlignment="1">
      <alignment horizontal="center" vertical="center"/>
    </xf>
    <xf numFmtId="0" fontId="55" fillId="2" borderId="7" xfId="0" applyFont="1" applyFill="1" applyBorder="1" applyAlignment="1">
      <alignment vertical="center"/>
    </xf>
    <xf numFmtId="0" fontId="5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4" fillId="2" borderId="12" xfId="0" applyNumberFormat="1" applyFont="1" applyFill="1" applyBorder="1" applyAlignment="1">
      <alignment horizontal="center" vertical="center"/>
    </xf>
    <xf numFmtId="1" fontId="94" fillId="2" borderId="12" xfId="0" applyNumberFormat="1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20" fontId="94" fillId="23" borderId="12" xfId="0" applyNumberFormat="1" applyFont="1" applyFill="1" applyBorder="1" applyAlignment="1">
      <alignment horizontal="center" vertical="center"/>
    </xf>
    <xf numFmtId="1" fontId="94" fillId="23" borderId="12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1" fontId="94" fillId="22" borderId="12" xfId="0" applyNumberFormat="1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14" fontId="65" fillId="22" borderId="10" xfId="0" applyNumberFormat="1" applyFont="1" applyFill="1" applyBorder="1" applyAlignment="1">
      <alignment horizontal="center" vertical="center"/>
    </xf>
    <xf numFmtId="14" fontId="65" fillId="22" borderId="17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5" fillId="23" borderId="17" xfId="0" applyNumberFormat="1" applyFont="1" applyFill="1" applyBorder="1" applyAlignment="1">
      <alignment horizontal="center" vertical="center"/>
    </xf>
    <xf numFmtId="14" fontId="94" fillId="23" borderId="17" xfId="0" applyNumberFormat="1" applyFont="1" applyFill="1" applyBorder="1" applyAlignment="1">
      <alignment horizontal="center" vertical="center"/>
    </xf>
    <xf numFmtId="14" fontId="6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 wrapText="1"/>
    </xf>
    <xf numFmtId="14" fontId="5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8" fillId="22" borderId="28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56" fillId="23" borderId="20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4" fontId="5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5" fillId="2" borderId="0" xfId="0" applyFont="1" applyFill="1"/>
    <xf numFmtId="0" fontId="95" fillId="22" borderId="10" xfId="0" applyFont="1" applyFill="1" applyBorder="1" applyAlignment="1">
      <alignment horizontal="center"/>
    </xf>
    <xf numFmtId="0" fontId="95" fillId="22" borderId="17" xfId="0" applyFont="1" applyFill="1" applyBorder="1" applyAlignment="1">
      <alignment horizontal="center"/>
    </xf>
    <xf numFmtId="0" fontId="95" fillId="23" borderId="10" xfId="0" applyFont="1" applyFill="1" applyBorder="1" applyAlignment="1">
      <alignment horizontal="center"/>
    </xf>
    <xf numFmtId="0" fontId="95" fillId="23" borderId="17" xfId="0" applyFont="1" applyFill="1" applyBorder="1" applyAlignment="1">
      <alignment horizontal="center"/>
    </xf>
    <xf numFmtId="0" fontId="95" fillId="23" borderId="28" xfId="0" applyFont="1" applyFill="1" applyBorder="1" applyAlignment="1">
      <alignment horizontal="center"/>
    </xf>
    <xf numFmtId="0" fontId="95" fillId="23" borderId="20" xfId="0" applyFont="1" applyFill="1" applyBorder="1" applyAlignment="1">
      <alignment horizontal="center"/>
    </xf>
    <xf numFmtId="0" fontId="95" fillId="22" borderId="12" xfId="0" applyFont="1" applyFill="1" applyBorder="1" applyAlignment="1">
      <alignment horizontal="center"/>
    </xf>
    <xf numFmtId="0" fontId="95" fillId="22" borderId="28" xfId="0" applyFont="1" applyFill="1" applyBorder="1" applyAlignment="1">
      <alignment horizontal="center"/>
    </xf>
    <xf numFmtId="0" fontId="95" fillId="23" borderId="12" xfId="0" applyFont="1" applyFill="1" applyBorder="1" applyAlignment="1">
      <alignment horizontal="center"/>
    </xf>
    <xf numFmtId="0" fontId="95" fillId="2" borderId="20" xfId="0" applyFont="1" applyFill="1" applyBorder="1" applyAlignment="1">
      <alignment horizontal="center"/>
    </xf>
    <xf numFmtId="0" fontId="95" fillId="2" borderId="10" xfId="0" applyFont="1" applyFill="1" applyBorder="1" applyAlignment="1">
      <alignment horizontal="center"/>
    </xf>
    <xf numFmtId="14" fontId="62" fillId="22" borderId="12" xfId="0" applyNumberFormat="1" applyFont="1" applyFill="1" applyBorder="1" applyAlignment="1">
      <alignment horizontal="center" vertical="center" wrapText="1"/>
    </xf>
    <xf numFmtId="14" fontId="5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5" fillId="2" borderId="0" xfId="0" applyFont="1" applyFill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20" fontId="91" fillId="22" borderId="12" xfId="0" applyNumberFormat="1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top" wrapText="1"/>
    </xf>
    <xf numFmtId="0" fontId="64" fillId="22" borderId="12" xfId="0" applyFont="1" applyFill="1" applyBorder="1" applyAlignment="1">
      <alignment horizontal="left" vertical="center" wrapText="1"/>
    </xf>
    <xf numFmtId="0" fontId="64" fillId="23" borderId="12" xfId="0" applyFont="1" applyFill="1" applyBorder="1" applyAlignment="1">
      <alignment horizontal="left" vertical="center" wrapText="1"/>
    </xf>
    <xf numFmtId="20" fontId="88" fillId="23" borderId="12" xfId="0" applyNumberFormat="1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/>
    </xf>
    <xf numFmtId="0" fontId="91" fillId="22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0" fontId="89" fillId="23" borderId="12" xfId="0" applyFont="1" applyFill="1" applyBorder="1" applyAlignment="1">
      <alignment horizontal="center" vertical="center"/>
    </xf>
    <xf numFmtId="0" fontId="88" fillId="23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86" fillId="22" borderId="12" xfId="0" applyNumberFormat="1" applyFont="1" applyFill="1" applyBorder="1" applyAlignment="1">
      <alignment horizontal="center" vertical="center"/>
    </xf>
    <xf numFmtId="0" fontId="87" fillId="22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 wrapText="1"/>
    </xf>
    <xf numFmtId="0" fontId="59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0" fontId="85" fillId="22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 wrapText="1"/>
    </xf>
    <xf numFmtId="0" fontId="85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0" fontId="55" fillId="23" borderId="12" xfId="0" applyFont="1" applyFill="1" applyBorder="1" applyAlignment="1">
      <alignment horizontal="center" vertical="center"/>
    </xf>
    <xf numFmtId="0" fontId="84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2" fillId="2" borderId="20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" fontId="94" fillId="23" borderId="28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20" fontId="94" fillId="23" borderId="20" xfId="0" applyNumberFormat="1" applyFont="1" applyFill="1" applyBorder="1" applyAlignment="1">
      <alignment horizontal="center" vertical="center"/>
    </xf>
    <xf numFmtId="0" fontId="80" fillId="23" borderId="28" xfId="0" applyFont="1" applyFill="1" applyBorder="1" applyAlignment="1">
      <alignment horizontal="center" vertical="center"/>
    </xf>
    <xf numFmtId="20" fontId="94" fillId="23" borderId="28" xfId="0" applyNumberFormat="1" applyFont="1" applyFill="1" applyBorder="1" applyAlignment="1">
      <alignment horizontal="center" vertical="center"/>
    </xf>
    <xf numFmtId="0" fontId="80" fillId="23" borderId="70" xfId="0" applyFont="1" applyFill="1" applyBorder="1" applyAlignment="1">
      <alignment horizontal="center" vertical="center"/>
    </xf>
    <xf numFmtId="20" fontId="94" fillId="23" borderId="70" xfId="0" applyNumberFormat="1" applyFont="1" applyFill="1" applyBorder="1" applyAlignment="1">
      <alignment horizontal="center" vertical="center"/>
    </xf>
    <xf numFmtId="1" fontId="94" fillId="23" borderId="70" xfId="0" applyNumberFormat="1" applyFont="1" applyFill="1" applyBorder="1" applyAlignment="1">
      <alignment horizontal="center" vertical="center"/>
    </xf>
    <xf numFmtId="0" fontId="52" fillId="23" borderId="70" xfId="0" applyFont="1" applyFill="1" applyBorder="1" applyAlignment="1">
      <alignment horizontal="left" vertical="center" wrapText="1"/>
    </xf>
    <xf numFmtId="1" fontId="94" fillId="22" borderId="7" xfId="0" applyNumberFormat="1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left"/>
    </xf>
    <xf numFmtId="0" fontId="52" fillId="22" borderId="68" xfId="0" applyFont="1" applyFill="1" applyBorder="1" applyAlignment="1">
      <alignment horizontal="left" vertical="center" wrapText="1"/>
    </xf>
    <xf numFmtId="1" fontId="9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1" fillId="22" borderId="12" xfId="0" applyNumberFormat="1" applyFont="1" applyFill="1" applyBorder="1" applyAlignment="1">
      <alignment horizontal="left" vertical="center" wrapText="1"/>
    </xf>
    <xf numFmtId="0" fontId="50" fillId="23" borderId="68" xfId="0" applyFont="1" applyFill="1" applyBorder="1" applyAlignment="1">
      <alignment horizontal="left" vertical="center" wrapText="1"/>
    </xf>
    <xf numFmtId="0" fontId="50" fillId="23" borderId="28" xfId="0" applyFont="1" applyFill="1" applyBorder="1" applyAlignment="1">
      <alignment horizontal="left" vertical="center" wrapText="1"/>
    </xf>
    <xf numFmtId="0" fontId="100" fillId="24" borderId="47" xfId="0" applyFont="1" applyFill="1" applyBorder="1"/>
    <xf numFmtId="173" fontId="100" fillId="24" borderId="48" xfId="0" applyNumberFormat="1" applyFont="1" applyFill="1" applyBorder="1" applyAlignment="1">
      <alignment horizontal="center"/>
    </xf>
    <xf numFmtId="1" fontId="100" fillId="24" borderId="48" xfId="0" applyNumberFormat="1" applyFont="1" applyFill="1" applyBorder="1" applyAlignment="1">
      <alignment horizontal="center"/>
    </xf>
    <xf numFmtId="174" fontId="100" fillId="24" borderId="48" xfId="0" applyNumberFormat="1" applyFont="1" applyFill="1" applyBorder="1" applyAlignment="1">
      <alignment horizontal="center"/>
    </xf>
    <xf numFmtId="176" fontId="100" fillId="24" borderId="48" xfId="0" applyNumberFormat="1" applyFont="1" applyFill="1" applyBorder="1" applyAlignment="1">
      <alignment horizontal="center"/>
    </xf>
    <xf numFmtId="9" fontId="100" fillId="24" borderId="48" xfId="0" applyNumberFormat="1" applyFont="1" applyFill="1" applyBorder="1" applyAlignment="1">
      <alignment horizontal="center"/>
    </xf>
    <xf numFmtId="9" fontId="100" fillId="24" borderId="49" xfId="0" applyNumberFormat="1" applyFont="1" applyFill="1" applyBorder="1" applyAlignment="1">
      <alignment horizontal="center"/>
    </xf>
    <xf numFmtId="9" fontId="100" fillId="24" borderId="12" xfId="0" applyNumberFormat="1" applyFont="1" applyFill="1" applyBorder="1" applyAlignment="1">
      <alignment horizontal="center"/>
    </xf>
    <xf numFmtId="0" fontId="100" fillId="24" borderId="12" xfId="0" applyFont="1" applyFill="1" applyBorder="1"/>
    <xf numFmtId="0" fontId="100" fillId="24" borderId="48" xfId="0" applyFont="1" applyFill="1" applyBorder="1"/>
    <xf numFmtId="0" fontId="100" fillId="24" borderId="48" xfId="0" applyFont="1" applyFill="1" applyBorder="1" applyAlignment="1">
      <alignment horizontal="center"/>
    </xf>
    <xf numFmtId="0" fontId="100" fillId="24" borderId="0" xfId="0" applyFont="1" applyFill="1"/>
    <xf numFmtId="0" fontId="0" fillId="24" borderId="0" xfId="0" applyFill="1"/>
    <xf numFmtId="0" fontId="100" fillId="24" borderId="47" xfId="0" applyFont="1" applyFill="1" applyBorder="1" applyAlignment="1">
      <alignment horizontal="center"/>
    </xf>
    <xf numFmtId="0" fontId="100" fillId="24" borderId="50" xfId="0" applyFont="1" applyFill="1" applyBorder="1" applyAlignment="1">
      <alignment horizontal="center"/>
    </xf>
    <xf numFmtId="1" fontId="100" fillId="24" borderId="50" xfId="0" applyNumberFormat="1" applyFont="1" applyFill="1" applyBorder="1" applyAlignment="1">
      <alignment horizontal="center"/>
    </xf>
    <xf numFmtId="176" fontId="10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0" fillId="24" borderId="49" xfId="0" applyFont="1" applyFill="1" applyBorder="1"/>
    <xf numFmtId="0" fontId="100" fillId="24" borderId="49" xfId="0" applyFont="1" applyFill="1" applyBorder="1" applyAlignment="1">
      <alignment horizontal="center"/>
    </xf>
    <xf numFmtId="9" fontId="100" fillId="24" borderId="47" xfId="0" applyNumberFormat="1" applyFont="1" applyFill="1" applyBorder="1" applyAlignment="1">
      <alignment horizontal="center"/>
    </xf>
    <xf numFmtId="2" fontId="100" fillId="24" borderId="48" xfId="0" applyNumberFormat="1" applyFont="1" applyFill="1" applyBorder="1" applyAlignment="1">
      <alignment horizontal="center"/>
    </xf>
    <xf numFmtId="1" fontId="100" fillId="24" borderId="47" xfId="0" applyNumberFormat="1" applyFont="1" applyFill="1" applyBorder="1" applyAlignment="1">
      <alignment horizontal="center"/>
    </xf>
    <xf numFmtId="1" fontId="100" fillId="24" borderId="12" xfId="0" applyNumberFormat="1" applyFont="1" applyFill="1" applyBorder="1" applyAlignment="1">
      <alignment horizontal="center"/>
    </xf>
    <xf numFmtId="0" fontId="10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8" fillId="2" borderId="17" xfId="0" applyNumberFormat="1" applyFont="1" applyFill="1" applyBorder="1" applyAlignment="1">
      <alignment horizontal="center" vertical="center"/>
    </xf>
    <xf numFmtId="0" fontId="95" fillId="17" borderId="0" xfId="0" applyFont="1" applyFill="1" applyAlignment="1">
      <alignment horizontal="center" vertical="center"/>
    </xf>
    <xf numFmtId="14" fontId="53" fillId="22" borderId="20" xfId="0" applyNumberFormat="1" applyFont="1" applyFill="1" applyBorder="1" applyAlignment="1">
      <alignment horizontal="center" vertical="center"/>
    </xf>
    <xf numFmtId="14" fontId="49" fillId="17" borderId="12" xfId="0" applyNumberFormat="1" applyFont="1" applyFill="1" applyBorder="1" applyAlignment="1">
      <alignment horizontal="center" vertical="center"/>
    </xf>
    <xf numFmtId="0" fontId="4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2" fillId="23" borderId="28" xfId="0" applyNumberFormat="1" applyFont="1" applyFill="1" applyBorder="1" applyAlignment="1">
      <alignment horizontal="left" vertical="center" wrapText="1"/>
    </xf>
    <xf numFmtId="0" fontId="95" fillId="23" borderId="21" xfId="0" applyFont="1" applyFill="1" applyBorder="1" applyAlignment="1">
      <alignment horizontal="center"/>
    </xf>
    <xf numFmtId="14" fontId="52" fillId="23" borderId="10" xfId="0" applyNumberFormat="1" applyFont="1" applyFill="1" applyBorder="1" applyAlignment="1">
      <alignment horizontal="center" vertical="center"/>
    </xf>
    <xf numFmtId="14" fontId="52" fillId="23" borderId="17" xfId="0" applyNumberFormat="1" applyFont="1" applyFill="1" applyBorder="1" applyAlignment="1">
      <alignment horizontal="left" vertical="center" wrapText="1"/>
    </xf>
    <xf numFmtId="14" fontId="4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6" fillId="17" borderId="28" xfId="0" applyNumberFormat="1" applyFont="1" applyFill="1" applyBorder="1" applyAlignment="1">
      <alignment horizontal="left" vertical="center" wrapText="1"/>
    </xf>
    <xf numFmtId="14" fontId="48" fillId="22" borderId="28" xfId="0" applyNumberFormat="1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8" fillId="5" borderId="18" xfId="0" applyFont="1" applyFill="1" applyBorder="1"/>
    <xf numFmtId="0" fontId="98" fillId="5" borderId="67" xfId="0" applyFont="1" applyFill="1" applyBorder="1"/>
    <xf numFmtId="170" fontId="98" fillId="5" borderId="0" xfId="3" applyNumberFormat="1" applyFont="1" applyFill="1" applyBorder="1"/>
    <xf numFmtId="0" fontId="98" fillId="5" borderId="13" xfId="0" applyFont="1" applyFill="1" applyBorder="1"/>
    <xf numFmtId="0" fontId="98" fillId="5" borderId="51" xfId="0" applyFont="1" applyFill="1" applyBorder="1"/>
    <xf numFmtId="0" fontId="98" fillId="5" borderId="26" xfId="0" applyFont="1" applyFill="1" applyBorder="1"/>
    <xf numFmtId="181" fontId="0" fillId="2" borderId="0" xfId="0" applyNumberFormat="1" applyFill="1"/>
    <xf numFmtId="0" fontId="99" fillId="5" borderId="0" xfId="0" applyFont="1" applyFill="1"/>
    <xf numFmtId="169" fontId="98" fillId="5" borderId="0" xfId="3" applyNumberFormat="1" applyFont="1" applyFill="1" applyBorder="1"/>
    <xf numFmtId="10" fontId="9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7" fillId="2" borderId="0" xfId="0" applyFont="1" applyFill="1"/>
    <xf numFmtId="180" fontId="98" fillId="0" borderId="72" xfId="3" applyNumberFormat="1" applyFont="1" applyFill="1" applyBorder="1"/>
    <xf numFmtId="0" fontId="95" fillId="3" borderId="71" xfId="0" applyFont="1" applyFill="1" applyBorder="1"/>
    <xf numFmtId="178" fontId="0" fillId="2" borderId="72" xfId="0" applyNumberFormat="1" applyFill="1" applyBorder="1"/>
    <xf numFmtId="0" fontId="98" fillId="23" borderId="18" xfId="0" applyFont="1" applyFill="1" applyBorder="1"/>
    <xf numFmtId="0" fontId="98" fillId="23" borderId="0" xfId="0" applyFont="1" applyFill="1"/>
    <xf numFmtId="171" fontId="98" fillId="23" borderId="0" xfId="0" applyNumberFormat="1" applyFont="1" applyFill="1"/>
    <xf numFmtId="0" fontId="98" fillId="23" borderId="67" xfId="0" applyFont="1" applyFill="1" applyBorder="1"/>
    <xf numFmtId="172" fontId="98" fillId="23" borderId="0" xfId="0" applyNumberFormat="1" applyFont="1" applyFill="1"/>
    <xf numFmtId="1" fontId="94" fillId="23" borderId="20" xfId="0" applyNumberFormat="1" applyFont="1" applyFill="1" applyBorder="1" applyAlignment="1">
      <alignment horizontal="center" vertical="center"/>
    </xf>
    <xf numFmtId="0" fontId="50" fillId="23" borderId="20" xfId="0" applyFont="1" applyFill="1" applyBorder="1" applyAlignment="1">
      <alignment horizontal="left" vertical="center"/>
    </xf>
    <xf numFmtId="14" fontId="94" fillId="23" borderId="74" xfId="0" applyNumberFormat="1" applyFont="1" applyFill="1" applyBorder="1" applyAlignment="1">
      <alignment horizontal="center" vertical="center"/>
    </xf>
    <xf numFmtId="20" fontId="94" fillId="23" borderId="74" xfId="0" applyNumberFormat="1" applyFont="1" applyFill="1" applyBorder="1" applyAlignment="1">
      <alignment horizontal="center" vertical="center"/>
    </xf>
    <xf numFmtId="1" fontId="94" fillId="23" borderId="74" xfId="0" applyNumberFormat="1" applyFont="1" applyFill="1" applyBorder="1" applyAlignment="1">
      <alignment horizontal="center" vertical="center"/>
    </xf>
    <xf numFmtId="0" fontId="53" fillId="23" borderId="74" xfId="0" applyFont="1" applyFill="1" applyBorder="1" applyAlignment="1">
      <alignment horizontal="left" vertical="center" wrapText="1"/>
    </xf>
    <xf numFmtId="0" fontId="79" fillId="23" borderId="76" xfId="0" applyFont="1" applyFill="1" applyBorder="1" applyAlignment="1">
      <alignment horizontal="center" vertical="center"/>
    </xf>
    <xf numFmtId="20" fontId="94" fillId="23" borderId="76" xfId="0" applyNumberFormat="1" applyFont="1" applyFill="1" applyBorder="1" applyAlignment="1">
      <alignment horizontal="center" vertical="center"/>
    </xf>
    <xf numFmtId="1" fontId="94" fillId="23" borderId="76" xfId="0" applyNumberFormat="1" applyFont="1" applyFill="1" applyBorder="1" applyAlignment="1">
      <alignment horizontal="center" vertical="center"/>
    </xf>
    <xf numFmtId="0" fontId="79" fillId="23" borderId="76" xfId="0" applyFont="1" applyFill="1" applyBorder="1" applyAlignment="1">
      <alignment horizontal="left" vertical="center"/>
    </xf>
    <xf numFmtId="20" fontId="94" fillId="22" borderId="28" xfId="0" applyNumberFormat="1" applyFont="1" applyFill="1" applyBorder="1" applyAlignment="1">
      <alignment horizontal="center" vertical="center"/>
    </xf>
    <xf numFmtId="1" fontId="94" fillId="22" borderId="28" xfId="0" applyNumberFormat="1" applyFont="1" applyFill="1" applyBorder="1" applyAlignment="1">
      <alignment horizontal="center" vertical="center"/>
    </xf>
    <xf numFmtId="0" fontId="46" fillId="22" borderId="28" xfId="0" applyFon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 wrapText="1"/>
    </xf>
    <xf numFmtId="14" fontId="55" fillId="2" borderId="12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left" vertical="center" wrapText="1"/>
    </xf>
    <xf numFmtId="14" fontId="48" fillId="23" borderId="12" xfId="0" applyNumberFormat="1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center" vertical="center"/>
    </xf>
    <xf numFmtId="0" fontId="45" fillId="23" borderId="74" xfId="0" applyFont="1" applyFill="1" applyBorder="1" applyAlignment="1">
      <alignment horizontal="center" vertical="center"/>
    </xf>
    <xf numFmtId="0" fontId="4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3" fillId="22" borderId="12" xfId="0" applyNumberFormat="1" applyFont="1" applyFill="1" applyBorder="1" applyAlignment="1">
      <alignment horizontal="center" vertical="center"/>
    </xf>
    <xf numFmtId="14" fontId="95" fillId="22" borderId="12" xfId="0" applyNumberFormat="1" applyFont="1" applyFill="1" applyBorder="1" applyAlignment="1">
      <alignment horizontal="center" vertical="center"/>
    </xf>
    <xf numFmtId="9" fontId="95" fillId="22" borderId="12" xfId="0" applyNumberFormat="1" applyFont="1" applyFill="1" applyBorder="1" applyAlignment="1">
      <alignment horizontal="center"/>
    </xf>
    <xf numFmtId="1" fontId="95" fillId="22" borderId="27" xfId="0" applyNumberFormat="1" applyFont="1" applyFill="1" applyBorder="1" applyAlignment="1">
      <alignment horizontal="center" vertical="center"/>
    </xf>
    <xf numFmtId="1" fontId="95" fillId="22" borderId="12" xfId="0" applyNumberFormat="1" applyFont="1" applyFill="1" applyBorder="1" applyAlignment="1">
      <alignment horizontal="center"/>
    </xf>
    <xf numFmtId="176" fontId="95" fillId="22" borderId="23" xfId="0" applyNumberFormat="1" applyFont="1" applyFill="1" applyBorder="1" applyAlignment="1">
      <alignment horizontal="center" vertical="center"/>
    </xf>
    <xf numFmtId="176" fontId="95" fillId="22" borderId="11" xfId="0" applyNumberFormat="1" applyFont="1" applyFill="1" applyBorder="1" applyAlignment="1">
      <alignment horizontal="center" vertical="center"/>
    </xf>
    <xf numFmtId="176" fontId="95" fillId="22" borderId="25" xfId="0" applyNumberFormat="1" applyFont="1" applyFill="1" applyBorder="1" applyAlignment="1">
      <alignment horizontal="center" vertical="center"/>
    </xf>
    <xf numFmtId="176" fontId="95" fillId="22" borderId="54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5" fillId="23" borderId="10" xfId="0" applyNumberFormat="1" applyFont="1" applyFill="1" applyBorder="1" applyAlignment="1">
      <alignment horizontal="left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5" fillId="2" borderId="7" xfId="0" applyFon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20" fontId="88" fillId="22" borderId="12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left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65" fillId="23" borderId="20" xfId="0" applyNumberFormat="1" applyFont="1" applyFill="1" applyBorder="1" applyAlignment="1">
      <alignment horizontal="center" vertical="center"/>
    </xf>
    <xf numFmtId="14" fontId="6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3" fillId="2" borderId="28" xfId="0" applyNumberFormat="1" applyFont="1" applyFill="1" applyBorder="1" applyAlignment="1">
      <alignment horizontal="center" vertical="center"/>
    </xf>
    <xf numFmtId="0" fontId="9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7" fillId="23" borderId="76" xfId="0" applyNumberFormat="1" applyFont="1" applyFill="1" applyBorder="1" applyAlignment="1">
      <alignment horizontal="center" vertical="center"/>
    </xf>
    <xf numFmtId="0" fontId="9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5" fillId="3" borderId="30" xfId="0" applyFont="1" applyFill="1" applyBorder="1" applyAlignment="1">
      <alignment horizontal="center" vertical="center"/>
    </xf>
    <xf numFmtId="0" fontId="95" fillId="3" borderId="31" xfId="0" applyFont="1" applyFill="1" applyBorder="1" applyAlignment="1">
      <alignment horizontal="center" vertical="center"/>
    </xf>
    <xf numFmtId="0" fontId="95" fillId="3" borderId="20" xfId="0" applyFont="1" applyFill="1" applyBorder="1" applyAlignment="1">
      <alignment horizontal="center" vertical="center"/>
    </xf>
    <xf numFmtId="0" fontId="95" fillId="3" borderId="20" xfId="0" applyFont="1" applyFill="1" applyBorder="1" applyAlignment="1">
      <alignment horizontal="center" vertical="center" wrapText="1"/>
    </xf>
    <xf numFmtId="1" fontId="95" fillId="23" borderId="74" xfId="0" applyNumberFormat="1" applyFont="1" applyFill="1" applyBorder="1" applyAlignment="1">
      <alignment horizontal="center"/>
    </xf>
    <xf numFmtId="1" fontId="9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 wrapText="1"/>
    </xf>
    <xf numFmtId="14" fontId="4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5" fillId="23" borderId="7" xfId="0" applyFont="1" applyFill="1" applyBorder="1" applyAlignment="1">
      <alignment horizontal="center"/>
    </xf>
    <xf numFmtId="14" fontId="95" fillId="23" borderId="12" xfId="0" applyNumberFormat="1" applyFont="1" applyFill="1" applyBorder="1" applyAlignment="1">
      <alignment horizontal="center" vertical="center"/>
    </xf>
    <xf numFmtId="176" fontId="95" fillId="23" borderId="25" xfId="0" applyNumberFormat="1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166" fontId="94" fillId="23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40" fillId="2" borderId="7" xfId="0" applyFont="1" applyFill="1" applyBorder="1" applyAlignment="1">
      <alignment vertical="center"/>
    </xf>
    <xf numFmtId="0" fontId="39" fillId="22" borderId="12" xfId="0" applyFont="1" applyFill="1" applyBorder="1" applyAlignment="1">
      <alignment horizontal="left" vertical="center" wrapText="1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/>
    </xf>
    <xf numFmtId="14" fontId="95" fillId="22" borderId="12" xfId="0" applyNumberFormat="1" applyFont="1" applyFill="1" applyBorder="1" applyAlignment="1">
      <alignment horizontal="center" vertical="center" wrapText="1"/>
    </xf>
    <xf numFmtId="14" fontId="52" fillId="23" borderId="12" xfId="0" applyNumberFormat="1" applyFont="1" applyFill="1" applyBorder="1" applyAlignment="1">
      <alignment horizontal="center" vertical="center" wrapText="1"/>
    </xf>
    <xf numFmtId="14" fontId="51" fillId="22" borderId="12" xfId="0" applyNumberFormat="1" applyFont="1" applyFill="1" applyBorder="1" applyAlignment="1">
      <alignment horizontal="center" vertical="center" wrapText="1"/>
    </xf>
    <xf numFmtId="0" fontId="38" fillId="23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 wrapText="1"/>
    </xf>
    <xf numFmtId="0" fontId="118" fillId="2" borderId="1" xfId="0" applyFont="1" applyFill="1" applyBorder="1"/>
    <xf numFmtId="0" fontId="118" fillId="2" borderId="2" xfId="0" applyFont="1" applyFill="1" applyBorder="1"/>
    <xf numFmtId="0" fontId="118" fillId="2" borderId="3" xfId="0" applyFont="1" applyFill="1" applyBorder="1"/>
    <xf numFmtId="0" fontId="118" fillId="2" borderId="0" xfId="0" applyFont="1" applyFill="1"/>
    <xf numFmtId="0" fontId="119" fillId="2" borderId="18" xfId="0" applyFont="1" applyFill="1" applyBorder="1" applyAlignment="1">
      <alignment horizontal="center"/>
    </xf>
    <xf numFmtId="0" fontId="120" fillId="2" borderId="18" xfId="0" applyFont="1" applyFill="1" applyBorder="1"/>
    <xf numFmtId="0" fontId="119" fillId="2" borderId="1" xfId="0" applyFont="1" applyFill="1" applyBorder="1"/>
    <xf numFmtId="0" fontId="119" fillId="2" borderId="2" xfId="0" applyFont="1" applyFill="1" applyBorder="1"/>
    <xf numFmtId="0" fontId="119" fillId="2" borderId="3" xfId="0" applyFont="1" applyFill="1" applyBorder="1"/>
    <xf numFmtId="0" fontId="119" fillId="2" borderId="0" xfId="0" applyFont="1" applyFill="1"/>
    <xf numFmtId="0" fontId="118" fillId="2" borderId="18" xfId="0" applyFont="1" applyFill="1" applyBorder="1"/>
    <xf numFmtId="0" fontId="118" fillId="2" borderId="67" xfId="0" applyFont="1" applyFill="1" applyBorder="1"/>
    <xf numFmtId="0" fontId="119" fillId="4" borderId="12" xfId="0" applyFont="1" applyFill="1" applyBorder="1" applyAlignment="1">
      <alignment horizontal="center"/>
    </xf>
    <xf numFmtId="0" fontId="118" fillId="2" borderId="18" xfId="0" applyFont="1" applyFill="1" applyBorder="1" applyAlignment="1">
      <alignment horizontal="center"/>
    </xf>
    <xf numFmtId="0" fontId="120" fillId="2" borderId="12" xfId="0" applyFont="1" applyFill="1" applyBorder="1" applyAlignment="1">
      <alignment horizontal="center"/>
    </xf>
    <xf numFmtId="0" fontId="118" fillId="2" borderId="12" xfId="0" applyFont="1" applyFill="1" applyBorder="1" applyAlignment="1">
      <alignment horizontal="center"/>
    </xf>
    <xf numFmtId="0" fontId="118" fillId="2" borderId="12" xfId="0" applyFont="1" applyFill="1" applyBorder="1"/>
    <xf numFmtId="0" fontId="118" fillId="2" borderId="13" xfId="0" applyFont="1" applyFill="1" applyBorder="1"/>
    <xf numFmtId="0" fontId="118" fillId="2" borderId="51" xfId="0" applyFont="1" applyFill="1" applyBorder="1"/>
    <xf numFmtId="0" fontId="118" fillId="2" borderId="26" xfId="0" applyFont="1" applyFill="1" applyBorder="1"/>
    <xf numFmtId="14" fontId="120" fillId="2" borderId="12" xfId="0" applyNumberFormat="1" applyFont="1" applyFill="1" applyBorder="1" applyAlignment="1">
      <alignment horizontal="center"/>
    </xf>
    <xf numFmtId="14" fontId="118" fillId="2" borderId="12" xfId="0" applyNumberFormat="1" applyFont="1" applyFill="1" applyBorder="1" applyAlignment="1">
      <alignment horizontal="center"/>
    </xf>
    <xf numFmtId="0" fontId="95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5" fillId="22" borderId="12" xfId="0" applyNumberFormat="1" applyFont="1" applyFill="1" applyBorder="1" applyAlignment="1">
      <alignment horizontal="center" vertical="center"/>
    </xf>
    <xf numFmtId="9" fontId="9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5" fillId="3" borderId="12" xfId="0" applyFont="1" applyFill="1" applyBorder="1" applyAlignment="1">
      <alignment horizontal="center" vertical="center"/>
    </xf>
    <xf numFmtId="0" fontId="91" fillId="22" borderId="28" xfId="0" applyFont="1" applyFill="1" applyBorder="1" applyAlignment="1">
      <alignment horizontal="center" vertical="center"/>
    </xf>
    <xf numFmtId="20" fontId="91" fillId="22" borderId="28" xfId="0" applyNumberFormat="1" applyFont="1" applyFill="1" applyBorder="1" applyAlignment="1">
      <alignment horizontal="center" vertical="center"/>
    </xf>
    <xf numFmtId="0" fontId="6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5" fillId="3" borderId="12" xfId="0" applyFont="1" applyFill="1" applyBorder="1" applyAlignment="1">
      <alignment horizontal="center" vertical="center" wrapText="1"/>
    </xf>
    <xf numFmtId="14" fontId="95" fillId="22" borderId="28" xfId="0" applyNumberFormat="1" applyFont="1" applyFill="1" applyBorder="1" applyAlignment="1">
      <alignment horizontal="center" vertical="center"/>
    </xf>
    <xf numFmtId="14" fontId="95" fillId="2" borderId="12" xfId="0" applyNumberFormat="1" applyFont="1" applyFill="1" applyBorder="1" applyAlignment="1">
      <alignment horizontal="center" vertical="center"/>
    </xf>
    <xf numFmtId="0" fontId="95" fillId="2" borderId="20" xfId="0" applyFont="1" applyFill="1" applyBorder="1" applyAlignment="1">
      <alignment horizontal="center" vertical="center"/>
    </xf>
    <xf numFmtId="0" fontId="95" fillId="2" borderId="28" xfId="0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0" fontId="95" fillId="23" borderId="20" xfId="0" applyFont="1" applyFill="1" applyBorder="1" applyAlignment="1">
      <alignment horizontal="center" vertical="center"/>
    </xf>
    <xf numFmtId="0" fontId="95" fillId="23" borderId="74" xfId="0" applyFont="1" applyFill="1" applyBorder="1" applyAlignment="1">
      <alignment horizontal="center" vertical="center"/>
    </xf>
    <xf numFmtId="0" fontId="95" fillId="23" borderId="76" xfId="0" applyFont="1" applyFill="1" applyBorder="1" applyAlignment="1">
      <alignment horizontal="center" vertical="center"/>
    </xf>
    <xf numFmtId="0" fontId="95" fillId="22" borderId="10" xfId="0" applyFont="1" applyFill="1" applyBorder="1" applyAlignment="1">
      <alignment horizontal="center" vertical="center"/>
    </xf>
    <xf numFmtId="0" fontId="95" fillId="22" borderId="20" xfId="0" applyFont="1" applyFill="1" applyBorder="1" applyAlignment="1">
      <alignment horizontal="center" vertical="center"/>
    </xf>
    <xf numFmtId="0" fontId="95" fillId="23" borderId="10" xfId="0" applyFont="1" applyFill="1" applyBorder="1" applyAlignment="1">
      <alignment horizontal="center" vertical="center"/>
    </xf>
    <xf numFmtId="0" fontId="95" fillId="2" borderId="10" xfId="0" applyFont="1" applyFill="1" applyBorder="1" applyAlignment="1">
      <alignment horizontal="center" vertical="center"/>
    </xf>
    <xf numFmtId="0" fontId="95" fillId="3" borderId="78" xfId="0" applyFont="1" applyFill="1" applyBorder="1" applyAlignment="1">
      <alignment horizontal="center" vertical="center" wrapText="1"/>
    </xf>
    <xf numFmtId="0" fontId="95" fillId="23" borderId="81" xfId="0" applyFont="1" applyFill="1" applyBorder="1" applyAlignment="1">
      <alignment horizontal="center" vertical="center"/>
    </xf>
    <xf numFmtId="0" fontId="95" fillId="23" borderId="83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wrapText="1"/>
    </xf>
    <xf numFmtId="0" fontId="36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5" fillId="23" borderId="12" xfId="0" applyFont="1" applyFill="1" applyBorder="1" applyAlignment="1">
      <alignment horizontal="left" vertical="center" wrapText="1"/>
    </xf>
    <xf numFmtId="166" fontId="94" fillId="17" borderId="12" xfId="0" applyNumberFormat="1" applyFont="1" applyFill="1" applyBorder="1" applyAlignment="1">
      <alignment horizontal="center" vertical="center"/>
    </xf>
    <xf numFmtId="1" fontId="9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14" fontId="35" fillId="17" borderId="12" xfId="0" applyNumberFormat="1" applyFont="1" applyFill="1" applyBorder="1" applyAlignment="1">
      <alignment horizontal="center" vertical="center"/>
    </xf>
    <xf numFmtId="0" fontId="9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1" fillId="2" borderId="72" xfId="0" applyFont="1" applyFill="1" applyBorder="1" applyAlignment="1">
      <alignment wrapText="1"/>
    </xf>
    <xf numFmtId="1" fontId="122" fillId="2" borderId="71" xfId="0" applyNumberFormat="1" applyFont="1" applyFill="1" applyBorder="1" applyAlignment="1">
      <alignment horizontal="center" vertical="center"/>
    </xf>
    <xf numFmtId="1" fontId="123" fillId="2" borderId="71" xfId="0" applyNumberFormat="1" applyFont="1" applyFill="1" applyBorder="1" applyAlignment="1">
      <alignment horizontal="center" vertical="center"/>
    </xf>
    <xf numFmtId="9" fontId="12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5" fillId="18" borderId="60" xfId="0" applyFont="1" applyFill="1" applyBorder="1" applyAlignment="1">
      <alignment horizontal="center"/>
    </xf>
    <xf numFmtId="0" fontId="9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5" fillId="19" borderId="12" xfId="0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0" fontId="9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5" fillId="4" borderId="12" xfId="0" applyNumberFormat="1" applyFont="1" applyFill="1" applyBorder="1" applyAlignment="1">
      <alignment horizontal="center"/>
    </xf>
    <xf numFmtId="14" fontId="3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5" fillId="18" borderId="12" xfId="0" applyNumberFormat="1" applyFont="1" applyFill="1" applyBorder="1" applyAlignment="1">
      <alignment horizontal="center"/>
    </xf>
    <xf numFmtId="14" fontId="115" fillId="2" borderId="4" xfId="0" applyNumberFormat="1" applyFont="1" applyFill="1" applyBorder="1" applyAlignment="1">
      <alignment horizontal="center" vertical="center"/>
    </xf>
    <xf numFmtId="14" fontId="33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4" fillId="19" borderId="12" xfId="0" applyFont="1" applyFill="1" applyBorder="1" applyAlignment="1">
      <alignment horizontal="center" vertical="center"/>
    </xf>
    <xf numFmtId="166" fontId="94" fillId="19" borderId="12" xfId="0" applyNumberFormat="1" applyFont="1" applyFill="1" applyBorder="1" applyAlignment="1">
      <alignment horizontal="center" vertical="center"/>
    </xf>
    <xf numFmtId="1" fontId="94" fillId="19" borderId="12" xfId="0" applyNumberFormat="1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0" fillId="24" borderId="12" xfId="0" applyNumberFormat="1" applyFont="1" applyFill="1" applyBorder="1" applyAlignment="1">
      <alignment horizontal="center"/>
    </xf>
    <xf numFmtId="1" fontId="115" fillId="2" borderId="15" xfId="0" applyNumberFormat="1" applyFont="1" applyFill="1" applyBorder="1" applyAlignment="1">
      <alignment horizontal="center" vertical="center"/>
    </xf>
    <xf numFmtId="1" fontId="115" fillId="2" borderId="25" xfId="0" applyNumberFormat="1" applyFont="1" applyFill="1" applyBorder="1" applyAlignment="1">
      <alignment horizontal="center" vertical="center"/>
    </xf>
    <xf numFmtId="0" fontId="115" fillId="2" borderId="5" xfId="0" applyFont="1" applyFill="1" applyBorder="1" applyAlignment="1">
      <alignment vertical="center"/>
    </xf>
    <xf numFmtId="165" fontId="115" fillId="2" borderId="5" xfId="1" applyNumberFormat="1" applyFont="1" applyFill="1" applyBorder="1" applyAlignment="1">
      <alignment horizontal="center" vertical="center"/>
    </xf>
    <xf numFmtId="166" fontId="115" fillId="2" borderId="5" xfId="0" applyNumberFormat="1" applyFont="1" applyFill="1" applyBorder="1" applyAlignment="1">
      <alignment horizontal="center" vertical="center"/>
    </xf>
    <xf numFmtId="9" fontId="115" fillId="2" borderId="5" xfId="2" applyFont="1" applyFill="1" applyBorder="1" applyAlignment="1">
      <alignment horizontal="center" vertical="center"/>
    </xf>
    <xf numFmtId="167" fontId="115" fillId="2" borderId="6" xfId="1" applyNumberFormat="1" applyFont="1" applyFill="1" applyBorder="1" applyAlignment="1">
      <alignment horizontal="center" vertical="center"/>
    </xf>
    <xf numFmtId="0" fontId="115" fillId="2" borderId="6" xfId="0" applyFont="1" applyFill="1" applyBorder="1" applyAlignment="1">
      <alignment horizontal="center" vertical="center"/>
    </xf>
    <xf numFmtId="1" fontId="115" fillId="2" borderId="6" xfId="0" applyNumberFormat="1" applyFont="1" applyFill="1" applyBorder="1" applyAlignment="1">
      <alignment horizontal="center" vertical="center"/>
    </xf>
    <xf numFmtId="1" fontId="115" fillId="2" borderId="5" xfId="0" applyNumberFormat="1" applyFont="1" applyFill="1" applyBorder="1" applyAlignment="1">
      <alignment horizontal="center" vertical="center"/>
    </xf>
    <xf numFmtId="1" fontId="115" fillId="2" borderId="59" xfId="0" applyNumberFormat="1" applyFont="1" applyFill="1" applyBorder="1" applyAlignment="1">
      <alignment horizontal="center" vertical="center"/>
    </xf>
    <xf numFmtId="167" fontId="115" fillId="2" borderId="32" xfId="1" applyNumberFormat="1" applyFont="1" applyFill="1" applyBorder="1" applyAlignment="1">
      <alignment horizontal="center" vertical="center"/>
    </xf>
    <xf numFmtId="0" fontId="115" fillId="2" borderId="32" xfId="0" applyFont="1" applyFill="1" applyBorder="1" applyAlignment="1">
      <alignment horizontal="center" vertical="center"/>
    </xf>
    <xf numFmtId="14" fontId="115" fillId="2" borderId="12" xfId="0" applyNumberFormat="1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vertical="center"/>
    </xf>
    <xf numFmtId="165" fontId="115" fillId="2" borderId="12" xfId="1" applyNumberFormat="1" applyFont="1" applyFill="1" applyBorder="1" applyAlignment="1">
      <alignment horizontal="center" vertical="center"/>
    </xf>
    <xf numFmtId="166" fontId="115" fillId="2" borderId="12" xfId="0" applyNumberFormat="1" applyFont="1" applyFill="1" applyBorder="1" applyAlignment="1">
      <alignment horizontal="center" vertical="center"/>
    </xf>
    <xf numFmtId="9" fontId="115" fillId="2" borderId="12" xfId="2" applyFont="1" applyFill="1" applyBorder="1" applyAlignment="1">
      <alignment horizontal="center" vertical="center"/>
    </xf>
    <xf numFmtId="167" fontId="115" fillId="2" borderId="12" xfId="1" applyNumberFormat="1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1" fontId="115" fillId="2" borderId="12" xfId="0" applyNumberFormat="1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 wrapText="1"/>
    </xf>
    <xf numFmtId="0" fontId="3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0" fontId="9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1" fillId="19" borderId="12" xfId="0" applyNumberFormat="1" applyFont="1" applyFill="1" applyBorder="1" applyAlignment="1">
      <alignment horizontal="center" vertical="center" wrapText="1"/>
    </xf>
    <xf numFmtId="173" fontId="100" fillId="0" borderId="0" xfId="0" applyNumberFormat="1" applyFont="1" applyAlignment="1">
      <alignment horizontal="center"/>
    </xf>
    <xf numFmtId="173" fontId="100" fillId="0" borderId="49" xfId="0" applyNumberFormat="1" applyFont="1" applyBorder="1" applyAlignment="1">
      <alignment horizontal="center"/>
    </xf>
    <xf numFmtId="174" fontId="100" fillId="0" borderId="47" xfId="0" applyNumberFormat="1" applyFont="1" applyBorder="1" applyAlignment="1">
      <alignment horizontal="center"/>
    </xf>
    <xf numFmtId="176" fontId="100" fillId="0" borderId="47" xfId="0" applyNumberFormat="1" applyFont="1" applyBorder="1" applyAlignment="1">
      <alignment horizontal="center"/>
    </xf>
    <xf numFmtId="1" fontId="100" fillId="21" borderId="28" xfId="0" applyNumberFormat="1" applyFont="1" applyFill="1" applyBorder="1" applyAlignment="1">
      <alignment horizontal="center"/>
    </xf>
    <xf numFmtId="2" fontId="100" fillId="21" borderId="28" xfId="0" applyNumberFormat="1" applyFont="1" applyFill="1" applyBorder="1" applyAlignment="1">
      <alignment horizontal="center"/>
    </xf>
    <xf numFmtId="176" fontId="100" fillId="21" borderId="28" xfId="0" applyNumberFormat="1" applyFont="1" applyFill="1" applyBorder="1" applyAlignment="1">
      <alignment horizontal="center"/>
    </xf>
    <xf numFmtId="9" fontId="100" fillId="21" borderId="28" xfId="0" applyNumberFormat="1" applyFont="1" applyFill="1" applyBorder="1" applyAlignment="1">
      <alignment horizontal="center"/>
    </xf>
    <xf numFmtId="0" fontId="100" fillId="21" borderId="28" xfId="0" applyFont="1" applyFill="1" applyBorder="1" applyAlignment="1">
      <alignment horizontal="center"/>
    </xf>
    <xf numFmtId="176" fontId="100" fillId="0" borderId="12" xfId="0" applyNumberFormat="1" applyFont="1" applyBorder="1" applyAlignment="1">
      <alignment horizontal="center"/>
    </xf>
    <xf numFmtId="9" fontId="100" fillId="22" borderId="48" xfId="2" applyFont="1" applyFill="1" applyBorder="1" applyAlignment="1">
      <alignment horizontal="center" vertical="center"/>
    </xf>
    <xf numFmtId="0" fontId="100" fillId="0" borderId="49" xfId="0" applyFont="1" applyBorder="1"/>
    <xf numFmtId="0" fontId="100" fillId="24" borderId="7" xfId="0" applyFont="1" applyFill="1" applyBorder="1"/>
    <xf numFmtId="0" fontId="100" fillId="0" borderId="7" xfId="0" applyFont="1" applyBorder="1"/>
    <xf numFmtId="0" fontId="100" fillId="0" borderId="30" xfId="0" applyFont="1" applyBorder="1"/>
    <xf numFmtId="0" fontId="100" fillId="24" borderId="8" xfId="0" applyFont="1" applyFill="1" applyBorder="1" applyAlignment="1">
      <alignment horizontal="center"/>
    </xf>
    <xf numFmtId="0" fontId="100" fillId="0" borderId="8" xfId="0" applyFont="1" applyBorder="1" applyAlignment="1">
      <alignment horizontal="center"/>
    </xf>
    <xf numFmtId="0" fontId="100" fillId="0" borderId="31" xfId="0" applyFont="1" applyBorder="1" applyAlignment="1">
      <alignment horizontal="center"/>
    </xf>
    <xf numFmtId="14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0" fillId="4" borderId="28" xfId="0" applyNumberFormat="1" applyFont="1" applyFill="1" applyBorder="1" applyAlignment="1">
      <alignment horizontal="center" vertical="center"/>
    </xf>
    <xf numFmtId="0" fontId="115" fillId="2" borderId="22" xfId="0" applyFont="1" applyFill="1" applyBorder="1" applyAlignment="1">
      <alignment horizontal="center" vertical="center"/>
    </xf>
    <xf numFmtId="1" fontId="115" fillId="2" borderId="21" xfId="0" applyNumberFormat="1" applyFont="1" applyFill="1" applyBorder="1" applyAlignment="1">
      <alignment horizontal="center" vertical="center"/>
    </xf>
    <xf numFmtId="1" fontId="115" fillId="2" borderId="61" xfId="0" applyNumberFormat="1" applyFont="1" applyFill="1" applyBorder="1" applyAlignment="1">
      <alignment horizontal="center" vertical="center"/>
    </xf>
    <xf numFmtId="1" fontId="115" fillId="2" borderId="32" xfId="0" applyNumberFormat="1" applyFont="1" applyFill="1" applyBorder="1" applyAlignment="1">
      <alignment horizontal="center" vertical="center"/>
    </xf>
    <xf numFmtId="165" fontId="115" fillId="2" borderId="28" xfId="0" applyNumberFormat="1" applyFont="1" applyFill="1" applyBorder="1" applyAlignment="1">
      <alignment horizontal="center" vertical="center"/>
    </xf>
    <xf numFmtId="165" fontId="115" fillId="2" borderId="66" xfId="0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 applyAlignment="1">
      <alignment horizontal="center" vertical="center"/>
    </xf>
    <xf numFmtId="14" fontId="115" fillId="2" borderId="33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4" fontId="69" fillId="18" borderId="12" xfId="0" applyNumberFormat="1" applyFont="1" applyFill="1" applyBorder="1"/>
    <xf numFmtId="0" fontId="28" fillId="17" borderId="12" xfId="0" applyFont="1" applyFill="1" applyBorder="1" applyAlignment="1">
      <alignment horizontal="left" vertical="center" wrapText="1"/>
    </xf>
    <xf numFmtId="0" fontId="27" fillId="2" borderId="7" xfId="0" applyFont="1" applyFill="1" applyBorder="1" applyAlignment="1">
      <alignment vertical="center"/>
    </xf>
    <xf numFmtId="14" fontId="2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7" fillId="17" borderId="12" xfId="0" applyFont="1" applyFill="1" applyBorder="1" applyAlignment="1">
      <alignment horizontal="center" vertical="center"/>
    </xf>
    <xf numFmtId="166" fontId="27" fillId="17" borderId="12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14" fontId="25" fillId="17" borderId="12" xfId="0" applyNumberFormat="1" applyFont="1" applyFill="1" applyBorder="1" applyAlignment="1">
      <alignment horizontal="center" vertical="center"/>
    </xf>
    <xf numFmtId="174" fontId="118" fillId="2" borderId="12" xfId="0" applyNumberFormat="1" applyFon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5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4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166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14" fontId="2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3" fillId="2" borderId="7" xfId="0" applyFont="1" applyFill="1" applyBorder="1" applyAlignment="1">
      <alignment vertical="center"/>
    </xf>
    <xf numFmtId="0" fontId="22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2" fillId="19" borderId="12" xfId="0" applyFont="1" applyFill="1" applyBorder="1" applyAlignment="1">
      <alignment horizontal="center" vertical="center"/>
    </xf>
    <xf numFmtId="166" fontId="22" fillId="19" borderId="12" xfId="0" applyNumberFormat="1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5" fillId="4" borderId="12" xfId="0" applyFont="1" applyFill="1" applyBorder="1" applyAlignment="1">
      <alignment horizontal="center" vertical="center"/>
    </xf>
    <xf numFmtId="0" fontId="10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 wrapText="1"/>
    </xf>
    <xf numFmtId="0" fontId="20" fillId="2" borderId="7" xfId="0" applyFont="1" applyFill="1" applyBorder="1" applyAlignment="1">
      <alignment vertical="center"/>
    </xf>
    <xf numFmtId="176" fontId="0" fillId="0" borderId="0" xfId="0" applyNumberFormat="1"/>
    <xf numFmtId="14" fontId="19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5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5" fillId="18" borderId="20" xfId="1" applyFont="1" applyFill="1" applyBorder="1" applyAlignment="1">
      <alignment horizontal="center"/>
    </xf>
    <xf numFmtId="43" fontId="95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5" fillId="19" borderId="12" xfId="0" applyFont="1" applyFill="1" applyBorder="1"/>
    <xf numFmtId="1" fontId="95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0" fontId="18" fillId="19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left" vertical="center"/>
    </xf>
    <xf numFmtId="14" fontId="18" fillId="17" borderId="12" xfId="0" applyNumberFormat="1" applyFont="1" applyFill="1" applyBorder="1" applyAlignment="1">
      <alignment horizontal="center" vertical="center"/>
    </xf>
    <xf numFmtId="14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16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5" fillId="19" borderId="12" xfId="0" applyNumberFormat="1" applyFont="1" applyFill="1" applyBorder="1" applyAlignment="1">
      <alignment horizontal="center" vertical="center"/>
    </xf>
    <xf numFmtId="0" fontId="94" fillId="2" borderId="0" xfId="0" applyFont="1" applyFill="1" applyAlignment="1">
      <alignment vertical="center"/>
    </xf>
    <xf numFmtId="0" fontId="110" fillId="4" borderId="12" xfId="0" applyFont="1" applyFill="1" applyBorder="1"/>
    <xf numFmtId="165" fontId="115" fillId="2" borderId="52" xfId="0" applyNumberFormat="1" applyFont="1" applyFill="1" applyBorder="1" applyAlignment="1">
      <alignment horizontal="center" vertical="center"/>
    </xf>
    <xf numFmtId="0" fontId="95" fillId="19" borderId="7" xfId="0" applyFont="1" applyFill="1" applyBorder="1" applyAlignment="1">
      <alignment horizontal="center"/>
    </xf>
    <xf numFmtId="0" fontId="94" fillId="19" borderId="12" xfId="0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5" fillId="2" borderId="28" xfId="0" applyFont="1" applyFill="1" applyBorder="1"/>
    <xf numFmtId="165" fontId="110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3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2" fillId="19" borderId="12" xfId="0" applyFont="1" applyFill="1" applyBorder="1" applyAlignment="1">
      <alignment horizontal="left" vertical="center"/>
    </xf>
    <xf numFmtId="0" fontId="94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4" fillId="28" borderId="12" xfId="0" applyNumberFormat="1" applyFont="1" applyFill="1" applyBorder="1" applyAlignment="1">
      <alignment horizontal="center" vertical="center"/>
    </xf>
    <xf numFmtId="166" fontId="94" fillId="28" borderId="12" xfId="0" applyNumberFormat="1" applyFont="1" applyFill="1" applyBorder="1" applyAlignment="1">
      <alignment horizontal="center" vertical="center"/>
    </xf>
    <xf numFmtId="1" fontId="94" fillId="28" borderId="12" xfId="0" applyNumberFormat="1" applyFont="1" applyFill="1" applyBorder="1" applyAlignment="1">
      <alignment horizontal="center" vertical="center"/>
    </xf>
    <xf numFmtId="0" fontId="94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0" fillId="28" borderId="12" xfId="0" applyFont="1" applyFill="1" applyBorder="1" applyAlignment="1">
      <alignment horizontal="center" vertical="center"/>
    </xf>
    <xf numFmtId="0" fontId="10" fillId="28" borderId="12" xfId="0" applyFont="1" applyFill="1" applyBorder="1" applyAlignment="1">
      <alignment horizontal="left" vertical="center"/>
    </xf>
    <xf numFmtId="166" fontId="10" fillId="28" borderId="12" xfId="0" applyNumberFormat="1" applyFon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7" fillId="23" borderId="12" xfId="0" applyFont="1" applyFill="1" applyBorder="1" applyAlignment="1">
      <alignment horizontal="center" vertical="center"/>
    </xf>
    <xf numFmtId="0" fontId="117" fillId="2" borderId="12" xfId="0" applyFont="1" applyFill="1" applyBorder="1" applyAlignment="1">
      <alignment horizontal="center" vertical="center"/>
    </xf>
    <xf numFmtId="0" fontId="117" fillId="2" borderId="0" xfId="0" applyFont="1" applyFill="1" applyAlignment="1">
      <alignment horizontal="center" vertical="center"/>
    </xf>
    <xf numFmtId="0" fontId="117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5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5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0" fontId="95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14" fontId="94" fillId="26" borderId="12" xfId="0" applyNumberFormat="1" applyFont="1" applyFill="1" applyBorder="1" applyAlignment="1">
      <alignment horizontal="center" vertical="center"/>
    </xf>
    <xf numFmtId="0" fontId="94" fillId="26" borderId="12" xfId="0" applyFont="1" applyFill="1" applyBorder="1" applyAlignment="1">
      <alignment horizontal="center" vertical="center"/>
    </xf>
    <xf numFmtId="166" fontId="94" fillId="26" borderId="12" xfId="0" applyNumberFormat="1" applyFont="1" applyFill="1" applyBorder="1" applyAlignment="1">
      <alignment horizontal="center" vertical="center"/>
    </xf>
    <xf numFmtId="1" fontId="94" fillId="26" borderId="12" xfId="0" applyNumberFormat="1" applyFont="1" applyFill="1" applyBorder="1" applyAlignment="1">
      <alignment horizontal="center" vertical="center"/>
    </xf>
    <xf numFmtId="0" fontId="9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 wrapText="1"/>
    </xf>
    <xf numFmtId="0" fontId="7" fillId="19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/>
    </xf>
    <xf numFmtId="0" fontId="6" fillId="17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4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0" fontId="95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0" fontId="95" fillId="18" borderId="12" xfId="0" applyFont="1" applyFill="1" applyBorder="1" applyAlignment="1">
      <alignment horizontal="center"/>
    </xf>
    <xf numFmtId="0" fontId="95" fillId="18" borderId="7" xfId="0" applyFont="1" applyFill="1" applyBorder="1" applyAlignment="1">
      <alignment horizontal="center"/>
    </xf>
    <xf numFmtId="0" fontId="95" fillId="18" borderId="29" xfId="0" applyFont="1" applyFill="1" applyBorder="1" applyAlignment="1">
      <alignment horizontal="center"/>
    </xf>
    <xf numFmtId="0" fontId="95" fillId="18" borderId="8" xfId="0" applyFont="1" applyFill="1" applyBorder="1" applyAlignment="1">
      <alignment horizontal="center"/>
    </xf>
    <xf numFmtId="178" fontId="95" fillId="18" borderId="7" xfId="0" applyNumberFormat="1" applyFont="1" applyFill="1" applyBorder="1" applyAlignment="1">
      <alignment horizontal="center"/>
    </xf>
    <xf numFmtId="178" fontId="95" fillId="18" borderId="29" xfId="0" applyNumberFormat="1" applyFont="1" applyFill="1" applyBorder="1" applyAlignment="1">
      <alignment horizontal="center"/>
    </xf>
    <xf numFmtId="178" fontId="95" fillId="18" borderId="8" xfId="0" applyNumberFormat="1" applyFont="1" applyFill="1" applyBorder="1" applyAlignment="1">
      <alignment horizontal="center"/>
    </xf>
    <xf numFmtId="0" fontId="95" fillId="19" borderId="7" xfId="0" applyFont="1" applyFill="1" applyBorder="1" applyAlignment="1">
      <alignment horizontal="center"/>
    </xf>
    <xf numFmtId="0" fontId="95" fillId="19" borderId="29" xfId="0" applyFont="1" applyFill="1" applyBorder="1" applyAlignment="1">
      <alignment horizontal="center"/>
    </xf>
    <xf numFmtId="0" fontId="95" fillId="19" borderId="8" xfId="0" applyFont="1" applyFill="1" applyBorder="1" applyAlignment="1">
      <alignment horizontal="center"/>
    </xf>
    <xf numFmtId="0" fontId="95" fillId="18" borderId="12" xfId="0" applyFont="1" applyFill="1" applyBorder="1" applyAlignment="1">
      <alignment horizontal="center" vertical="center"/>
    </xf>
    <xf numFmtId="0" fontId="95" fillId="20" borderId="12" xfId="0" applyFont="1" applyFill="1" applyBorder="1" applyAlignment="1">
      <alignment horizontal="center"/>
    </xf>
    <xf numFmtId="0" fontId="95" fillId="18" borderId="30" xfId="0" applyFont="1" applyFill="1" applyBorder="1" applyAlignment="1">
      <alignment horizontal="center" vertical="center"/>
    </xf>
    <xf numFmtId="0" fontId="95" fillId="18" borderId="34" xfId="0" applyFont="1" applyFill="1" applyBorder="1" applyAlignment="1">
      <alignment horizontal="center" vertical="center"/>
    </xf>
    <xf numFmtId="0" fontId="95" fillId="18" borderId="31" xfId="0" applyFont="1" applyFill="1" applyBorder="1" applyAlignment="1">
      <alignment horizontal="center" vertical="center"/>
    </xf>
    <xf numFmtId="0" fontId="95" fillId="18" borderId="32" xfId="0" applyFont="1" applyFill="1" applyBorder="1" applyAlignment="1">
      <alignment horizontal="center" vertical="center"/>
    </xf>
    <xf numFmtId="0" fontId="95" fillId="18" borderId="53" xfId="0" applyFont="1" applyFill="1" applyBorder="1" applyAlignment="1">
      <alignment horizontal="center" vertical="center"/>
    </xf>
    <xf numFmtId="0" fontId="95" fillId="18" borderId="33" xfId="0" applyFont="1" applyFill="1" applyBorder="1" applyAlignment="1">
      <alignment horizontal="center" vertical="center"/>
    </xf>
    <xf numFmtId="0" fontId="95" fillId="18" borderId="20" xfId="0" applyFont="1" applyFill="1" applyBorder="1" applyAlignment="1">
      <alignment horizontal="center" vertical="center"/>
    </xf>
    <xf numFmtId="0" fontId="95" fillId="18" borderId="28" xfId="0" applyFont="1" applyFill="1" applyBorder="1" applyAlignment="1">
      <alignment horizontal="center" vertical="center"/>
    </xf>
    <xf numFmtId="43" fontId="95" fillId="18" borderId="20" xfId="1" applyFont="1" applyFill="1" applyBorder="1" applyAlignment="1">
      <alignment horizontal="center" vertical="center"/>
    </xf>
    <xf numFmtId="43" fontId="95" fillId="18" borderId="21" xfId="1" applyFont="1" applyFill="1" applyBorder="1" applyAlignment="1">
      <alignment horizontal="center" vertical="center"/>
    </xf>
    <xf numFmtId="43" fontId="95" fillId="18" borderId="28" xfId="1" applyFont="1" applyFill="1" applyBorder="1" applyAlignment="1">
      <alignment horizontal="center" vertical="center"/>
    </xf>
    <xf numFmtId="0" fontId="114" fillId="4" borderId="36" xfId="0" applyFont="1" applyFill="1" applyBorder="1" applyAlignment="1">
      <alignment horizontal="center"/>
    </xf>
    <xf numFmtId="0" fontId="114" fillId="4" borderId="55" xfId="0" applyFont="1" applyFill="1" applyBorder="1" applyAlignment="1">
      <alignment horizontal="center"/>
    </xf>
    <xf numFmtId="0" fontId="114" fillId="4" borderId="56" xfId="0" applyFont="1" applyFill="1" applyBorder="1" applyAlignment="1">
      <alignment horizontal="center"/>
    </xf>
    <xf numFmtId="0" fontId="95" fillId="18" borderId="12" xfId="0" applyFont="1" applyFill="1" applyBorder="1" applyAlignment="1">
      <alignment horizontal="center" vertical="center" wrapText="1"/>
    </xf>
    <xf numFmtId="0" fontId="95" fillId="18" borderId="21" xfId="0" applyFont="1" applyFill="1" applyBorder="1" applyAlignment="1">
      <alignment horizontal="center" vertical="center"/>
    </xf>
    <xf numFmtId="17" fontId="114" fillId="4" borderId="36" xfId="0" applyNumberFormat="1" applyFont="1" applyFill="1" applyBorder="1" applyAlignment="1">
      <alignment horizontal="center"/>
    </xf>
    <xf numFmtId="17" fontId="114" fillId="4" borderId="55" xfId="0" applyNumberFormat="1" applyFont="1" applyFill="1" applyBorder="1" applyAlignment="1">
      <alignment horizontal="center"/>
    </xf>
    <xf numFmtId="17" fontId="114" fillId="4" borderId="56" xfId="0" applyNumberFormat="1" applyFont="1" applyFill="1" applyBorder="1" applyAlignment="1">
      <alignment horizontal="center"/>
    </xf>
    <xf numFmtId="0" fontId="95" fillId="18" borderId="20" xfId="0" applyFont="1" applyFill="1" applyBorder="1" applyAlignment="1">
      <alignment horizontal="center" vertical="center" wrapText="1"/>
    </xf>
    <xf numFmtId="0" fontId="95" fillId="18" borderId="21" xfId="0" applyFont="1" applyFill="1" applyBorder="1" applyAlignment="1">
      <alignment horizontal="center" vertical="center" wrapText="1"/>
    </xf>
    <xf numFmtId="0" fontId="95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95" fillId="18" borderId="20" xfId="0" applyFont="1" applyFill="1" applyBorder="1" applyAlignment="1">
      <alignment horizontal="center" wrapText="1"/>
    </xf>
    <xf numFmtId="0" fontId="95" fillId="18" borderId="28" xfId="0" applyFont="1" applyFill="1" applyBorder="1" applyAlignment="1">
      <alignment horizontal="center" wrapText="1"/>
    </xf>
    <xf numFmtId="0" fontId="95" fillId="4" borderId="12" xfId="0" applyFont="1" applyFill="1" applyBorder="1" applyAlignment="1">
      <alignment horizontal="center"/>
    </xf>
    <xf numFmtId="0" fontId="102" fillId="3" borderId="40" xfId="0" applyFont="1" applyFill="1" applyBorder="1" applyAlignment="1">
      <alignment horizontal="center" vertical="center" wrapText="1"/>
    </xf>
    <xf numFmtId="0" fontId="101" fillId="3" borderId="44" xfId="0" applyFont="1" applyFill="1" applyBorder="1" applyAlignment="1">
      <alignment vertical="center"/>
    </xf>
    <xf numFmtId="1" fontId="102" fillId="3" borderId="41" xfId="0" applyNumberFormat="1" applyFont="1" applyFill="1" applyBorder="1" applyAlignment="1">
      <alignment horizontal="center" vertical="center" wrapText="1"/>
    </xf>
    <xf numFmtId="0" fontId="101" fillId="3" borderId="42" xfId="0" applyFont="1" applyFill="1" applyBorder="1" applyAlignment="1">
      <alignment vertical="center"/>
    </xf>
    <xf numFmtId="0" fontId="101" fillId="3" borderId="43" xfId="0" applyFont="1" applyFill="1" applyBorder="1" applyAlignment="1">
      <alignment vertical="center"/>
    </xf>
    <xf numFmtId="1" fontId="102" fillId="3" borderId="40" xfId="0" applyNumberFormat="1" applyFont="1" applyFill="1" applyBorder="1" applyAlignment="1">
      <alignment horizontal="center" vertical="center" wrapText="1"/>
    </xf>
    <xf numFmtId="0" fontId="102" fillId="3" borderId="41" xfId="0" applyFont="1" applyFill="1" applyBorder="1" applyAlignment="1">
      <alignment horizontal="center" vertical="center" wrapText="1"/>
    </xf>
    <xf numFmtId="0" fontId="101" fillId="3" borderId="46" xfId="0" applyFont="1" applyFill="1" applyBorder="1" applyAlignment="1">
      <alignment vertical="center"/>
    </xf>
    <xf numFmtId="1" fontId="102" fillId="3" borderId="44" xfId="0" applyNumberFormat="1" applyFont="1" applyFill="1" applyBorder="1" applyAlignment="1">
      <alignment horizontal="center" vertical="center" wrapText="1"/>
    </xf>
    <xf numFmtId="0" fontId="107" fillId="15" borderId="51" xfId="0" applyFont="1" applyFill="1" applyBorder="1" applyAlignment="1">
      <alignment horizontal="center"/>
    </xf>
    <xf numFmtId="0" fontId="108" fillId="15" borderId="0" xfId="0" applyFont="1" applyFill="1" applyAlignment="1">
      <alignment horizontal="center"/>
    </xf>
    <xf numFmtId="0" fontId="112" fillId="3" borderId="42" xfId="0" applyFont="1" applyFill="1" applyBorder="1" applyAlignment="1">
      <alignment horizontal="center" vertical="center"/>
    </xf>
    <xf numFmtId="0" fontId="112" fillId="3" borderId="43" xfId="0" applyFont="1" applyFill="1" applyBorder="1" applyAlignment="1">
      <alignment horizontal="center" vertical="center"/>
    </xf>
    <xf numFmtId="0" fontId="102" fillId="3" borderId="42" xfId="0" applyFont="1" applyFill="1" applyBorder="1" applyAlignment="1">
      <alignment horizontal="center" vertical="center" wrapText="1"/>
    </xf>
    <xf numFmtId="0" fontId="102" fillId="3" borderId="43" xfId="0" applyFont="1" applyFill="1" applyBorder="1" applyAlignment="1">
      <alignment horizontal="center" vertical="center" wrapText="1"/>
    </xf>
    <xf numFmtId="177" fontId="95" fillId="4" borderId="12" xfId="0" applyNumberFormat="1" applyFont="1" applyFill="1" applyBorder="1" applyAlignment="1">
      <alignment horizontal="center"/>
    </xf>
    <xf numFmtId="0" fontId="95" fillId="19" borderId="57" xfId="0" applyFont="1" applyFill="1" applyBorder="1" applyAlignment="1">
      <alignment horizontal="center"/>
    </xf>
    <xf numFmtId="0" fontId="95" fillId="19" borderId="10" xfId="0" applyFont="1" applyFill="1" applyBorder="1" applyAlignment="1">
      <alignment horizontal="center"/>
    </xf>
    <xf numFmtId="177" fontId="95" fillId="19" borderId="10" xfId="0" applyNumberFormat="1" applyFont="1" applyFill="1" applyBorder="1" applyAlignment="1">
      <alignment horizontal="center"/>
    </xf>
    <xf numFmtId="0" fontId="95" fillId="19" borderId="23" xfId="0" applyFont="1" applyFill="1" applyBorder="1" applyAlignment="1">
      <alignment horizontal="center"/>
    </xf>
    <xf numFmtId="0" fontId="110" fillId="18" borderId="0" xfId="0" applyFont="1" applyFill="1" applyAlignment="1">
      <alignment horizontal="center"/>
    </xf>
    <xf numFmtId="0" fontId="95" fillId="3" borderId="7" xfId="0" applyFont="1" applyFill="1" applyBorder="1" applyAlignment="1">
      <alignment horizontal="center"/>
    </xf>
    <xf numFmtId="0" fontId="95" fillId="3" borderId="8" xfId="0" applyFont="1" applyFill="1" applyBorder="1" applyAlignment="1">
      <alignment horizontal="center"/>
    </xf>
    <xf numFmtId="0" fontId="95" fillId="3" borderId="29" xfId="0" applyFont="1" applyFill="1" applyBorder="1" applyAlignment="1">
      <alignment horizontal="center"/>
    </xf>
    <xf numFmtId="0" fontId="95" fillId="3" borderId="53" xfId="0" applyFont="1" applyFill="1" applyBorder="1" applyAlignment="1">
      <alignment horizontal="center"/>
    </xf>
    <xf numFmtId="0" fontId="95" fillId="3" borderId="33" xfId="0" applyFont="1" applyFill="1" applyBorder="1" applyAlignment="1">
      <alignment horizontal="center"/>
    </xf>
    <xf numFmtId="14" fontId="110" fillId="4" borderId="18" xfId="0" applyNumberFormat="1" applyFont="1" applyFill="1" applyBorder="1" applyAlignment="1">
      <alignment horizontal="center" vertical="center"/>
    </xf>
    <xf numFmtId="14" fontId="110" fillId="4" borderId="19" xfId="0" applyNumberFormat="1" applyFont="1" applyFill="1" applyBorder="1" applyAlignment="1">
      <alignment horizontal="center" vertical="center"/>
    </xf>
    <xf numFmtId="0" fontId="110" fillId="4" borderId="24" xfId="0" applyFont="1" applyFill="1" applyBorder="1" applyAlignment="1">
      <alignment horizontal="center"/>
    </xf>
    <xf numFmtId="0" fontId="110" fillId="4" borderId="17" xfId="0" applyFont="1" applyFill="1" applyBorder="1" applyAlignment="1">
      <alignment horizontal="center"/>
    </xf>
    <xf numFmtId="14" fontId="115" fillId="2" borderId="1" xfId="0" applyNumberFormat="1" applyFont="1" applyFill="1" applyBorder="1" applyAlignment="1">
      <alignment horizontal="center" vertical="center"/>
    </xf>
    <xf numFmtId="14" fontId="115" fillId="2" borderId="4" xfId="0" applyNumberFormat="1" applyFont="1" applyFill="1" applyBorder="1" applyAlignment="1">
      <alignment horizontal="center" vertical="center"/>
    </xf>
    <xf numFmtId="14" fontId="115" fillId="2" borderId="13" xfId="0" applyNumberFormat="1" applyFont="1" applyFill="1" applyBorder="1" applyAlignment="1">
      <alignment horizontal="center" vertical="center"/>
    </xf>
    <xf numFmtId="14" fontId="115" fillId="2" borderId="14" xfId="0" applyNumberFormat="1" applyFont="1" applyFill="1" applyBorder="1" applyAlignment="1">
      <alignment horizontal="center" vertical="center"/>
    </xf>
    <xf numFmtId="165" fontId="115" fillId="2" borderId="0" xfId="0" applyNumberFormat="1" applyFont="1" applyFill="1" applyAlignment="1">
      <alignment horizontal="center" vertical="center"/>
    </xf>
    <xf numFmtId="0" fontId="115" fillId="2" borderId="53" xfId="0" applyFont="1" applyFill="1" applyBorder="1" applyAlignment="1">
      <alignment horizontal="center" vertical="center"/>
    </xf>
    <xf numFmtId="165" fontId="115" fillId="2" borderId="63" xfId="0" applyNumberFormat="1" applyFont="1" applyFill="1" applyBorder="1" applyAlignment="1">
      <alignment horizontal="center" vertical="center"/>
    </xf>
    <xf numFmtId="165" fontId="115" fillId="2" borderId="65" xfId="0" applyNumberFormat="1" applyFont="1" applyFill="1" applyBorder="1" applyAlignment="1">
      <alignment horizontal="center" vertical="center"/>
    </xf>
    <xf numFmtId="0" fontId="125" fillId="3" borderId="36" xfId="0" applyFont="1" applyFill="1" applyBorder="1" applyAlignment="1">
      <alignment horizontal="center"/>
    </xf>
    <xf numFmtId="0" fontId="125" fillId="3" borderId="55" xfId="0" applyFont="1" applyFill="1" applyBorder="1" applyAlignment="1">
      <alignment horizontal="center"/>
    </xf>
    <xf numFmtId="0" fontId="125" fillId="3" borderId="56" xfId="0" applyFont="1" applyFill="1" applyBorder="1" applyAlignment="1">
      <alignment horizontal="center"/>
    </xf>
    <xf numFmtId="165" fontId="115" fillId="2" borderId="5" xfId="0" applyNumberFormat="1" applyFont="1" applyFill="1" applyBorder="1" applyAlignment="1">
      <alignment horizontal="center" vertical="center"/>
    </xf>
    <xf numFmtId="165" fontId="115" fillId="2" borderId="15" xfId="0" applyNumberFormat="1" applyFont="1" applyFill="1" applyBorder="1" applyAlignment="1">
      <alignment horizontal="center" vertical="center"/>
    </xf>
    <xf numFmtId="165" fontId="115" fillId="2" borderId="21" xfId="0" applyNumberFormat="1" applyFont="1" applyFill="1" applyBorder="1" applyAlignment="1">
      <alignment horizontal="center" vertical="center"/>
    </xf>
    <xf numFmtId="14" fontId="115" fillId="17" borderId="1" xfId="0" applyNumberFormat="1" applyFont="1" applyFill="1" applyBorder="1" applyAlignment="1">
      <alignment horizontal="center" vertical="center"/>
    </xf>
    <xf numFmtId="14" fontId="115" fillId="17" borderId="4" xfId="0" applyNumberFormat="1" applyFont="1" applyFill="1" applyBorder="1" applyAlignment="1">
      <alignment horizontal="center" vertical="center"/>
    </xf>
    <xf numFmtId="14" fontId="115" fillId="17" borderId="13" xfId="0" applyNumberFormat="1" applyFont="1" applyFill="1" applyBorder="1" applyAlignment="1">
      <alignment horizontal="center" vertical="center"/>
    </xf>
    <xf numFmtId="14" fontId="115" fillId="17" borderId="14" xfId="0" applyNumberFormat="1" applyFont="1" applyFill="1" applyBorder="1" applyAlignment="1">
      <alignment horizontal="center" vertical="center"/>
    </xf>
    <xf numFmtId="165" fontId="115" fillId="17" borderId="5" xfId="0" applyNumberFormat="1" applyFont="1" applyFill="1" applyBorder="1" applyAlignment="1">
      <alignment horizontal="center" vertical="center"/>
    </xf>
    <xf numFmtId="165" fontId="115" fillId="17" borderId="15" xfId="0" applyNumberFormat="1" applyFont="1" applyFill="1" applyBorder="1" applyAlignment="1">
      <alignment horizontal="center" vertical="center"/>
    </xf>
    <xf numFmtId="14" fontId="115" fillId="2" borderId="18" xfId="0" applyNumberFormat="1" applyFont="1" applyFill="1" applyBorder="1" applyAlignment="1">
      <alignment horizontal="center" vertical="center"/>
    </xf>
    <xf numFmtId="14" fontId="115" fillId="2" borderId="19" xfId="0" applyNumberFormat="1" applyFont="1" applyFill="1" applyBorder="1" applyAlignment="1">
      <alignment horizontal="center" vertical="center"/>
    </xf>
    <xf numFmtId="0" fontId="110" fillId="3" borderId="18" xfId="0" applyFont="1" applyFill="1" applyBorder="1" applyAlignment="1">
      <alignment horizontal="center" vertical="center"/>
    </xf>
    <xf numFmtId="0" fontId="110" fillId="3" borderId="19" xfId="0" applyFont="1" applyFill="1" applyBorder="1" applyAlignment="1">
      <alignment horizontal="center" vertical="center"/>
    </xf>
    <xf numFmtId="165" fontId="115" fillId="2" borderId="6" xfId="0" applyNumberFormat="1" applyFont="1" applyFill="1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15" fillId="2" borderId="20" xfId="0" applyFont="1" applyFill="1" applyBorder="1" applyAlignment="1">
      <alignment horizontal="left" wrapText="1"/>
    </xf>
    <xf numFmtId="0" fontId="115" fillId="2" borderId="28" xfId="0" applyFont="1" applyFill="1" applyBorder="1" applyAlignment="1">
      <alignment horizontal="left" wrapText="1"/>
    </xf>
    <xf numFmtId="14" fontId="115" fillId="2" borderId="12" xfId="0" applyNumberFormat="1" applyFont="1" applyFill="1" applyBorder="1" applyAlignment="1">
      <alignment horizontal="center" vertical="center"/>
    </xf>
    <xf numFmtId="165" fontId="115" fillId="2" borderId="20" xfId="0" applyNumberFormat="1" applyFont="1" applyFill="1" applyBorder="1" applyAlignment="1">
      <alignment horizontal="center" vertical="center"/>
    </xf>
    <xf numFmtId="165" fontId="115" fillId="2" borderId="28" xfId="0" applyNumberFormat="1" applyFont="1" applyFill="1" applyBorder="1" applyAlignment="1">
      <alignment horizontal="center" vertical="center"/>
    </xf>
    <xf numFmtId="165" fontId="115" fillId="2" borderId="12" xfId="0" applyNumberFormat="1" applyFont="1" applyFill="1" applyBorder="1" applyAlignment="1">
      <alignment horizontal="center" vertical="center"/>
    </xf>
    <xf numFmtId="165" fontId="115" fillId="2" borderId="64" xfId="0" applyNumberFormat="1" applyFont="1" applyFill="1" applyBorder="1" applyAlignment="1">
      <alignment horizontal="center" vertical="center"/>
    </xf>
    <xf numFmtId="165" fontId="115" fillId="2" borderId="86" xfId="0" applyNumberFormat="1" applyFont="1" applyFill="1" applyBorder="1" applyAlignment="1">
      <alignment horizontal="center" vertical="center"/>
    </xf>
    <xf numFmtId="14" fontId="92" fillId="2" borderId="32" xfId="0" applyNumberFormat="1" applyFont="1" applyFill="1" applyBorder="1" applyAlignment="1">
      <alignment horizontal="center" vertical="center"/>
    </xf>
    <xf numFmtId="14" fontId="94" fillId="2" borderId="33" xfId="0" applyNumberFormat="1" applyFont="1" applyFill="1" applyBorder="1" applyAlignment="1">
      <alignment horizontal="center" vertical="center"/>
    </xf>
    <xf numFmtId="0" fontId="105" fillId="20" borderId="7" xfId="0" applyFont="1" applyFill="1" applyBorder="1" applyAlignment="1">
      <alignment horizontal="center"/>
    </xf>
    <xf numFmtId="0" fontId="105" fillId="20" borderId="8" xfId="0" applyFont="1" applyFill="1" applyBorder="1" applyAlignment="1">
      <alignment horizontal="center"/>
    </xf>
    <xf numFmtId="0" fontId="95" fillId="2" borderId="0" xfId="0" applyFont="1" applyFill="1" applyAlignment="1">
      <alignment horizontal="center"/>
    </xf>
    <xf numFmtId="0" fontId="95" fillId="3" borderId="30" xfId="0" applyFont="1" applyFill="1" applyBorder="1" applyAlignment="1">
      <alignment horizontal="center"/>
    </xf>
    <xf numFmtId="0" fontId="95" fillId="3" borderId="34" xfId="0" applyFont="1" applyFill="1" applyBorder="1" applyAlignment="1">
      <alignment horizontal="center"/>
    </xf>
    <xf numFmtId="0" fontId="95" fillId="3" borderId="31" xfId="0" applyFont="1" applyFill="1" applyBorder="1" applyAlignment="1">
      <alignment horizontal="center"/>
    </xf>
    <xf numFmtId="0" fontId="94" fillId="3" borderId="36" xfId="0" applyFont="1" applyFill="1" applyBorder="1" applyAlignment="1">
      <alignment horizontal="center"/>
    </xf>
    <xf numFmtId="0" fontId="94" fillId="3" borderId="37" xfId="0" applyFont="1" applyFill="1" applyBorder="1" applyAlignment="1">
      <alignment horizontal="center"/>
    </xf>
    <xf numFmtId="0" fontId="110" fillId="2" borderId="0" xfId="0" applyFont="1" applyFill="1" applyAlignment="1">
      <alignment horizontal="center"/>
    </xf>
    <xf numFmtId="0" fontId="119" fillId="2" borderId="18" xfId="0" applyFont="1" applyFill="1" applyBorder="1" applyAlignment="1">
      <alignment horizontal="center"/>
    </xf>
    <xf numFmtId="0" fontId="119" fillId="2" borderId="0" xfId="0" applyFont="1" applyFill="1" applyAlignment="1">
      <alignment horizontal="center"/>
    </xf>
    <xf numFmtId="0" fontId="119" fillId="2" borderId="67" xfId="0" applyFont="1" applyFill="1" applyBorder="1" applyAlignment="1">
      <alignment horizontal="center"/>
    </xf>
    <xf numFmtId="0" fontId="119" fillId="2" borderId="13" xfId="0" applyFont="1" applyFill="1" applyBorder="1" applyAlignment="1">
      <alignment horizontal="center"/>
    </xf>
    <xf numFmtId="0" fontId="119" fillId="2" borderId="51" xfId="0" applyFont="1" applyFill="1" applyBorder="1" applyAlignment="1">
      <alignment horizontal="center"/>
    </xf>
    <xf numFmtId="0" fontId="119" fillId="2" borderId="26" xfId="0" applyFont="1" applyFill="1" applyBorder="1" applyAlignment="1">
      <alignment horizontal="center"/>
    </xf>
    <xf numFmtId="0" fontId="121" fillId="2" borderId="18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21" fillId="2" borderId="67" xfId="0" applyFont="1" applyFill="1" applyBorder="1" applyAlignment="1">
      <alignment horizontal="center"/>
    </xf>
    <xf numFmtId="0" fontId="121" fillId="2" borderId="13" xfId="0" applyFont="1" applyFill="1" applyBorder="1" applyAlignment="1">
      <alignment horizontal="center"/>
    </xf>
    <xf numFmtId="0" fontId="121" fillId="2" borderId="51" xfId="0" applyFont="1" applyFill="1" applyBorder="1" applyAlignment="1">
      <alignment horizontal="center"/>
    </xf>
    <xf numFmtId="0" fontId="121" fillId="2" borderId="26" xfId="0" applyFont="1" applyFill="1" applyBorder="1" applyAlignment="1">
      <alignment horizontal="center"/>
    </xf>
    <xf numFmtId="0" fontId="118" fillId="2" borderId="0" xfId="0" applyFont="1" applyFill="1" applyAlignment="1">
      <alignment horizontal="center"/>
    </xf>
    <xf numFmtId="0" fontId="114" fillId="26" borderId="20" xfId="0" applyFont="1" applyFill="1" applyBorder="1" applyAlignment="1">
      <alignment horizontal="center" vertical="center"/>
    </xf>
    <xf numFmtId="0" fontId="114" fillId="26" borderId="21" xfId="0" applyFont="1" applyFill="1" applyBorder="1" applyAlignment="1">
      <alignment horizontal="center" vertical="center"/>
    </xf>
    <xf numFmtId="0" fontId="114" fillId="26" borderId="28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10" fillId="17" borderId="20" xfId="0" applyFont="1" applyFill="1" applyBorder="1" applyAlignment="1">
      <alignment horizontal="center" vertical="center"/>
    </xf>
    <xf numFmtId="0" fontId="110" fillId="17" borderId="21" xfId="0" applyFont="1" applyFill="1" applyBorder="1" applyAlignment="1">
      <alignment horizontal="center" vertical="center"/>
    </xf>
    <xf numFmtId="0" fontId="110" fillId="17" borderId="28" xfId="0" applyFont="1" applyFill="1" applyBorder="1" applyAlignment="1">
      <alignment horizontal="center" vertical="center"/>
    </xf>
    <xf numFmtId="0" fontId="95" fillId="18" borderId="0" xfId="0" applyFont="1" applyFill="1" applyAlignment="1">
      <alignment horizontal="center"/>
    </xf>
    <xf numFmtId="0" fontId="117" fillId="23" borderId="20" xfId="0" applyFont="1" applyFill="1" applyBorder="1" applyAlignment="1">
      <alignment horizontal="center" vertical="center"/>
    </xf>
    <xf numFmtId="0" fontId="117" fillId="23" borderId="21" xfId="0" applyFont="1" applyFill="1" applyBorder="1" applyAlignment="1">
      <alignment horizontal="center" vertical="center"/>
    </xf>
    <xf numFmtId="0" fontId="117" fillId="23" borderId="28" xfId="0" applyFont="1" applyFill="1" applyBorder="1" applyAlignment="1">
      <alignment horizontal="center" vertical="center"/>
    </xf>
    <xf numFmtId="0" fontId="117" fillId="22" borderId="20" xfId="0" applyFont="1" applyFill="1" applyBorder="1" applyAlignment="1">
      <alignment horizontal="center" vertical="center"/>
    </xf>
    <xf numFmtId="0" fontId="117" fillId="22" borderId="21" xfId="0" applyFont="1" applyFill="1" applyBorder="1" applyAlignment="1">
      <alignment horizontal="center" vertical="center"/>
    </xf>
    <xf numFmtId="0" fontId="117" fillId="22" borderId="28" xfId="0" applyFont="1" applyFill="1" applyBorder="1" applyAlignment="1">
      <alignment horizontal="center" vertical="center"/>
    </xf>
    <xf numFmtId="0" fontId="110" fillId="22" borderId="20" xfId="0" applyFont="1" applyFill="1" applyBorder="1" applyAlignment="1">
      <alignment horizontal="center" vertical="center"/>
    </xf>
    <xf numFmtId="0" fontId="110" fillId="22" borderId="21" xfId="0" applyFont="1" applyFill="1" applyBorder="1" applyAlignment="1">
      <alignment horizontal="center" vertical="center"/>
    </xf>
    <xf numFmtId="0" fontId="110" fillId="22" borderId="28" xfId="0" applyFont="1" applyFill="1" applyBorder="1" applyAlignment="1">
      <alignment horizontal="center" vertical="center"/>
    </xf>
    <xf numFmtId="0" fontId="114" fillId="17" borderId="20" xfId="0" applyFont="1" applyFill="1" applyBorder="1" applyAlignment="1">
      <alignment horizontal="center" vertical="center"/>
    </xf>
    <xf numFmtId="0" fontId="114" fillId="17" borderId="21" xfId="0" applyFont="1" applyFill="1" applyBorder="1" applyAlignment="1">
      <alignment horizontal="center" vertical="center"/>
    </xf>
    <xf numFmtId="0" fontId="114" fillId="17" borderId="28" xfId="0" applyFont="1" applyFill="1" applyBorder="1" applyAlignment="1">
      <alignment horizontal="center" vertical="center"/>
    </xf>
    <xf numFmtId="0" fontId="95" fillId="16" borderId="12" xfId="0" applyFont="1" applyFill="1" applyBorder="1" applyAlignment="1">
      <alignment horizontal="center"/>
    </xf>
    <xf numFmtId="0" fontId="125" fillId="22" borderId="20" xfId="0" applyFont="1" applyFill="1" applyBorder="1" applyAlignment="1">
      <alignment horizontal="center" vertical="center"/>
    </xf>
    <xf numFmtId="0" fontId="125" fillId="22" borderId="21" xfId="0" applyFont="1" applyFill="1" applyBorder="1" applyAlignment="1">
      <alignment horizontal="center" vertical="center"/>
    </xf>
    <xf numFmtId="0" fontId="125" fillId="22" borderId="28" xfId="0" applyFont="1" applyFill="1" applyBorder="1" applyAlignment="1">
      <alignment horizontal="center" vertical="center"/>
    </xf>
    <xf numFmtId="0" fontId="125" fillId="17" borderId="20" xfId="0" applyFont="1" applyFill="1" applyBorder="1" applyAlignment="1">
      <alignment horizontal="center" vertical="center"/>
    </xf>
    <xf numFmtId="0" fontId="125" fillId="17" borderId="21" xfId="0" applyFont="1" applyFill="1" applyBorder="1" applyAlignment="1">
      <alignment horizontal="center" vertical="center"/>
    </xf>
    <xf numFmtId="0" fontId="125" fillId="17" borderId="28" xfId="0" applyFont="1" applyFill="1" applyBorder="1" applyAlignment="1">
      <alignment horizontal="center" vertical="center"/>
    </xf>
    <xf numFmtId="0" fontId="117" fillId="26" borderId="20" xfId="0" applyFont="1" applyFill="1" applyBorder="1" applyAlignment="1">
      <alignment horizontal="center" vertical="center"/>
    </xf>
    <xf numFmtId="0" fontId="117" fillId="26" borderId="21" xfId="0" applyFont="1" applyFill="1" applyBorder="1" applyAlignment="1">
      <alignment horizontal="center" vertical="center"/>
    </xf>
    <xf numFmtId="0" fontId="117" fillId="26" borderId="28" xfId="0" applyFont="1" applyFill="1" applyBorder="1" applyAlignment="1">
      <alignment horizontal="center" vertical="center"/>
    </xf>
    <xf numFmtId="0" fontId="117" fillId="17" borderId="20" xfId="0" applyFont="1" applyFill="1" applyBorder="1" applyAlignment="1">
      <alignment horizontal="center" vertical="center"/>
    </xf>
    <xf numFmtId="0" fontId="117" fillId="17" borderId="21" xfId="0" applyFont="1" applyFill="1" applyBorder="1" applyAlignment="1">
      <alignment horizontal="center" vertical="center"/>
    </xf>
    <xf numFmtId="0" fontId="117" fillId="17" borderId="28" xfId="0" applyFont="1" applyFill="1" applyBorder="1" applyAlignment="1">
      <alignment horizontal="center" vertical="center"/>
    </xf>
    <xf numFmtId="0" fontId="117" fillId="28" borderId="20" xfId="0" applyFont="1" applyFill="1" applyBorder="1" applyAlignment="1">
      <alignment horizontal="center" vertical="center"/>
    </xf>
    <xf numFmtId="0" fontId="117" fillId="28" borderId="21" xfId="0" applyFont="1" applyFill="1" applyBorder="1" applyAlignment="1">
      <alignment horizontal="center" vertical="center"/>
    </xf>
    <xf numFmtId="0" fontId="117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95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7" fillId="19" borderId="20" xfId="0" applyFont="1" applyFill="1" applyBorder="1" applyAlignment="1">
      <alignment horizontal="center" vertical="center"/>
    </xf>
    <xf numFmtId="0" fontId="117" fillId="19" borderId="21" xfId="0" applyFont="1" applyFill="1" applyBorder="1" applyAlignment="1">
      <alignment horizontal="center" vertical="center"/>
    </xf>
    <xf numFmtId="0" fontId="117" fillId="19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17" fillId="22" borderId="80" xfId="0" applyFont="1" applyFill="1" applyBorder="1" applyAlignment="1">
      <alignment horizontal="center" vertical="center"/>
    </xf>
    <xf numFmtId="0" fontId="117" fillId="23" borderId="20" xfId="0" applyFont="1" applyFill="1" applyBorder="1" applyAlignment="1">
      <alignment horizontal="center" vertical="center" wrapText="1"/>
    </xf>
    <xf numFmtId="0" fontId="117" fillId="23" borderId="21" xfId="0" applyFont="1" applyFill="1" applyBorder="1" applyAlignment="1">
      <alignment horizontal="center" vertical="center" wrapText="1"/>
    </xf>
    <xf numFmtId="0" fontId="117" fillId="23" borderId="28" xfId="0" applyFont="1" applyFill="1" applyBorder="1" applyAlignment="1">
      <alignment horizontal="center" vertical="center" wrapText="1"/>
    </xf>
    <xf numFmtId="9" fontId="95" fillId="19" borderId="12" xfId="2" applyFont="1" applyFill="1" applyBorder="1" applyAlignment="1">
      <alignment horizontal="center" vertical="center"/>
    </xf>
    <xf numFmtId="0" fontId="117" fillId="23" borderId="34" xfId="0" applyFont="1" applyFill="1" applyBorder="1" applyAlignment="1">
      <alignment horizontal="center" vertical="center"/>
    </xf>
    <xf numFmtId="0" fontId="117" fillId="23" borderId="0" xfId="0" applyFont="1" applyFill="1" applyAlignment="1">
      <alignment horizontal="center" vertical="center"/>
    </xf>
    <xf numFmtId="0" fontId="117" fillId="23" borderId="77" xfId="0" applyFont="1" applyFill="1" applyBorder="1" applyAlignment="1">
      <alignment horizontal="center" vertical="center"/>
    </xf>
    <xf numFmtId="0" fontId="95" fillId="3" borderId="22" xfId="0" applyFont="1" applyFill="1" applyBorder="1" applyAlignment="1">
      <alignment horizontal="center"/>
    </xf>
    <xf numFmtId="0" fontId="95" fillId="3" borderId="0" xfId="0" applyFont="1" applyFill="1" applyAlignment="1">
      <alignment horizontal="center"/>
    </xf>
    <xf numFmtId="14" fontId="77" fillId="22" borderId="28" xfId="0" applyNumberFormat="1" applyFont="1" applyFill="1" applyBorder="1" applyAlignment="1">
      <alignment horizontal="center" vertical="center"/>
    </xf>
    <xf numFmtId="14" fontId="94" fillId="22" borderId="28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0" fontId="95" fillId="3" borderId="12" xfId="0" applyFont="1" applyFill="1" applyBorder="1" applyAlignment="1">
      <alignment horizontal="center" vertical="center"/>
    </xf>
    <xf numFmtId="14" fontId="77" fillId="17" borderId="12" xfId="0" applyNumberFormat="1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14" fontId="77" fillId="19" borderId="12" xfId="0" applyNumberFormat="1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14" fontId="94" fillId="23" borderId="20" xfId="0" applyNumberFormat="1" applyFont="1" applyFill="1" applyBorder="1" applyAlignment="1">
      <alignment horizontal="center" vertical="center"/>
    </xf>
    <xf numFmtId="14" fontId="77" fillId="23" borderId="75" xfId="0" applyNumberFormat="1" applyFont="1" applyFill="1" applyBorder="1" applyAlignment="1">
      <alignment horizontal="center" vertical="center"/>
    </xf>
    <xf numFmtId="14" fontId="94" fillId="23" borderId="76" xfId="0" applyNumberFormat="1" applyFont="1" applyFill="1" applyBorder="1" applyAlignment="1">
      <alignment horizontal="center" vertical="center"/>
    </xf>
    <xf numFmtId="14" fontId="77" fillId="2" borderId="12" xfId="0" applyNumberFormat="1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0" fontId="117" fillId="23" borderId="30" xfId="0" applyFont="1" applyFill="1" applyBorder="1" applyAlignment="1">
      <alignment horizontal="center" vertical="center"/>
    </xf>
    <xf numFmtId="0" fontId="117" fillId="23" borderId="22" xfId="0" applyFont="1" applyFill="1" applyBorder="1" applyAlignment="1">
      <alignment horizontal="center" vertical="center"/>
    </xf>
    <xf numFmtId="0" fontId="117" fillId="23" borderId="32" xfId="0" applyFont="1" applyFill="1" applyBorder="1" applyAlignment="1">
      <alignment horizontal="center" vertical="center"/>
    </xf>
    <xf numFmtId="0" fontId="117" fillId="22" borderId="30" xfId="0" applyFont="1" applyFill="1" applyBorder="1" applyAlignment="1">
      <alignment horizontal="center" vertical="center"/>
    </xf>
    <xf numFmtId="0" fontId="117" fillId="22" borderId="22" xfId="0" applyFont="1" applyFill="1" applyBorder="1" applyAlignment="1">
      <alignment horizontal="center" vertical="center"/>
    </xf>
    <xf numFmtId="0" fontId="117" fillId="22" borderId="53" xfId="0" applyFont="1" applyFill="1" applyBorder="1" applyAlignment="1">
      <alignment horizontal="center" vertical="center"/>
    </xf>
    <xf numFmtId="14" fontId="77" fillId="23" borderId="69" xfId="0" applyNumberFormat="1" applyFont="1" applyFill="1" applyBorder="1" applyAlignment="1">
      <alignment horizontal="center" vertical="center"/>
    </xf>
    <xf numFmtId="14" fontId="94" fillId="23" borderId="70" xfId="0" applyNumberFormat="1" applyFont="1" applyFill="1" applyBorder="1" applyAlignment="1">
      <alignment horizontal="center" vertical="center"/>
    </xf>
    <xf numFmtId="14" fontId="77" fillId="23" borderId="28" xfId="0" applyNumberFormat="1" applyFont="1" applyFill="1" applyBorder="1" applyAlignment="1">
      <alignment horizontal="center" vertical="center"/>
    </xf>
    <xf numFmtId="14" fontId="94" fillId="23" borderId="28" xfId="0" applyNumberFormat="1" applyFont="1" applyFill="1" applyBorder="1" applyAlignment="1">
      <alignment horizontal="center" vertical="center"/>
    </xf>
    <xf numFmtId="14" fontId="77" fillId="23" borderId="73" xfId="0" applyNumberFormat="1" applyFont="1" applyFill="1" applyBorder="1" applyAlignment="1">
      <alignment horizontal="center" vertical="center"/>
    </xf>
    <xf numFmtId="14" fontId="94" fillId="23" borderId="74" xfId="0" applyNumberFormat="1" applyFont="1" applyFill="1" applyBorder="1" applyAlignment="1">
      <alignment horizontal="center" vertical="center"/>
    </xf>
    <xf numFmtId="14" fontId="77" fillId="28" borderId="12" xfId="0" applyNumberFormat="1" applyFont="1" applyFill="1" applyBorder="1" applyAlignment="1">
      <alignment horizontal="center" vertical="center"/>
    </xf>
    <xf numFmtId="14" fontId="94" fillId="28" borderId="12" xfId="0" applyNumberFormat="1" applyFont="1" applyFill="1" applyBorder="1" applyAlignment="1">
      <alignment horizontal="center" vertical="center"/>
    </xf>
    <xf numFmtId="14" fontId="77" fillId="26" borderId="12" xfId="0" applyNumberFormat="1" applyFont="1" applyFill="1" applyBorder="1" applyAlignment="1">
      <alignment horizontal="center" vertical="center"/>
    </xf>
    <xf numFmtId="14" fontId="94" fillId="26" borderId="12" xfId="0" applyNumberFormat="1" applyFont="1" applyFill="1" applyBorder="1" applyAlignment="1">
      <alignment horizontal="center" vertical="center"/>
    </xf>
    <xf numFmtId="0" fontId="125" fillId="26" borderId="20" xfId="0" applyFont="1" applyFill="1" applyBorder="1" applyAlignment="1">
      <alignment horizontal="center" vertical="center"/>
    </xf>
    <xf numFmtId="0" fontId="125" fillId="26" borderId="21" xfId="0" applyFont="1" applyFill="1" applyBorder="1" applyAlignment="1">
      <alignment horizontal="center" vertical="center"/>
    </xf>
    <xf numFmtId="0" fontId="125" fillId="26" borderId="28" xfId="0" applyFont="1" applyFill="1" applyBorder="1" applyAlignment="1">
      <alignment horizontal="center" vertical="center"/>
    </xf>
    <xf numFmtId="0" fontId="117" fillId="22" borderId="5" xfId="0" applyFont="1" applyFill="1" applyBorder="1" applyAlignment="1">
      <alignment horizontal="center" vertical="center"/>
    </xf>
    <xf numFmtId="0" fontId="95" fillId="18" borderId="57" xfId="0" applyFont="1" applyFill="1" applyBorder="1" applyAlignment="1">
      <alignment horizontal="center"/>
    </xf>
    <xf numFmtId="0" fontId="95" fillId="18" borderId="10" xfId="0" applyFont="1" applyFill="1" applyBorder="1" applyAlignment="1">
      <alignment horizontal="center"/>
    </xf>
    <xf numFmtId="0" fontId="9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5" fillId="16" borderId="36" xfId="0" applyFont="1" applyFill="1" applyBorder="1" applyAlignment="1">
      <alignment horizontal="center"/>
    </xf>
    <xf numFmtId="0" fontId="105" fillId="16" borderId="55" xfId="0" applyFont="1" applyFill="1" applyBorder="1" applyAlignment="1">
      <alignment horizontal="center"/>
    </xf>
    <xf numFmtId="0" fontId="105" fillId="16" borderId="56" xfId="0" applyFont="1" applyFill="1" applyBorder="1" applyAlignment="1">
      <alignment horizontal="center"/>
    </xf>
    <xf numFmtId="0" fontId="95" fillId="4" borderId="18" xfId="0" applyFont="1" applyFill="1" applyBorder="1" applyAlignment="1">
      <alignment horizontal="center"/>
    </xf>
    <xf numFmtId="0" fontId="95" fillId="4" borderId="0" xfId="0" applyFont="1" applyFill="1" applyAlignment="1">
      <alignment horizontal="center"/>
    </xf>
    <xf numFmtId="0" fontId="95" fillId="4" borderId="67" xfId="0" applyFont="1" applyFill="1" applyBorder="1" applyAlignment="1">
      <alignment horizontal="center"/>
    </xf>
    <xf numFmtId="0" fontId="110" fillId="4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29" fillId="17" borderId="67" xfId="0" applyFont="1" applyFill="1" applyBorder="1" applyAlignment="1">
      <alignment horizontal="center" vertical="center"/>
    </xf>
    <xf numFmtId="0" fontId="128" fillId="26" borderId="87" xfId="0" applyFont="1" applyFill="1" applyBorder="1" applyAlignment="1">
      <alignment horizontal="center" vertical="center"/>
    </xf>
    <xf numFmtId="0" fontId="128" fillId="26" borderId="67" xfId="0" applyFont="1" applyFill="1" applyBorder="1" applyAlignment="1">
      <alignment horizontal="center" vertical="center"/>
    </xf>
    <xf numFmtId="14" fontId="94" fillId="17" borderId="1" xfId="0" applyNumberFormat="1" applyFont="1" applyFill="1" applyBorder="1" applyAlignment="1">
      <alignment horizontal="center" vertical="center"/>
    </xf>
    <xf numFmtId="14" fontId="94" fillId="17" borderId="4" xfId="0" applyNumberFormat="1" applyFont="1" applyFill="1" applyBorder="1" applyAlignment="1">
      <alignment horizontal="center" vertical="center"/>
    </xf>
    <xf numFmtId="14" fontId="94" fillId="17" borderId="13" xfId="0" applyNumberFormat="1" applyFont="1" applyFill="1" applyBorder="1" applyAlignment="1">
      <alignment horizontal="center" vertical="center"/>
    </xf>
    <xf numFmtId="14" fontId="94" fillId="17" borderId="14" xfId="0" applyNumberFormat="1" applyFont="1" applyFill="1" applyBorder="1" applyAlignment="1">
      <alignment horizontal="center" vertical="center"/>
    </xf>
    <xf numFmtId="14" fontId="94" fillId="2" borderId="1" xfId="0" applyNumberFormat="1" applyFont="1" applyFill="1" applyBorder="1" applyAlignment="1">
      <alignment horizontal="center" vertical="center"/>
    </xf>
    <xf numFmtId="14" fontId="94" fillId="2" borderId="4" xfId="0" applyNumberFormat="1" applyFont="1" applyFill="1" applyBorder="1" applyAlignment="1">
      <alignment horizontal="center" vertical="center"/>
    </xf>
    <xf numFmtId="14" fontId="94" fillId="2" borderId="13" xfId="0" applyNumberFormat="1" applyFont="1" applyFill="1" applyBorder="1" applyAlignment="1">
      <alignment horizontal="center" vertical="center"/>
    </xf>
    <xf numFmtId="14" fontId="94" fillId="2" borderId="14" xfId="0" applyNumberFormat="1" applyFont="1" applyFill="1" applyBorder="1" applyAlignment="1">
      <alignment horizontal="center" vertical="center"/>
    </xf>
    <xf numFmtId="14" fontId="94" fillId="26" borderId="1" xfId="0" applyNumberFormat="1" applyFont="1" applyFill="1" applyBorder="1" applyAlignment="1">
      <alignment horizontal="center" vertical="center"/>
    </xf>
    <xf numFmtId="14" fontId="94" fillId="26" borderId="4" xfId="0" applyNumberFormat="1" applyFont="1" applyFill="1" applyBorder="1" applyAlignment="1">
      <alignment horizontal="center" vertical="center"/>
    </xf>
    <xf numFmtId="14" fontId="94" fillId="26" borderId="13" xfId="0" applyNumberFormat="1" applyFont="1" applyFill="1" applyBorder="1" applyAlignment="1">
      <alignment horizontal="center" vertical="center"/>
    </xf>
    <xf numFmtId="14" fontId="94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0" fillId="26" borderId="67" xfId="0" applyFont="1" applyFill="1" applyBorder="1" applyAlignment="1">
      <alignment horizontal="center" vertical="center"/>
    </xf>
    <xf numFmtId="0" fontId="95" fillId="17" borderId="67" xfId="0" applyFont="1" applyFill="1" applyBorder="1" applyAlignment="1">
      <alignment horizontal="center" vertical="center"/>
    </xf>
    <xf numFmtId="0" fontId="117" fillId="17" borderId="67" xfId="0" applyFont="1" applyFill="1" applyBorder="1" applyAlignment="1">
      <alignment horizontal="center" vertical="center"/>
    </xf>
    <xf numFmtId="0" fontId="117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94" fillId="28" borderId="1" xfId="0" applyNumberFormat="1" applyFont="1" applyFill="1" applyBorder="1" applyAlignment="1">
      <alignment horizontal="center" vertical="center"/>
    </xf>
    <xf numFmtId="14" fontId="94" fillId="28" borderId="4" xfId="0" applyNumberFormat="1" applyFont="1" applyFill="1" applyBorder="1" applyAlignment="1">
      <alignment horizontal="center" vertical="center"/>
    </xf>
    <xf numFmtId="14" fontId="94" fillId="28" borderId="13" xfId="0" applyNumberFormat="1" applyFont="1" applyFill="1" applyBorder="1" applyAlignment="1">
      <alignment horizontal="center" vertical="center"/>
    </xf>
    <xf numFmtId="14" fontId="94" fillId="28" borderId="14" xfId="0" applyNumberFormat="1" applyFont="1" applyFill="1" applyBorder="1" applyAlignment="1">
      <alignment horizontal="center" vertical="center"/>
    </xf>
    <xf numFmtId="14" fontId="94" fillId="19" borderId="1" xfId="0" applyNumberFormat="1" applyFont="1" applyFill="1" applyBorder="1" applyAlignment="1">
      <alignment horizontal="center" vertical="center"/>
    </xf>
    <xf numFmtId="14" fontId="94" fillId="19" borderId="4" xfId="0" applyNumberFormat="1" applyFont="1" applyFill="1" applyBorder="1" applyAlignment="1">
      <alignment horizontal="center" vertical="center"/>
    </xf>
    <xf numFmtId="14" fontId="94" fillId="19" borderId="13" xfId="0" applyNumberFormat="1" applyFont="1" applyFill="1" applyBorder="1" applyAlignment="1">
      <alignment horizontal="center" vertical="center"/>
    </xf>
    <xf numFmtId="14" fontId="94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4" fillId="29" borderId="1" xfId="0" applyNumberFormat="1" applyFont="1" applyFill="1" applyBorder="1" applyAlignment="1">
      <alignment horizontal="center" vertical="center"/>
    </xf>
    <xf numFmtId="14" fontId="94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6" fillId="25" borderId="36" xfId="0" applyFont="1" applyFill="1" applyBorder="1" applyAlignment="1">
      <alignment horizontal="center" vertical="center" wrapText="1"/>
    </xf>
    <xf numFmtId="0" fontId="96" fillId="25" borderId="55" xfId="0" applyFont="1" applyFill="1" applyBorder="1" applyAlignment="1">
      <alignment horizontal="center" vertical="center" wrapText="1"/>
    </xf>
    <xf numFmtId="0" fontId="96" fillId="25" borderId="56" xfId="0" applyFont="1" applyFill="1" applyBorder="1" applyAlignment="1">
      <alignment horizontal="center" vertical="center" wrapText="1"/>
    </xf>
    <xf numFmtId="14" fontId="94" fillId="17" borderId="18" xfId="0" applyNumberFormat="1" applyFont="1" applyFill="1" applyBorder="1" applyAlignment="1">
      <alignment horizontal="center" vertical="center"/>
    </xf>
    <xf numFmtId="14" fontId="94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5" fillId="23" borderId="20" xfId="0" applyNumberFormat="1" applyFont="1" applyFill="1" applyBorder="1" applyAlignment="1">
      <alignment horizontal="center" vertical="center"/>
    </xf>
    <xf numFmtId="1" fontId="95" fillId="23" borderId="21" xfId="0" applyNumberFormat="1" applyFont="1" applyFill="1" applyBorder="1" applyAlignment="1">
      <alignment horizontal="center" vertical="center"/>
    </xf>
    <xf numFmtId="1" fontId="95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95" fillId="23" borderId="12" xfId="0" applyNumberFormat="1" applyFont="1" applyFill="1" applyBorder="1" applyAlignment="1">
      <alignment horizontal="center" vertical="center"/>
    </xf>
    <xf numFmtId="14" fontId="94" fillId="23" borderId="1" xfId="0" applyNumberFormat="1" applyFont="1" applyFill="1" applyBorder="1" applyAlignment="1">
      <alignment horizontal="center" vertical="center"/>
    </xf>
    <xf numFmtId="14" fontId="94" fillId="23" borderId="4" xfId="0" applyNumberFormat="1" applyFont="1" applyFill="1" applyBorder="1" applyAlignment="1">
      <alignment horizontal="center" vertical="center"/>
    </xf>
    <xf numFmtId="14" fontId="94" fillId="23" borderId="13" xfId="0" applyNumberFormat="1" applyFont="1" applyFill="1" applyBorder="1" applyAlignment="1">
      <alignment horizontal="center" vertical="center"/>
    </xf>
    <xf numFmtId="14" fontId="94" fillId="23" borderId="14" xfId="0" applyNumberFormat="1" applyFont="1" applyFill="1" applyBorder="1" applyAlignment="1">
      <alignment horizontal="center" vertical="center"/>
    </xf>
    <xf numFmtId="1" fontId="95" fillId="22" borderId="12" xfId="0" applyNumberFormat="1" applyFont="1" applyFill="1" applyBorder="1" applyAlignment="1">
      <alignment horizontal="center" vertical="center"/>
    </xf>
    <xf numFmtId="14" fontId="94" fillId="22" borderId="1" xfId="0" applyNumberFormat="1" applyFont="1" applyFill="1" applyBorder="1" applyAlignment="1">
      <alignment horizontal="center" vertical="center"/>
    </xf>
    <xf numFmtId="14" fontId="94" fillId="22" borderId="4" xfId="0" applyNumberFormat="1" applyFont="1" applyFill="1" applyBorder="1" applyAlignment="1">
      <alignment horizontal="center" vertical="center"/>
    </xf>
    <xf numFmtId="14" fontId="94" fillId="22" borderId="13" xfId="0" applyNumberFormat="1" applyFont="1" applyFill="1" applyBorder="1" applyAlignment="1">
      <alignment horizontal="center" vertical="center"/>
    </xf>
    <xf numFmtId="14" fontId="94" fillId="22" borderId="14" xfId="0" applyNumberFormat="1" applyFont="1" applyFill="1" applyBorder="1" applyAlignment="1">
      <alignment horizontal="center" vertical="center"/>
    </xf>
    <xf numFmtId="14" fontId="94" fillId="2" borderId="84" xfId="0" applyNumberFormat="1" applyFont="1" applyFill="1" applyBorder="1" applyAlignment="1">
      <alignment horizontal="center" vertical="center"/>
    </xf>
    <xf numFmtId="14" fontId="94" fillId="2" borderId="31" xfId="0" applyNumberFormat="1" applyFont="1" applyFill="1" applyBorder="1" applyAlignment="1">
      <alignment horizontal="center" vertical="center"/>
    </xf>
    <xf numFmtId="14" fontId="94" fillId="22" borderId="84" xfId="0" applyNumberFormat="1" applyFont="1" applyFill="1" applyBorder="1" applyAlignment="1">
      <alignment horizontal="center" vertical="center"/>
    </xf>
    <xf numFmtId="14" fontId="94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94" fillId="0" borderId="28" xfId="0" applyNumberFormat="1" applyFont="1" applyBorder="1" applyAlignment="1">
      <alignment horizontal="center" vertical="center"/>
    </xf>
    <xf numFmtId="0" fontId="117" fillId="22" borderId="12" xfId="0" applyFont="1" applyFill="1" applyBorder="1" applyAlignment="1">
      <alignment horizontal="center" vertical="center"/>
    </xf>
    <xf numFmtId="0" fontId="95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7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94" fillId="23" borderId="73" xfId="0" applyNumberFormat="1" applyFont="1" applyFill="1" applyBorder="1" applyAlignment="1">
      <alignment horizontal="center" vertical="center"/>
    </xf>
    <xf numFmtId="14" fontId="94" fillId="23" borderId="75" xfId="0" applyNumberFormat="1" applyFont="1" applyFill="1" applyBorder="1" applyAlignment="1">
      <alignment horizontal="center" vertical="center"/>
    </xf>
    <xf numFmtId="0" fontId="117" fillId="19" borderId="67" xfId="0" applyFont="1" applyFill="1" applyBorder="1" applyAlignment="1">
      <alignment horizontal="center" vertical="center"/>
    </xf>
    <xf numFmtId="0" fontId="95" fillId="3" borderId="30" xfId="0" applyFont="1" applyFill="1" applyBorder="1" applyAlignment="1">
      <alignment horizontal="center" vertical="center"/>
    </xf>
    <xf numFmtId="0" fontId="95" fillId="3" borderId="31" xfId="0" applyFont="1" applyFill="1" applyBorder="1" applyAlignment="1">
      <alignment horizontal="center" vertical="center"/>
    </xf>
    <xf numFmtId="0" fontId="117" fillId="2" borderId="20" xfId="0" applyFont="1" applyFill="1" applyBorder="1" applyAlignment="1">
      <alignment horizontal="center" vertical="center"/>
    </xf>
    <xf numFmtId="0" fontId="117" fillId="2" borderId="28" xfId="0" applyFont="1" applyFill="1" applyBorder="1" applyAlignment="1">
      <alignment horizontal="center" vertical="center"/>
    </xf>
    <xf numFmtId="0" fontId="117" fillId="23" borderId="67" xfId="0" applyFont="1" applyFill="1" applyBorder="1" applyAlignment="1">
      <alignment horizontal="center" vertical="center"/>
    </xf>
    <xf numFmtId="0" fontId="117" fillId="22" borderId="67" xfId="0" applyFont="1" applyFill="1" applyBorder="1" applyAlignment="1">
      <alignment horizontal="center" vertical="center"/>
    </xf>
    <xf numFmtId="14" fontId="63" fillId="23" borderId="74" xfId="0" applyNumberFormat="1" applyFont="1" applyFill="1" applyBorder="1" applyAlignment="1">
      <alignment horizontal="center" vertical="center" wrapText="1"/>
    </xf>
    <xf numFmtId="14" fontId="94" fillId="23" borderId="76" xfId="0" applyNumberFormat="1" applyFont="1" applyFill="1" applyBorder="1" applyAlignment="1">
      <alignment horizontal="center" vertical="center" wrapText="1"/>
    </xf>
    <xf numFmtId="0" fontId="117" fillId="23" borderId="7" xfId="0" applyFont="1" applyFill="1" applyBorder="1" applyAlignment="1">
      <alignment horizontal="center" vertical="center"/>
    </xf>
    <xf numFmtId="14" fontId="94" fillId="2" borderId="18" xfId="0" applyNumberFormat="1" applyFont="1" applyFill="1" applyBorder="1" applyAlignment="1">
      <alignment horizontal="center" vertical="center"/>
    </xf>
    <xf numFmtId="14" fontId="94" fillId="2" borderId="19" xfId="0" applyNumberFormat="1" applyFont="1" applyFill="1" applyBorder="1" applyAlignment="1">
      <alignment horizontal="center" vertical="center"/>
    </xf>
    <xf numFmtId="14" fontId="94" fillId="2" borderId="32" xfId="0" applyNumberFormat="1" applyFont="1" applyFill="1" applyBorder="1" applyAlignment="1">
      <alignment horizontal="center" vertical="center"/>
    </xf>
    <xf numFmtId="0" fontId="109" fillId="4" borderId="1" xfId="0" applyFont="1" applyFill="1" applyBorder="1" applyAlignment="1">
      <alignment horizontal="center" vertical="center"/>
    </xf>
    <xf numFmtId="0" fontId="109" fillId="4" borderId="2" xfId="0" applyFont="1" applyFill="1" applyBorder="1" applyAlignment="1">
      <alignment horizontal="center" vertical="center"/>
    </xf>
    <xf numFmtId="0" fontId="109" fillId="4" borderId="3" xfId="0" applyFont="1" applyFill="1" applyBorder="1" applyAlignment="1">
      <alignment horizontal="center" vertical="center"/>
    </xf>
    <xf numFmtId="0" fontId="109" fillId="4" borderId="13" xfId="0" applyFont="1" applyFill="1" applyBorder="1" applyAlignment="1">
      <alignment horizontal="center" vertical="center"/>
    </xf>
    <xf numFmtId="0" fontId="109" fillId="4" borderId="51" xfId="0" applyFont="1" applyFill="1" applyBorder="1" applyAlignment="1">
      <alignment horizontal="center" vertical="center"/>
    </xf>
    <xf numFmtId="0" fontId="109" fillId="4" borderId="26" xfId="0" applyFont="1" applyFill="1" applyBorder="1" applyAlignment="1">
      <alignment horizontal="center" vertical="center"/>
    </xf>
    <xf numFmtId="20" fontId="102" fillId="11" borderId="7" xfId="0" applyNumberFormat="1" applyFont="1" applyFill="1" applyBorder="1" applyAlignment="1">
      <alignment horizontal="center" vertical="center"/>
    </xf>
    <xf numFmtId="20" fontId="102" fillId="11" borderId="29" xfId="0" applyNumberFormat="1" applyFont="1" applyFill="1" applyBorder="1" applyAlignment="1">
      <alignment horizontal="center" vertical="center"/>
    </xf>
    <xf numFmtId="20" fontId="102" fillId="11" borderId="8" xfId="0" applyNumberFormat="1" applyFont="1" applyFill="1" applyBorder="1" applyAlignment="1">
      <alignment horizontal="center" vertical="center"/>
    </xf>
    <xf numFmtId="20" fontId="104" fillId="10" borderId="7" xfId="0" applyNumberFormat="1" applyFont="1" applyFill="1" applyBorder="1" applyAlignment="1">
      <alignment horizontal="center"/>
    </xf>
    <xf numFmtId="20" fontId="104" fillId="10" borderId="29" xfId="0" applyNumberFormat="1" applyFont="1" applyFill="1" applyBorder="1" applyAlignment="1">
      <alignment horizontal="center"/>
    </xf>
    <xf numFmtId="20" fontId="104" fillId="10" borderId="8" xfId="0" applyNumberFormat="1" applyFont="1" applyFill="1" applyBorder="1" applyAlignment="1">
      <alignment horizontal="center"/>
    </xf>
    <xf numFmtId="0" fontId="102" fillId="11" borderId="29" xfId="0" applyFont="1" applyFill="1" applyBorder="1" applyAlignment="1">
      <alignment horizontal="center" vertical="center"/>
    </xf>
    <xf numFmtId="0" fontId="102" fillId="11" borderId="8" xfId="0" applyFont="1" applyFill="1" applyBorder="1" applyAlignment="1">
      <alignment horizontal="center" vertical="center"/>
    </xf>
    <xf numFmtId="0" fontId="102" fillId="11" borderId="7" xfId="0" applyFont="1" applyFill="1" applyBorder="1" applyAlignment="1">
      <alignment horizontal="center" vertical="center"/>
    </xf>
    <xf numFmtId="14" fontId="100" fillId="7" borderId="5" xfId="0" applyNumberFormat="1" applyFont="1" applyFill="1" applyBorder="1" applyAlignment="1">
      <alignment horizontal="center" vertical="center"/>
    </xf>
    <xf numFmtId="14" fontId="100" fillId="7" borderId="21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horizontal="center"/>
    </xf>
    <xf numFmtId="0" fontId="101" fillId="2" borderId="21" xfId="0" applyFont="1" applyFill="1" applyBorder="1" applyAlignment="1">
      <alignment horizontal="center"/>
    </xf>
    <xf numFmtId="0" fontId="101" fillId="2" borderId="28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center" vertical="center"/>
    </xf>
    <xf numFmtId="0" fontId="101" fillId="2" borderId="21" xfId="0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5" fillId="10" borderId="12" xfId="0" applyFont="1" applyFill="1" applyBorder="1" applyAlignment="1">
      <alignment horizontal="center" vertical="center"/>
    </xf>
    <xf numFmtId="14" fontId="100" fillId="7" borderId="20" xfId="0" applyNumberFormat="1" applyFont="1" applyFill="1" applyBorder="1" applyAlignment="1">
      <alignment horizontal="center" vertical="center"/>
    </xf>
    <xf numFmtId="0" fontId="95" fillId="10" borderId="12" xfId="0" applyFont="1" applyFill="1" applyBorder="1" applyAlignment="1">
      <alignment horizontal="center"/>
    </xf>
    <xf numFmtId="14" fontId="100" fillId="7" borderId="57" xfId="0" applyNumberFormat="1" applyFont="1" applyFill="1" applyBorder="1" applyAlignment="1">
      <alignment horizontal="center" vertical="center"/>
    </xf>
    <xf numFmtId="14" fontId="100" fillId="7" borderId="60" xfId="0" applyNumberFormat="1" applyFont="1" applyFill="1" applyBorder="1" applyAlignment="1">
      <alignment horizontal="center" vertical="center"/>
    </xf>
    <xf numFmtId="14" fontId="100" fillId="7" borderId="24" xfId="0" applyNumberFormat="1" applyFont="1" applyFill="1" applyBorder="1" applyAlignment="1">
      <alignment horizontal="center" vertical="center"/>
    </xf>
    <xf numFmtId="14" fontId="100" fillId="7" borderId="12" xfId="0" applyNumberFormat="1" applyFont="1" applyFill="1" applyBorder="1" applyAlignment="1">
      <alignment horizontal="center" vertical="center"/>
    </xf>
    <xf numFmtId="14" fontId="10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1" fillId="2" borderId="12" xfId="0" applyFont="1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0" fillId="2" borderId="12" xfId="0" applyFont="1" applyFill="1" applyBorder="1" applyAlignment="1">
      <alignment horizontal="left" vertical="top" wrapText="1"/>
    </xf>
    <xf numFmtId="0" fontId="100" fillId="8" borderId="12" xfId="0" applyFont="1" applyFill="1" applyBorder="1" applyAlignment="1">
      <alignment horizontal="center" vertical="center"/>
    </xf>
    <xf numFmtId="0" fontId="100" fillId="8" borderId="20" xfId="0" applyFont="1" applyFill="1" applyBorder="1" applyAlignment="1">
      <alignment horizontal="center" vertical="center"/>
    </xf>
    <xf numFmtId="0" fontId="100" fillId="8" borderId="21" xfId="0" applyFont="1" applyFill="1" applyBorder="1" applyAlignment="1">
      <alignment horizontal="center" vertical="center"/>
    </xf>
    <xf numFmtId="0" fontId="100" fillId="8" borderId="28" xfId="0" applyFont="1" applyFill="1" applyBorder="1" applyAlignment="1">
      <alignment horizontal="center" vertical="center"/>
    </xf>
    <xf numFmtId="0" fontId="100" fillId="2" borderId="59" xfId="0" applyFont="1" applyFill="1" applyBorder="1" applyAlignment="1">
      <alignment horizontal="center" vertical="top" wrapText="1"/>
    </xf>
    <xf numFmtId="0" fontId="100" fillId="2" borderId="61" xfId="0" applyFont="1" applyFill="1" applyBorder="1" applyAlignment="1">
      <alignment horizontal="center" vertical="top" wrapText="1"/>
    </xf>
    <xf numFmtId="0" fontId="100" fillId="2" borderId="62" xfId="0" applyFont="1" applyFill="1" applyBorder="1" applyAlignment="1">
      <alignment horizontal="center" vertical="top" wrapText="1"/>
    </xf>
    <xf numFmtId="0" fontId="100" fillId="2" borderId="63" xfId="0" applyFont="1" applyFill="1" applyBorder="1" applyAlignment="1">
      <alignment horizontal="center" vertical="top" wrapText="1"/>
    </xf>
    <xf numFmtId="0" fontId="100" fillId="2" borderId="64" xfId="0" applyFont="1" applyFill="1" applyBorder="1" applyAlignment="1">
      <alignment horizontal="center" vertical="top" wrapText="1"/>
    </xf>
    <xf numFmtId="0" fontId="10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94" fillId="23" borderId="18" xfId="0" applyNumberFormat="1" applyFont="1" applyFill="1" applyBorder="1" applyAlignment="1">
      <alignment horizontal="center" vertical="center"/>
    </xf>
    <xf numFmtId="14" fontId="94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94" fillId="23" borderId="36" xfId="0" applyNumberFormat="1" applyFont="1" applyFill="1" applyBorder="1" applyAlignment="1">
      <alignment horizontal="center" vertical="center"/>
    </xf>
    <xf numFmtId="14" fontId="94" fillId="23" borderId="37" xfId="0" applyNumberFormat="1" applyFont="1" applyFill="1" applyBorder="1" applyAlignment="1">
      <alignment horizontal="center" vertical="center"/>
    </xf>
    <xf numFmtId="14" fontId="94" fillId="0" borderId="30" xfId="0" applyNumberFormat="1" applyFont="1" applyBorder="1" applyAlignment="1">
      <alignment horizontal="center" vertical="center"/>
    </xf>
    <xf numFmtId="14" fontId="94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3" fillId="23" borderId="5" xfId="0" applyNumberFormat="1" applyFont="1" applyFill="1" applyBorder="1" applyAlignment="1">
      <alignment horizontal="center" vertical="center" wrapText="1"/>
    </xf>
    <xf numFmtId="14" fontId="9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95" fillId="22" borderId="67" xfId="0" applyFont="1" applyFill="1" applyBorder="1" applyAlignment="1">
      <alignment horizontal="center" vertical="center"/>
    </xf>
    <xf numFmtId="0" fontId="95" fillId="23" borderId="67" xfId="0" applyFont="1" applyFill="1" applyBorder="1" applyAlignment="1">
      <alignment horizontal="center" vertical="center"/>
    </xf>
    <xf numFmtId="0" fontId="95" fillId="22" borderId="0" xfId="0" applyFont="1" applyFill="1" applyAlignment="1">
      <alignment horizontal="center" vertical="center"/>
    </xf>
    <xf numFmtId="1" fontId="100" fillId="0" borderId="28" xfId="0" applyNumberFormat="1" applyFont="1" applyBorder="1" applyAlignment="1">
      <alignment horizontal="center"/>
    </xf>
    <xf numFmtId="1" fontId="100" fillId="0" borderId="21" xfId="0" applyNumberFormat="1" applyFont="1" applyBorder="1" applyAlignment="1">
      <alignment horizontal="center"/>
    </xf>
    <xf numFmtId="174" fontId="100" fillId="0" borderId="28" xfId="0" applyNumberFormat="1" applyFont="1" applyBorder="1" applyAlignment="1">
      <alignment horizontal="center"/>
    </xf>
    <xf numFmtId="0" fontId="100" fillId="0" borderId="28" xfId="0" applyFont="1" applyBorder="1"/>
    <xf numFmtId="176" fontId="100" fillId="0" borderId="28" xfId="0" applyNumberFormat="1" applyFont="1" applyBorder="1" applyAlignment="1">
      <alignment horizontal="center"/>
    </xf>
    <xf numFmtId="1" fontId="100" fillId="0" borderId="0" xfId="0" applyNumberFormat="1" applyFont="1" applyBorder="1" applyAlignment="1">
      <alignment horizontal="center"/>
    </xf>
    <xf numFmtId="9" fontId="100" fillId="0" borderId="28" xfId="0" applyNumberFormat="1" applyFont="1" applyBorder="1" applyAlignment="1">
      <alignment horizontal="center"/>
    </xf>
    <xf numFmtId="9" fontId="100" fillId="0" borderId="0" xfId="0" applyNumberFormat="1" applyFont="1" applyBorder="1" applyAlignment="1">
      <alignment horizontal="center"/>
    </xf>
    <xf numFmtId="9" fontId="100" fillId="22" borderId="0" xfId="2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9050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1.3451751394224232</c:v>
                </c:pt>
                <c:pt idx="1">
                  <c:v>0.61684826835392881</c:v>
                </c:pt>
                <c:pt idx="2">
                  <c:v>0.7431906847637697</c:v>
                </c:pt>
                <c:pt idx="3">
                  <c:v>7.7291831215432039E-2</c:v>
                </c:pt>
                <c:pt idx="4">
                  <c:v>3.3443580814369635E-2</c:v>
                </c:pt>
                <c:pt idx="5">
                  <c:v>3.1214008760078325E-2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  <c:pt idx="127">
                  <c:v>0.39500000000000002</c:v>
                </c:pt>
                <c:pt idx="128">
                  <c:v>0.29399999999999998</c:v>
                </c:pt>
                <c:pt idx="129">
                  <c:v>0.78800000000000003</c:v>
                </c:pt>
                <c:pt idx="130">
                  <c:v>0.371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67" t="s">
        <v>336</v>
      </c>
      <c r="D3" s="1367"/>
      <c r="E3" s="1367"/>
      <c r="F3" s="1367"/>
      <c r="G3" s="1367"/>
      <c r="H3" s="1367"/>
      <c r="L3" s="1367" t="s">
        <v>336</v>
      </c>
      <c r="M3" s="1367"/>
      <c r="N3" s="1367"/>
      <c r="O3" s="1367"/>
      <c r="P3" s="1367"/>
      <c r="Q3" s="1367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topLeftCell="A2" zoomScale="62" zoomScaleNormal="40" workbookViewId="0">
      <pane xSplit="2" topLeftCell="C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77" t="s">
        <v>124</v>
      </c>
      <c r="I1" s="1377"/>
      <c r="J1" s="1377"/>
      <c r="K1" s="1377"/>
      <c r="L1" s="1377"/>
      <c r="M1" s="1377"/>
      <c r="N1" s="1377"/>
      <c r="O1" s="1377"/>
      <c r="P1" s="1377"/>
      <c r="Q1" s="1377"/>
      <c r="R1" s="1377"/>
      <c r="S1" s="1377"/>
      <c r="T1" s="1377"/>
      <c r="U1" s="1377"/>
      <c r="V1" s="1377"/>
      <c r="W1" s="1377"/>
      <c r="X1" s="1377"/>
      <c r="Y1" s="1377"/>
      <c r="Z1" s="1377"/>
      <c r="AA1" s="1377"/>
      <c r="AB1" s="1377"/>
      <c r="AC1" s="1377"/>
      <c r="AD1" s="1377"/>
      <c r="AE1" s="1377"/>
      <c r="AF1" s="1377"/>
      <c r="AG1" s="1377"/>
      <c r="AH1" s="1377"/>
      <c r="AI1" s="1377"/>
      <c r="AJ1" s="1377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78" t="s">
        <v>125</v>
      </c>
      <c r="I2" s="1378"/>
      <c r="J2" s="1378"/>
      <c r="K2" s="1378"/>
      <c r="L2" s="1378"/>
      <c r="M2" s="1378"/>
      <c r="N2" s="1378"/>
      <c r="O2" s="1378"/>
      <c r="P2" s="1378"/>
      <c r="Q2" s="1378"/>
      <c r="R2" s="1378"/>
      <c r="S2" s="1378"/>
      <c r="T2" s="1378"/>
      <c r="U2" s="1378"/>
      <c r="V2" s="1378"/>
      <c r="W2" s="1378"/>
      <c r="X2" s="1378"/>
      <c r="Y2" s="1378"/>
      <c r="Z2" s="1378"/>
      <c r="AA2" s="1378"/>
      <c r="AB2" s="1378"/>
      <c r="AC2" s="1378"/>
      <c r="AD2" s="1378"/>
      <c r="AE2" s="1378"/>
      <c r="AF2" s="1378"/>
      <c r="AG2" s="1378"/>
      <c r="AH2" s="1378"/>
      <c r="AI2" s="1378"/>
      <c r="AJ2" s="1378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68" t="s">
        <v>72</v>
      </c>
      <c r="C5" s="1370" t="s">
        <v>73</v>
      </c>
      <c r="D5" s="1371"/>
      <c r="E5" s="1371"/>
      <c r="F5" s="1371"/>
      <c r="G5" s="1371"/>
      <c r="H5" s="1372"/>
      <c r="I5" s="1373" t="s">
        <v>430</v>
      </c>
      <c r="J5" s="1373" t="s">
        <v>320</v>
      </c>
      <c r="K5" s="1374" t="s">
        <v>74</v>
      </c>
      <c r="L5" s="1371"/>
      <c r="M5" s="1371"/>
      <c r="N5" s="1368" t="s">
        <v>75</v>
      </c>
      <c r="O5" s="1379" t="s">
        <v>177</v>
      </c>
      <c r="P5" s="1379"/>
      <c r="Q5" s="1379"/>
      <c r="R5" s="1379"/>
      <c r="S5" s="1379"/>
      <c r="T5" s="1379"/>
      <c r="U5" s="1379"/>
      <c r="V5" s="1379"/>
      <c r="W5" s="1379"/>
      <c r="X5" s="1379"/>
      <c r="Y5" s="1380"/>
      <c r="Z5" s="1374" t="s">
        <v>76</v>
      </c>
      <c r="AA5" s="1381"/>
      <c r="AB5" s="1381"/>
      <c r="AC5" s="1381"/>
      <c r="AD5" s="1381"/>
      <c r="AE5" s="1381"/>
      <c r="AF5" s="1381"/>
      <c r="AG5" s="1382"/>
      <c r="AH5" s="1374" t="s">
        <v>77</v>
      </c>
      <c r="AI5" s="1372"/>
      <c r="AJ5" s="1374" t="s">
        <v>78</v>
      </c>
      <c r="AK5" s="1371"/>
      <c r="AL5" s="1371"/>
      <c r="AM5" s="1371"/>
      <c r="AN5" s="1371"/>
      <c r="AO5" s="1372"/>
      <c r="AP5" s="1374" t="s">
        <v>79</v>
      </c>
      <c r="AQ5" s="1372"/>
      <c r="AR5" s="74"/>
      <c r="AS5" s="84" t="s">
        <v>80</v>
      </c>
    </row>
    <row r="6" spans="1:45" ht="29.4" thickBot="1" x14ac:dyDescent="0.35">
      <c r="A6" s="83"/>
      <c r="B6" s="1369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69"/>
      <c r="J6" s="1376"/>
      <c r="K6" s="85" t="s">
        <v>86</v>
      </c>
      <c r="L6" s="85" t="s">
        <v>87</v>
      </c>
      <c r="M6" s="85" t="s">
        <v>126</v>
      </c>
      <c r="N6" s="1375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0.64324999999999999</v>
      </c>
      <c r="G15" s="644">
        <f t="shared" si="5"/>
        <v>126.74115562499999</v>
      </c>
      <c r="H15" s="646">
        <f t="shared" si="6"/>
        <v>0.12674115562499999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0.71799999999999997</v>
      </c>
      <c r="G17" s="644">
        <f>F17*C17</f>
        <v>118.56477599999998</v>
      </c>
      <c r="H17" s="646">
        <f t="shared" si="6"/>
        <v>0.11856477599999998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0.83257142857142863</v>
      </c>
      <c r="G20" s="644">
        <f t="shared" si="10"/>
        <v>104.02738554285715</v>
      </c>
      <c r="H20" s="646">
        <f t="shared" si="11"/>
        <v>0.10402738554285715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0.87733333333333319</v>
      </c>
      <c r="G21" s="644">
        <f t="shared" si="10"/>
        <v>147.18582666666666</v>
      </c>
      <c r="H21" s="646">
        <f t="shared" si="11"/>
        <v>0.14718582666666666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0.55009090909090907</v>
      </c>
      <c r="G22" s="644">
        <f t="shared" si="10"/>
        <v>132.26110772727273</v>
      </c>
      <c r="H22" s="646">
        <f t="shared" si="11"/>
        <v>0.13226110772727273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0.46200000000000002</v>
      </c>
      <c r="G23" s="644">
        <f t="shared" si="10"/>
        <v>24.864840000000004</v>
      </c>
      <c r="H23" s="646">
        <f t="shared" si="11"/>
        <v>2.4864840000000006E-2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2">
        <f>AVERAGE('Rom File Inventory'!$T$140:$T$151)</f>
        <v>0.64249999999999996</v>
      </c>
      <c r="G36" s="644">
        <f t="shared" si="10"/>
        <v>211.23472499999997</v>
      </c>
      <c r="H36" s="646">
        <f t="shared" si="11"/>
        <v>0.21123472499999996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9">
        <f>AVERAGE('Rom File Inventory'!T146:T159)</f>
        <v>0.70950000000000002</v>
      </c>
      <c r="G37" s="644">
        <f t="shared" si="10"/>
        <v>186.36081750000002</v>
      </c>
      <c r="H37" s="646">
        <f t="shared" si="11"/>
        <v>0.18636081750000003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150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5">
        <f>F43</f>
        <v>0.65141176470588247</v>
      </c>
      <c r="G42" s="88">
        <f t="shared" si="10"/>
        <v>131.09010352941181</v>
      </c>
      <c r="H42" s="129">
        <f t="shared" si="11"/>
        <v>0.13109010352941181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5">
        <f>AVERAGE('Rom File Inventory'!T154:T170)</f>
        <v>0.65141176470588247</v>
      </c>
      <c r="G43" s="88">
        <f t="shared" si="10"/>
        <v>211.1939476705883</v>
      </c>
      <c r="H43" s="129">
        <f t="shared" si="11"/>
        <v>0.2111939476705883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5">
        <f>IFERROR(AVERAGE('Rom File Inventory'!T171:T183),"")</f>
        <v>0.88638461538461533</v>
      </c>
      <c r="G44" s="88">
        <f>IFERROR(F44*C44,"")</f>
        <v>186.13101899999998</v>
      </c>
      <c r="H44" s="129">
        <f>IFERROR(G44/1000,"")</f>
        <v>0.18613101899999998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5">
        <f>AVERAGE('Rom File Inventory'!T184:T193)</f>
        <v>0.92089999999999994</v>
      </c>
      <c r="G45" s="88">
        <f t="shared" si="10"/>
        <v>228.77918699999998</v>
      </c>
      <c r="H45" s="129">
        <f t="shared" si="11"/>
        <v>0.22877918699999997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5">
        <f>AVERAGE('Rom File Inventory'!T194:T197)</f>
        <v>0.52600000000000002</v>
      </c>
      <c r="G46" s="88">
        <f t="shared" si="10"/>
        <v>70.15788000000002</v>
      </c>
      <c r="H46" s="129">
        <f t="shared" si="11"/>
        <v>7.015788000000002E-2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5">
        <f>AVERAGE('Rom File Inventory'!T198:T209)</f>
        <v>0.75200000000000011</v>
      </c>
      <c r="G47" s="88">
        <f t="shared" si="10"/>
        <v>302.78227200000009</v>
      </c>
      <c r="H47" s="129">
        <f t="shared" si="11"/>
        <v>0.30278227200000007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5">
        <f>AVERAGE('Rom File Inventory'!T211:T214)</f>
        <v>0.52800000000000002</v>
      </c>
      <c r="G48" s="88">
        <f t="shared" si="10"/>
        <v>116.11828800000002</v>
      </c>
      <c r="H48" s="129">
        <f t="shared" si="11"/>
        <v>0.11611828800000003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4558.8372000000008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4558.8372000000008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4558.8372000000008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4558.8372000000008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4558.8372000000008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4853.8722000000007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792">
        <f>Crushing!N106</f>
        <v>232.2099</v>
      </c>
      <c r="D56" s="401">
        <f>D55+C56</f>
        <v>5086.0821000000005</v>
      </c>
      <c r="E56" s="1794"/>
      <c r="F56" s="1795"/>
      <c r="G56" s="1792"/>
      <c r="H56" s="1796"/>
      <c r="I56" s="1797"/>
      <c r="J56" s="1792"/>
      <c r="K56" s="1798"/>
      <c r="L56" s="1799"/>
      <c r="M56" s="1799"/>
      <c r="N56" s="1799"/>
      <c r="O56" s="1795"/>
      <c r="P56" s="1795"/>
      <c r="Q56" s="402"/>
      <c r="R56" s="402"/>
      <c r="S56" s="402"/>
      <c r="T56" s="404"/>
      <c r="U56" s="1800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792">
        <f>Crushing!N110</f>
        <v>464.91899999999998</v>
      </c>
      <c r="D57" s="401">
        <f t="shared" ref="D57:D66" si="15">D56+C57</f>
        <v>5551.0011000000004</v>
      </c>
      <c r="E57" s="1794"/>
      <c r="F57" s="1795"/>
      <c r="G57" s="1792"/>
      <c r="H57" s="1796"/>
      <c r="I57" s="1797"/>
      <c r="J57" s="1792"/>
      <c r="K57" s="1798"/>
      <c r="L57" s="1799"/>
      <c r="M57" s="1799"/>
      <c r="N57" s="1799"/>
      <c r="O57" s="1795"/>
      <c r="P57" s="1795"/>
      <c r="Q57" s="402"/>
      <c r="R57" s="402"/>
      <c r="S57" s="402"/>
      <c r="T57" s="404"/>
      <c r="U57" s="1800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792">
        <f>Crushing!N112</f>
        <v>5.5249999999999995</v>
      </c>
      <c r="D58" s="401">
        <f t="shared" si="15"/>
        <v>5556.5261</v>
      </c>
      <c r="E58" s="1794"/>
      <c r="F58" s="1795"/>
      <c r="G58" s="1792"/>
      <c r="H58" s="1796"/>
      <c r="I58" s="1797"/>
      <c r="J58" s="1792"/>
      <c r="K58" s="1798"/>
      <c r="L58" s="1799"/>
      <c r="M58" s="1799"/>
      <c r="N58" s="1799"/>
      <c r="O58" s="1795"/>
      <c r="P58" s="1795"/>
      <c r="Q58" s="402"/>
      <c r="R58" s="402"/>
      <c r="S58" s="402"/>
      <c r="T58" s="404"/>
      <c r="U58" s="1800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792">
        <f>Crushing!N114</f>
        <v>19.655999999999999</v>
      </c>
      <c r="D59" s="401">
        <f t="shared" si="15"/>
        <v>5576.1821</v>
      </c>
      <c r="E59" s="1794"/>
      <c r="F59" s="1795"/>
      <c r="G59" s="1792"/>
      <c r="H59" s="1796"/>
      <c r="I59" s="1797"/>
      <c r="J59" s="1792"/>
      <c r="K59" s="1798"/>
      <c r="L59" s="1799"/>
      <c r="M59" s="1799"/>
      <c r="N59" s="1799"/>
      <c r="O59" s="1795"/>
      <c r="P59" s="1795"/>
      <c r="Q59" s="402"/>
      <c r="R59" s="402"/>
      <c r="S59" s="402"/>
      <c r="T59" s="404"/>
      <c r="U59" s="1800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792">
        <f>Crushing!N116</f>
        <v>94.77</v>
      </c>
      <c r="D60" s="401">
        <f t="shared" si="15"/>
        <v>5670.9521000000004</v>
      </c>
      <c r="E60" s="1794"/>
      <c r="F60" s="1795"/>
      <c r="G60" s="1792"/>
      <c r="H60" s="1796"/>
      <c r="I60" s="1797"/>
      <c r="J60" s="1792"/>
      <c r="K60" s="1798"/>
      <c r="L60" s="1799"/>
      <c r="M60" s="1799"/>
      <c r="N60" s="1799"/>
      <c r="O60" s="1795"/>
      <c r="P60" s="1795"/>
      <c r="Q60" s="402"/>
      <c r="R60" s="402"/>
      <c r="S60" s="402"/>
      <c r="T60" s="404"/>
      <c r="U60" s="1800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792">
        <f>Crushing!N118</f>
        <v>185.49439999999998</v>
      </c>
      <c r="D61" s="401">
        <f t="shared" si="15"/>
        <v>5856.4465</v>
      </c>
      <c r="E61" s="1794"/>
      <c r="F61" s="1795"/>
      <c r="G61" s="1792"/>
      <c r="H61" s="1796"/>
      <c r="I61" s="1797"/>
      <c r="J61" s="1792"/>
      <c r="K61" s="1798"/>
      <c r="L61" s="1799"/>
      <c r="M61" s="1799"/>
      <c r="N61" s="1799"/>
      <c r="O61" s="1795"/>
      <c r="P61" s="1795"/>
      <c r="Q61" s="402"/>
      <c r="R61" s="402"/>
      <c r="S61" s="402"/>
      <c r="T61" s="404"/>
      <c r="U61" s="1800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792">
        <f>Crushing!N120</f>
        <v>430.68610000000001</v>
      </c>
      <c r="D62" s="401">
        <f t="shared" si="15"/>
        <v>6287.1325999999999</v>
      </c>
      <c r="E62" s="1794"/>
      <c r="F62" s="1795"/>
      <c r="G62" s="1792"/>
      <c r="H62" s="1796"/>
      <c r="I62" s="1797"/>
      <c r="J62" s="1792"/>
      <c r="K62" s="1798"/>
      <c r="L62" s="1799"/>
      <c r="M62" s="1799"/>
      <c r="N62" s="1799"/>
      <c r="O62" s="1795"/>
      <c r="P62" s="1795"/>
      <c r="Q62" s="402"/>
      <c r="R62" s="402"/>
      <c r="S62" s="402"/>
      <c r="T62" s="404"/>
      <c r="U62" s="1800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792"/>
      <c r="D63" s="401">
        <f t="shared" si="15"/>
        <v>6287.1325999999999</v>
      </c>
      <c r="E63" s="1794"/>
      <c r="F63" s="1795"/>
      <c r="G63" s="1792"/>
      <c r="H63" s="1796"/>
      <c r="I63" s="1797"/>
      <c r="J63" s="1792"/>
      <c r="K63" s="1798"/>
      <c r="L63" s="1799"/>
      <c r="M63" s="1799"/>
      <c r="N63" s="1799"/>
      <c r="O63" s="1795"/>
      <c r="P63" s="1795"/>
      <c r="Q63" s="402"/>
      <c r="R63" s="402"/>
      <c r="S63" s="402"/>
      <c r="T63" s="404"/>
      <c r="U63" s="1800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792"/>
      <c r="D64" s="401">
        <f t="shared" si="15"/>
        <v>6287.1325999999999</v>
      </c>
      <c r="E64" s="1794"/>
      <c r="F64" s="1795"/>
      <c r="G64" s="1792"/>
      <c r="H64" s="1796"/>
      <c r="I64" s="1797"/>
      <c r="J64" s="1792"/>
      <c r="K64" s="1798"/>
      <c r="L64" s="1799"/>
      <c r="M64" s="1799"/>
      <c r="N64" s="1799"/>
      <c r="O64" s="1795"/>
      <c r="P64" s="1795"/>
      <c r="Q64" s="402"/>
      <c r="R64" s="402"/>
      <c r="S64" s="402"/>
      <c r="T64" s="404"/>
      <c r="U64" s="1800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792"/>
      <c r="D65" s="401">
        <f t="shared" si="15"/>
        <v>6287.1325999999999</v>
      </c>
      <c r="E65" s="1794"/>
      <c r="F65" s="1795"/>
      <c r="G65" s="1792"/>
      <c r="H65" s="1796"/>
      <c r="I65" s="1797"/>
      <c r="J65" s="1792"/>
      <c r="K65" s="1798"/>
      <c r="L65" s="1799"/>
      <c r="M65" s="1799"/>
      <c r="N65" s="1799"/>
      <c r="O65" s="1795"/>
      <c r="P65" s="1795"/>
      <c r="Q65" s="402"/>
      <c r="R65" s="402"/>
      <c r="S65" s="402"/>
      <c r="T65" s="404"/>
      <c r="U65" s="1800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792">
        <f>Crushing!N124</f>
        <v>306.96899999999999</v>
      </c>
      <c r="D66" s="401">
        <f>D65+C66</f>
        <v>6594.1016</v>
      </c>
      <c r="E66" s="1794"/>
      <c r="F66" s="1795"/>
      <c r="G66" s="1792"/>
      <c r="H66" s="1796"/>
      <c r="I66" s="1797"/>
      <c r="J66" s="1792"/>
      <c r="K66" s="1798"/>
      <c r="L66" s="1799"/>
      <c r="M66" s="1799"/>
      <c r="N66" s="1799"/>
      <c r="O66" s="1795"/>
      <c r="P66" s="1795"/>
      <c r="Q66" s="402"/>
      <c r="R66" s="402"/>
      <c r="S66" s="402"/>
      <c r="T66" s="404"/>
      <c r="U66" s="1800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792"/>
      <c r="D67" s="1793"/>
      <c r="E67" s="1794"/>
      <c r="F67" s="1795"/>
      <c r="G67" s="1792"/>
      <c r="H67" s="1796"/>
      <c r="I67" s="1797"/>
      <c r="J67" s="1792"/>
      <c r="K67" s="1798"/>
      <c r="L67" s="1799"/>
      <c r="M67" s="1799"/>
      <c r="N67" s="1799"/>
      <c r="O67" s="1795"/>
      <c r="P67" s="1795"/>
      <c r="Q67" s="402"/>
      <c r="R67" s="402"/>
      <c r="S67" s="402"/>
      <c r="T67" s="404"/>
      <c r="U67" s="1800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792"/>
      <c r="D68" s="1793"/>
      <c r="E68" s="1794"/>
      <c r="F68" s="1795"/>
      <c r="G68" s="1792"/>
      <c r="H68" s="1796"/>
      <c r="I68" s="1797"/>
      <c r="J68" s="1792"/>
      <c r="K68" s="1798"/>
      <c r="L68" s="1799"/>
      <c r="M68" s="1799"/>
      <c r="N68" s="1799"/>
      <c r="O68" s="1795"/>
      <c r="P68" s="1795"/>
      <c r="Q68" s="402"/>
      <c r="R68" s="402"/>
      <c r="S68" s="402"/>
      <c r="T68" s="404"/>
      <c r="U68" s="1800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792"/>
      <c r="D69" s="1793"/>
      <c r="E69" s="1794"/>
      <c r="F69" s="1795"/>
      <c r="G69" s="1792"/>
      <c r="H69" s="1796"/>
      <c r="I69" s="1797"/>
      <c r="J69" s="1792"/>
      <c r="K69" s="1798"/>
      <c r="L69" s="1799"/>
      <c r="M69" s="1799"/>
      <c r="N69" s="1799"/>
      <c r="O69" s="1795"/>
      <c r="P69" s="1795"/>
      <c r="Q69" s="402"/>
      <c r="R69" s="402"/>
      <c r="S69" s="402"/>
      <c r="T69" s="404"/>
      <c r="U69" s="1800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792"/>
      <c r="D70" s="1793"/>
      <c r="E70" s="1794"/>
      <c r="F70" s="1795"/>
      <c r="G70" s="1792"/>
      <c r="H70" s="1796"/>
      <c r="I70" s="1797"/>
      <c r="J70" s="1792"/>
      <c r="K70" s="1798"/>
      <c r="L70" s="1799"/>
      <c r="M70" s="1799"/>
      <c r="N70" s="1799"/>
      <c r="O70" s="1795"/>
      <c r="P70" s="1795"/>
      <c r="Q70" s="402"/>
      <c r="R70" s="402"/>
      <c r="S70" s="402"/>
      <c r="T70" s="404"/>
      <c r="U70" s="1800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792"/>
      <c r="D71" s="1793"/>
      <c r="E71" s="1794"/>
      <c r="F71" s="1795"/>
      <c r="G71" s="1792"/>
      <c r="H71" s="1796"/>
      <c r="I71" s="1797"/>
      <c r="J71" s="1792"/>
      <c r="K71" s="1798"/>
      <c r="L71" s="1799"/>
      <c r="M71" s="1799"/>
      <c r="N71" s="1799"/>
      <c r="O71" s="1795"/>
      <c r="P71" s="1795"/>
      <c r="Q71" s="402"/>
      <c r="R71" s="402"/>
      <c r="S71" s="402"/>
      <c r="T71" s="404"/>
      <c r="U71" s="1800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792"/>
      <c r="D72" s="1793"/>
      <c r="E72" s="1794"/>
      <c r="F72" s="1795"/>
      <c r="G72" s="1792"/>
      <c r="H72" s="1796"/>
      <c r="I72" s="1797"/>
      <c r="J72" s="1792"/>
      <c r="K72" s="1798"/>
      <c r="L72" s="1799"/>
      <c r="M72" s="1799"/>
      <c r="N72" s="1799"/>
      <c r="O72" s="1795"/>
      <c r="P72" s="1795"/>
      <c r="Q72" s="402"/>
      <c r="R72" s="402"/>
      <c r="S72" s="402"/>
      <c r="T72" s="404"/>
      <c r="U72" s="1800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792"/>
      <c r="D73" s="1793"/>
      <c r="E73" s="1794"/>
      <c r="F73" s="1795"/>
      <c r="G73" s="1792"/>
      <c r="H73" s="1796"/>
      <c r="I73" s="1797"/>
      <c r="J73" s="1792"/>
      <c r="K73" s="1798"/>
      <c r="L73" s="1799"/>
      <c r="M73" s="1799"/>
      <c r="N73" s="1799"/>
      <c r="O73" s="1795"/>
      <c r="P73" s="1795"/>
      <c r="Q73" s="402"/>
      <c r="R73" s="402"/>
      <c r="S73" s="402"/>
      <c r="T73" s="404"/>
      <c r="U73" s="1800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792"/>
      <c r="D74" s="1793"/>
      <c r="E74" s="1794"/>
      <c r="F74" s="1795"/>
      <c r="G74" s="1792"/>
      <c r="H74" s="1796"/>
      <c r="I74" s="1797"/>
      <c r="J74" s="1792"/>
      <c r="K74" s="1798"/>
      <c r="L74" s="1799"/>
      <c r="M74" s="1799"/>
      <c r="N74" s="1799"/>
      <c r="O74" s="1795"/>
      <c r="P74" s="1795"/>
      <c r="Q74" s="402"/>
      <c r="R74" s="402"/>
      <c r="S74" s="402"/>
      <c r="T74" s="404"/>
      <c r="U74" s="1800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792"/>
      <c r="D75" s="1793"/>
      <c r="E75" s="1794"/>
      <c r="F75" s="1795"/>
      <c r="G75" s="1792"/>
      <c r="H75" s="1796"/>
      <c r="I75" s="1797"/>
      <c r="J75" s="1792"/>
      <c r="K75" s="1798"/>
      <c r="L75" s="1799"/>
      <c r="M75" s="1799"/>
      <c r="N75" s="1799"/>
      <c r="O75" s="1795"/>
      <c r="P75" s="1795"/>
      <c r="Q75" s="402"/>
      <c r="R75" s="402"/>
      <c r="S75" s="402"/>
      <c r="T75" s="404"/>
      <c r="U75" s="1800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4558.8372000000008</v>
      </c>
      <c r="D76" s="1041"/>
      <c r="E76" s="1041"/>
      <c r="F76" s="1041"/>
      <c r="G76" s="1040">
        <f>SUM(G7:G49)</f>
        <v>3317.040379061797</v>
      </c>
      <c r="H76" s="1042">
        <f>SUM(H7:H37)</f>
        <v>2.0707876818617965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5675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155.81916666666666</v>
      </c>
      <c r="D77" s="409"/>
      <c r="E77" s="409">
        <f>AVERAGE(E7:E15)</f>
        <v>19.543654508617081</v>
      </c>
      <c r="F77" s="411">
        <f>AVERAGE(F7:F55)</f>
        <v>0.79719790071782026</v>
      </c>
      <c r="G77" s="409">
        <f>AVERAGE(G7:G37)</f>
        <v>66.799602640703114</v>
      </c>
      <c r="H77" s="409">
        <f>AVERAGE(H8:H36)</f>
        <v>6.4980236702130906E-2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201</v>
      </c>
      <c r="F79" s="391">
        <f>MEDIAN(F7:F49)</f>
        <v>0.71375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202</v>
      </c>
      <c r="F80" s="120">
        <f>MAX(F7:F17)</f>
        <v>1.45</v>
      </c>
      <c r="I80" s="75"/>
      <c r="J80" s="75"/>
      <c r="K80" s="76"/>
      <c r="L80" s="76"/>
      <c r="M80" s="76"/>
      <c r="W80" s="1341" t="s">
        <v>204</v>
      </c>
      <c r="X80" s="1341"/>
    </row>
    <row r="81" spans="3:35" ht="14.4" x14ac:dyDescent="0.3">
      <c r="C81" s="75"/>
      <c r="D81" s="76"/>
      <c r="E81" s="392" t="s">
        <v>203</v>
      </c>
      <c r="F81" s="120">
        <f>MIN(F7,F9:F19)</f>
        <v>0.442</v>
      </c>
      <c r="I81" s="75"/>
      <c r="J81" s="75"/>
      <c r="K81" s="76"/>
      <c r="L81" s="76"/>
      <c r="M81" s="76"/>
      <c r="W81" s="145" t="s">
        <v>205</v>
      </c>
      <c r="X81" s="146">
        <f>F79</f>
        <v>0.71375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0.79719790071782026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410</v>
      </c>
      <c r="G83" s="394">
        <f>G76/C76</f>
        <v>0.72760667546140856</v>
      </c>
      <c r="H83" s="1132"/>
      <c r="I83" s="75"/>
      <c r="J83" s="75"/>
      <c r="K83" s="76"/>
      <c r="L83" s="76"/>
      <c r="M83" s="76"/>
      <c r="W83" s="145" t="s">
        <v>203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202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341" t="s">
        <v>206</v>
      </c>
      <c r="X86" s="1341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207</v>
      </c>
      <c r="X87" s="113">
        <f>C77</f>
        <v>155.81916666666666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19.543654508617081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62" zoomScaleNormal="100" workbookViewId="0">
      <pane xSplit="1" ySplit="5" topLeftCell="B31" activePane="bottomRight" state="frozen"/>
      <selection pane="topRight" activeCell="B1" sqref="B1"/>
      <selection pane="bottomLeft" activeCell="A2" sqref="A2"/>
      <selection pane="bottomRight" activeCell="D75" sqref="D7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88" t="s">
        <v>279</v>
      </c>
      <c r="C1" s="1388"/>
      <c r="D1" s="1388"/>
      <c r="E1" s="1388"/>
      <c r="F1" s="1388"/>
      <c r="G1" s="1388"/>
      <c r="H1" s="1388"/>
      <c r="I1" s="1388"/>
      <c r="J1" s="1388"/>
      <c r="K1" s="1388"/>
      <c r="L1" s="1388"/>
      <c r="M1" s="1388"/>
      <c r="N1" s="1388"/>
      <c r="O1" s="1388"/>
      <c r="P1" s="1388"/>
      <c r="Q1" s="1388"/>
      <c r="R1" s="1388"/>
      <c r="S1" s="1388"/>
    </row>
    <row r="2" spans="1:42" ht="18" x14ac:dyDescent="0.35">
      <c r="B2" s="1388" t="s">
        <v>280</v>
      </c>
      <c r="C2" s="1388"/>
      <c r="D2" s="1388"/>
      <c r="E2" s="1388"/>
      <c r="F2" s="1388"/>
      <c r="G2" s="1388"/>
      <c r="H2" s="1388"/>
      <c r="I2" s="1388"/>
      <c r="J2" s="1388"/>
      <c r="K2" s="1388"/>
      <c r="L2" s="1388"/>
      <c r="M2" s="1388"/>
      <c r="N2" s="1388"/>
      <c r="O2" s="1388"/>
      <c r="P2" s="1388"/>
      <c r="Q2" s="1388"/>
      <c r="R2" s="1388"/>
      <c r="S2" s="1388"/>
    </row>
    <row r="3" spans="1:42" ht="18" x14ac:dyDescent="0.35">
      <c r="B3" s="1388" t="s">
        <v>281</v>
      </c>
      <c r="C3" s="1388"/>
      <c r="D3" s="1388"/>
      <c r="E3" s="1388"/>
      <c r="F3" s="1388"/>
      <c r="G3" s="1388"/>
      <c r="H3" s="1388"/>
      <c r="I3" s="1388"/>
      <c r="J3" s="1388"/>
      <c r="K3" s="1388"/>
      <c r="L3" s="1388"/>
      <c r="M3" s="1388"/>
      <c r="N3" s="1388"/>
      <c r="O3" s="1388"/>
      <c r="P3" s="1388"/>
      <c r="Q3" s="1388"/>
      <c r="R3" s="1388"/>
      <c r="S3" s="1388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89"/>
      <c r="C5" s="1390"/>
      <c r="D5" s="1389" t="s">
        <v>24</v>
      </c>
      <c r="E5" s="1391"/>
      <c r="F5" s="1390"/>
      <c r="G5" s="1389" t="s">
        <v>25</v>
      </c>
      <c r="H5" s="1391"/>
      <c r="I5" s="1390"/>
      <c r="J5" s="1389" t="s">
        <v>319</v>
      </c>
      <c r="K5" s="1390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392" t="s">
        <v>162</v>
      </c>
      <c r="Y6" s="1392"/>
      <c r="Z6" s="1392"/>
      <c r="AA6" s="1392"/>
      <c r="AB6" s="1392"/>
      <c r="AC6" s="1392"/>
      <c r="AD6" s="1393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4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9050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31" t="s">
        <v>332</v>
      </c>
      <c r="Y10" s="1332"/>
      <c r="Z10" s="1332"/>
      <c r="AA10" s="1332"/>
      <c r="AB10" s="1332"/>
      <c r="AC10" s="1332"/>
      <c r="AD10" s="1333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1.3451751394224232</v>
      </c>
      <c r="Y11" s="123">
        <f>Y8/'Au Cal Leaching Tank'!$N$61</f>
        <v>0.61684826835392881</v>
      </c>
      <c r="Z11" s="123">
        <f>Z8/'Au Cal Leaching Tank'!$N$61</f>
        <v>0.7431906847637697</v>
      </c>
      <c r="AA11" s="123">
        <f>AA8/'Au Cal Leaching Tank'!$N$61</f>
        <v>7.7291831215432039E-2</v>
      </c>
      <c r="AB11" s="123">
        <f>AB8/'Au Cal Leaching Tank'!$N$61</f>
        <v>3.3443580814369635E-2</v>
      </c>
      <c r="AC11" s="123">
        <f>(AC8*30)/'Au Cal Leaching Tank'!$N$61</f>
        <v>3.1214008760078325E-2</v>
      </c>
      <c r="AD11" s="1192">
        <f>AD8/'Au Cal Leaching Tank'!$N$61</f>
        <v>9.6614789019290048E-3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67" t="s">
        <v>577</v>
      </c>
      <c r="Y20" s="1367"/>
      <c r="Z20" s="1367"/>
      <c r="AA20" s="1367"/>
      <c r="AB20" s="1367"/>
      <c r="AC20" s="1367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83" t="s">
        <v>576</v>
      </c>
      <c r="Y24" s="1383"/>
      <c r="Z24" s="1383"/>
      <c r="AA24" s="1383"/>
      <c r="AB24" s="1383"/>
      <c r="AC24" s="1383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615400000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84" t="s">
        <v>576</v>
      </c>
      <c r="Y27" s="1385"/>
      <c r="Z27" s="1386">
        <f>SUM(X26:AC26)</f>
        <v>869995000</v>
      </c>
      <c r="AA27" s="1385"/>
      <c r="AB27" s="1385"/>
      <c r="AC27" s="1387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0.70736038712866167</v>
      </c>
      <c r="Y28" s="684">
        <f t="shared" ref="Y28:AC28" si="10">Y26/$Z$27</f>
        <v>1.0971327421421963E-2</v>
      </c>
      <c r="Z28" s="684">
        <f t="shared" si="10"/>
        <v>0.25287501652308347</v>
      </c>
      <c r="AA28" s="684">
        <f t="shared" si="10"/>
        <v>1.793113753527319E-2</v>
      </c>
      <c r="AB28" s="684">
        <f t="shared" si="10"/>
        <v>7.2414209277064812E-3</v>
      </c>
      <c r="AC28" s="685">
        <f t="shared" si="10"/>
        <v>3.6207104638532406E-3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150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9050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515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848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v>150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20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7"/>
  <sheetViews>
    <sheetView view="pageBreakPreview" zoomScale="55" zoomScaleNormal="44" zoomScaleSheetLayoutView="74" workbookViewId="0">
      <pane ySplit="5" topLeftCell="A96" activePane="bottomLeft" state="frozen"/>
      <selection pane="bottomLeft" activeCell="N130" sqref="N13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06" t="s">
        <v>664</v>
      </c>
      <c r="C4" s="1407"/>
      <c r="D4" s="1407"/>
      <c r="E4" s="1407"/>
      <c r="F4" s="1407"/>
      <c r="G4" s="1407"/>
      <c r="H4" s="1407"/>
      <c r="I4" s="1407"/>
      <c r="J4" s="1407"/>
      <c r="K4" s="1407"/>
      <c r="L4" s="1407"/>
      <c r="M4" s="1407"/>
      <c r="N4" s="1407"/>
      <c r="O4" s="1408"/>
    </row>
    <row r="5" spans="2:27" ht="75.599999999999994" customHeight="1" thickBot="1" x14ac:dyDescent="0.35">
      <c r="B5" s="1420" t="s">
        <v>0</v>
      </c>
      <c r="C5" s="1421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89" t="s">
        <v>11</v>
      </c>
      <c r="T5" s="1390"/>
      <c r="W5" s="1367" t="s">
        <v>18</v>
      </c>
      <c r="X5" s="1367"/>
      <c r="Y5" s="1367"/>
      <c r="Z5" s="1367"/>
      <c r="AA5" s="1367"/>
    </row>
    <row r="6" spans="2:27" ht="13.95" customHeight="1" thickBot="1" x14ac:dyDescent="0.4">
      <c r="B6" s="1398">
        <v>46174</v>
      </c>
      <c r="C6" s="1399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22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00"/>
      <c r="C7" s="1401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23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12">
        <v>46175</v>
      </c>
      <c r="C8" s="1413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416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14"/>
      <c r="C9" s="1415"/>
      <c r="D9" s="347" t="s">
        <v>13</v>
      </c>
      <c r="E9" s="348"/>
      <c r="F9" s="349"/>
      <c r="G9" s="384"/>
      <c r="H9" s="350"/>
      <c r="I9" s="351" t="str">
        <f t="shared" ref="I9:I12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17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98">
        <v>46176</v>
      </c>
      <c r="C10" s="1399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409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00"/>
      <c r="C11" s="1401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1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12">
        <v>46177</v>
      </c>
      <c r="C12" s="1413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416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14"/>
      <c r="C13" s="1415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17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98">
        <v>46252</v>
      </c>
      <c r="C14" s="1399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409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400"/>
      <c r="C15" s="1401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10"/>
      <c r="O15" s="284"/>
    </row>
    <row r="16" spans="2:27" ht="18.600000000000001" thickBot="1" x14ac:dyDescent="0.4">
      <c r="B16" s="1412">
        <v>46253</v>
      </c>
      <c r="C16" s="1413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416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414"/>
      <c r="C17" s="1415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17"/>
      <c r="O17" s="346" t="s">
        <v>385</v>
      </c>
    </row>
    <row r="18" spans="2:23" ht="18.600000000000001" thickBot="1" x14ac:dyDescent="0.4">
      <c r="B18" s="1398">
        <v>46254</v>
      </c>
      <c r="C18" s="1399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409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400"/>
      <c r="C19" s="1401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11"/>
      <c r="O19" s="284" t="s">
        <v>407</v>
      </c>
      <c r="T19" s="109"/>
    </row>
    <row r="20" spans="2:23" ht="18.600000000000001" thickBot="1" x14ac:dyDescent="0.4">
      <c r="B20" s="1398">
        <v>46255</v>
      </c>
      <c r="C20" s="1399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409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00"/>
      <c r="C21" s="1401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11"/>
      <c r="O21" s="284"/>
      <c r="S21" s="2"/>
      <c r="T21" s="110"/>
    </row>
    <row r="22" spans="2:23" ht="18.600000000000001" thickBot="1" x14ac:dyDescent="0.4">
      <c r="B22" s="1398">
        <v>46256</v>
      </c>
      <c r="C22" s="1399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409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00"/>
      <c r="C23" s="1401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10"/>
      <c r="O23" s="284"/>
      <c r="P23" s="8"/>
      <c r="T23" s="109"/>
    </row>
    <row r="24" spans="2:23" ht="18.600000000000001" thickBot="1" x14ac:dyDescent="0.4">
      <c r="B24" s="1398">
        <v>46257</v>
      </c>
      <c r="C24" s="1399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09">
        <f>SUM(L24:L25)</f>
        <v>0</v>
      </c>
      <c r="O24" s="284"/>
    </row>
    <row r="25" spans="2:23" ht="18.600000000000001" thickBot="1" x14ac:dyDescent="0.4">
      <c r="B25" s="1400"/>
      <c r="C25" s="1401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10"/>
      <c r="O25" s="284"/>
      <c r="T25" s="3"/>
    </row>
    <row r="26" spans="2:23" ht="18.600000000000001" thickBot="1" x14ac:dyDescent="0.4">
      <c r="B26" s="1398">
        <v>46258</v>
      </c>
      <c r="C26" s="1399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409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00"/>
      <c r="C27" s="1401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10"/>
      <c r="O27" s="284"/>
    </row>
    <row r="28" spans="2:23" ht="18.600000000000001" thickBot="1" x14ac:dyDescent="0.4">
      <c r="B28" s="1398">
        <v>46259</v>
      </c>
      <c r="C28" s="1399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09">
        <f>SUM(L28:L29)</f>
        <v>0</v>
      </c>
      <c r="O28" s="284"/>
    </row>
    <row r="29" spans="2:23" ht="18.600000000000001" thickBot="1" x14ac:dyDescent="0.4">
      <c r="B29" s="1400"/>
      <c r="C29" s="1401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10"/>
      <c r="O29" s="284"/>
      <c r="P29" s="8"/>
    </row>
    <row r="30" spans="2:23" ht="18.600000000000001" thickBot="1" x14ac:dyDescent="0.4">
      <c r="B30" s="1398">
        <v>46260</v>
      </c>
      <c r="C30" s="1399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09">
        <f t="shared" ref="N30" si="13">SUM(L30:L31)</f>
        <v>0</v>
      </c>
      <c r="O30" s="284"/>
    </row>
    <row r="31" spans="2:23" ht="18.600000000000001" thickBot="1" x14ac:dyDescent="0.4">
      <c r="B31" s="1400"/>
      <c r="C31" s="1401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10"/>
      <c r="O31" s="284"/>
    </row>
    <row r="32" spans="2:23" ht="54.6" thickBot="1" x14ac:dyDescent="0.4">
      <c r="B32" s="1398">
        <v>46261</v>
      </c>
      <c r="C32" s="1399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422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00"/>
      <c r="C33" s="1401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23"/>
      <c r="O33" s="284"/>
    </row>
    <row r="34" spans="2:24" ht="18.600000000000001" thickBot="1" x14ac:dyDescent="0.4">
      <c r="B34" s="1398">
        <v>46262</v>
      </c>
      <c r="C34" s="1399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422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00"/>
      <c r="C35" s="1401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23"/>
      <c r="O35" s="284"/>
    </row>
    <row r="36" spans="2:24" ht="18.600000000000001" thickBot="1" x14ac:dyDescent="0.35">
      <c r="B36" s="1398">
        <v>46263</v>
      </c>
      <c r="C36" s="1399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422">
        <f>SUM(L36:L37)</f>
        <v>240.43500000000003</v>
      </c>
      <c r="O36" s="1424" t="str">
        <f>'Crushing Down Time Hours'!G17</f>
        <v>istirahat jam 12-13, 14:00-15:00 ada loading material dari mining</v>
      </c>
    </row>
    <row r="37" spans="2:24" ht="18.600000000000001" thickBot="1" x14ac:dyDescent="0.35">
      <c r="B37" s="1400"/>
      <c r="C37" s="1401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23"/>
      <c r="O37" s="1425"/>
    </row>
    <row r="38" spans="2:24" ht="18.600000000000001" thickBot="1" x14ac:dyDescent="0.4">
      <c r="B38" s="1398">
        <v>46264</v>
      </c>
      <c r="C38" s="1399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422">
        <f t="shared" ref="N38" si="15">SUM(L38:L39)</f>
        <v>53.820000000000007</v>
      </c>
      <c r="O38" s="284"/>
      <c r="Q38" s="4"/>
    </row>
    <row r="39" spans="2:24" ht="18.600000000000001" thickBot="1" x14ac:dyDescent="0.4">
      <c r="B39" s="1400"/>
      <c r="C39" s="1401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23"/>
      <c r="O39" s="284"/>
    </row>
    <row r="40" spans="2:24" ht="18.600000000000001" hidden="1" thickBot="1" x14ac:dyDescent="0.4">
      <c r="B40" s="1398">
        <v>46265</v>
      </c>
      <c r="C40" s="1399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09">
        <f>SUM(L40:L41)</f>
        <v>0</v>
      </c>
      <c r="O40" s="284"/>
    </row>
    <row r="41" spans="2:24" ht="18.600000000000001" hidden="1" thickBot="1" x14ac:dyDescent="0.4">
      <c r="B41" s="1400"/>
      <c r="C41" s="1401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10"/>
      <c r="O41" s="284"/>
    </row>
    <row r="42" spans="2:24" ht="18.600000000000001" hidden="1" thickBot="1" x14ac:dyDescent="0.4">
      <c r="B42" s="1398">
        <v>46266</v>
      </c>
      <c r="C42" s="1399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09">
        <f t="shared" ref="N42" si="16">SUM(L42:L43)</f>
        <v>0</v>
      </c>
      <c r="O42" s="284"/>
    </row>
    <row r="43" spans="2:24" ht="18.600000000000001" hidden="1" thickBot="1" x14ac:dyDescent="0.4">
      <c r="B43" s="1400"/>
      <c r="C43" s="1401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10"/>
      <c r="O43" s="284"/>
    </row>
    <row r="44" spans="2:24" ht="18.600000000000001" hidden="1" thickBot="1" x14ac:dyDescent="0.4">
      <c r="B44" s="1398">
        <v>46267</v>
      </c>
      <c r="C44" s="1399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09">
        <f t="shared" ref="N44" si="17">SUM(L44:L45)</f>
        <v>0</v>
      </c>
      <c r="O44" s="284"/>
    </row>
    <row r="45" spans="2:24" ht="18.600000000000001" hidden="1" thickBot="1" x14ac:dyDescent="0.4">
      <c r="B45" s="1400"/>
      <c r="C45" s="1401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10"/>
      <c r="O45" s="284"/>
    </row>
    <row r="46" spans="2:24" ht="18.600000000000001" hidden="1" thickBot="1" x14ac:dyDescent="0.4">
      <c r="B46" s="1398">
        <v>46268</v>
      </c>
      <c r="C46" s="1399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09">
        <f t="shared" ref="N46:N58" si="18">SUM(L46:L47)</f>
        <v>0</v>
      </c>
      <c r="O46" s="284"/>
    </row>
    <row r="47" spans="2:24" ht="18.600000000000001" hidden="1" thickBot="1" x14ac:dyDescent="0.4">
      <c r="B47" s="1400"/>
      <c r="C47" s="1401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10"/>
      <c r="O47" s="284"/>
    </row>
    <row r="48" spans="2:24" ht="18.600000000000001" hidden="1" thickBot="1" x14ac:dyDescent="0.4">
      <c r="B48" s="1398">
        <v>46269</v>
      </c>
      <c r="C48" s="1399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09">
        <f t="shared" si="18"/>
        <v>0</v>
      </c>
      <c r="O48" s="284"/>
    </row>
    <row r="49" spans="2:22" ht="18.600000000000001" hidden="1" thickBot="1" x14ac:dyDescent="0.4">
      <c r="B49" s="1400"/>
      <c r="C49" s="1401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10"/>
      <c r="O49" s="284"/>
    </row>
    <row r="50" spans="2:22" ht="18.600000000000001" hidden="1" thickBot="1" x14ac:dyDescent="0.4">
      <c r="B50" s="1398">
        <v>46270</v>
      </c>
      <c r="C50" s="1399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09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00"/>
      <c r="C51" s="1401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10"/>
      <c r="O51" s="284"/>
      <c r="P51" s="4"/>
    </row>
    <row r="52" spans="2:22" ht="18.600000000000001" hidden="1" thickBot="1" x14ac:dyDescent="0.4">
      <c r="B52" s="1398">
        <v>46271</v>
      </c>
      <c r="C52" s="1399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09">
        <f t="shared" si="18"/>
        <v>0</v>
      </c>
      <c r="O52" s="284"/>
    </row>
    <row r="53" spans="2:22" ht="18.600000000000001" hidden="1" thickBot="1" x14ac:dyDescent="0.4">
      <c r="B53" s="1400"/>
      <c r="C53" s="1401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10"/>
      <c r="O53" s="284"/>
      <c r="R53" s="1">
        <f>R50*4</f>
        <v>60</v>
      </c>
    </row>
    <row r="54" spans="2:22" ht="18.600000000000001" hidden="1" thickBot="1" x14ac:dyDescent="0.4">
      <c r="B54" s="1398">
        <v>46272</v>
      </c>
      <c r="C54" s="1399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09">
        <f t="shared" si="18"/>
        <v>0</v>
      </c>
      <c r="O54" s="284"/>
    </row>
    <row r="55" spans="2:22" ht="18.600000000000001" hidden="1" thickBot="1" x14ac:dyDescent="0.4">
      <c r="B55" s="1400"/>
      <c r="C55" s="1401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10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398">
        <v>46273</v>
      </c>
      <c r="C56" s="1399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0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00"/>
      <c r="C57" s="1401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10"/>
      <c r="O57" s="284"/>
      <c r="Q57" s="4"/>
      <c r="R57" s="4"/>
      <c r="S57" s="1">
        <v>1190</v>
      </c>
    </row>
    <row r="58" spans="2:22" ht="18.600000000000001" hidden="1" thickBot="1" x14ac:dyDescent="0.4">
      <c r="B58" s="1398">
        <v>46274</v>
      </c>
      <c r="C58" s="1399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09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00"/>
      <c r="C59" s="1401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10"/>
      <c r="O59" s="284"/>
      <c r="P59" s="4"/>
      <c r="S59" s="2">
        <f>(S55-S58)/S55</f>
        <v>0.10083594566353186</v>
      </c>
    </row>
    <row r="60" spans="2:22" ht="18.600000000000001" thickBot="1" x14ac:dyDescent="0.4">
      <c r="B60" s="1398">
        <v>46275</v>
      </c>
      <c r="C60" s="1399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402">
        <f>SUM(L60:L61)</f>
        <v>73.125</v>
      </c>
      <c r="O60" s="284"/>
      <c r="P60" s="8"/>
    </row>
    <row r="61" spans="2:22" ht="18.600000000000001" thickBot="1" x14ac:dyDescent="0.4">
      <c r="B61" s="1400"/>
      <c r="C61" s="1401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03"/>
      <c r="O61" s="284"/>
      <c r="P61" s="8"/>
    </row>
    <row r="62" spans="2:22" ht="18.600000000000001" thickBot="1" x14ac:dyDescent="0.4">
      <c r="B62" s="1398">
        <v>46276</v>
      </c>
      <c r="C62" s="1399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02">
        <f>SUM(L62:L63)</f>
        <v>0</v>
      </c>
      <c r="O62" s="284"/>
      <c r="P62" s="8"/>
    </row>
    <row r="63" spans="2:22" ht="18.600000000000001" thickBot="1" x14ac:dyDescent="0.4">
      <c r="B63" s="1400"/>
      <c r="C63" s="1401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03"/>
      <c r="O63" s="284"/>
      <c r="P63" s="8"/>
    </row>
    <row r="64" spans="2:22" ht="18.600000000000001" thickBot="1" x14ac:dyDescent="0.4">
      <c r="B64" s="1398">
        <v>46277</v>
      </c>
      <c r="C64" s="1399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402">
        <f>SUM(L64:L65)</f>
        <v>328.77</v>
      </c>
      <c r="O64" s="284"/>
      <c r="P64" s="8"/>
    </row>
    <row r="65" spans="2:16" ht="18.600000000000001" thickBot="1" x14ac:dyDescent="0.4">
      <c r="B65" s="1400"/>
      <c r="C65" s="1401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403"/>
      <c r="O65" s="284"/>
      <c r="P65" s="8"/>
    </row>
    <row r="66" spans="2:16" ht="18.600000000000001" thickBot="1" x14ac:dyDescent="0.4">
      <c r="B66" s="1398">
        <v>46278</v>
      </c>
      <c r="C66" s="1399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402">
        <f>SUM(L66:L67)</f>
        <v>262.66500000000002</v>
      </c>
      <c r="O66" s="284"/>
      <c r="P66" s="8"/>
    </row>
    <row r="67" spans="2:16" ht="18.600000000000001" thickBot="1" x14ac:dyDescent="0.4">
      <c r="B67" s="1400"/>
      <c r="C67" s="1401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403"/>
      <c r="O67" s="284"/>
      <c r="P67" s="8"/>
    </row>
    <row r="68" spans="2:16" ht="18.600000000000001" hidden="1" thickBot="1" x14ac:dyDescent="0.4">
      <c r="B68" s="1398">
        <v>46279</v>
      </c>
      <c r="C68" s="1399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04">
        <f t="shared" ref="N68" si="31">SUM(L68:L69)</f>
        <v>0</v>
      </c>
      <c r="O68" s="284"/>
      <c r="P68" s="8"/>
    </row>
    <row r="69" spans="2:16" ht="18.600000000000001" hidden="1" thickBot="1" x14ac:dyDescent="0.4">
      <c r="B69" s="1400"/>
      <c r="C69" s="1401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05"/>
      <c r="O69" s="284"/>
      <c r="P69" s="8"/>
    </row>
    <row r="70" spans="2:16" ht="18.600000000000001" hidden="1" thickBot="1" x14ac:dyDescent="0.4">
      <c r="B70" s="1398">
        <v>46280</v>
      </c>
      <c r="C70" s="1399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04">
        <f t="shared" ref="N70" si="32">SUM(L70:L71)</f>
        <v>0</v>
      </c>
      <c r="O70" s="284"/>
      <c r="P70" s="8"/>
    </row>
    <row r="71" spans="2:16" ht="18.600000000000001" hidden="1" thickBot="1" x14ac:dyDescent="0.4">
      <c r="B71" s="1400"/>
      <c r="C71" s="1401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05"/>
      <c r="O71" s="284"/>
      <c r="P71" s="8"/>
    </row>
    <row r="72" spans="2:16" ht="18.600000000000001" hidden="1" thickBot="1" x14ac:dyDescent="0.4">
      <c r="B72" s="1398">
        <v>46281</v>
      </c>
      <c r="C72" s="1399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04">
        <f t="shared" ref="N72" si="33">SUM(L72:L73)</f>
        <v>0</v>
      </c>
      <c r="O72" s="284"/>
      <c r="P72" s="8"/>
    </row>
    <row r="73" spans="2:16" ht="18.600000000000001" hidden="1" thickBot="1" x14ac:dyDescent="0.4">
      <c r="B73" s="1400"/>
      <c r="C73" s="1401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05"/>
      <c r="O73" s="284"/>
      <c r="P73" s="8"/>
    </row>
    <row r="74" spans="2:16" ht="18.600000000000001" hidden="1" thickBot="1" x14ac:dyDescent="0.4">
      <c r="B74" s="1398">
        <v>46282</v>
      </c>
      <c r="C74" s="1399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04">
        <f t="shared" ref="N74" si="34">SUM(L74:L75)</f>
        <v>0</v>
      </c>
      <c r="O74" s="284"/>
      <c r="P74" s="8"/>
    </row>
    <row r="75" spans="2:16" ht="18.600000000000001" hidden="1" thickBot="1" x14ac:dyDescent="0.4">
      <c r="B75" s="1400"/>
      <c r="C75" s="1401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05"/>
      <c r="O75" s="284"/>
      <c r="P75" s="8"/>
    </row>
    <row r="76" spans="2:16" ht="18.600000000000001" thickBot="1" x14ac:dyDescent="0.4">
      <c r="B76" s="1398">
        <v>46283</v>
      </c>
      <c r="C76" s="1399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04">
        <f>SUM(L76:L77)</f>
        <v>201.24</v>
      </c>
      <c r="O76" s="284" t="s">
        <v>638</v>
      </c>
      <c r="P76" s="8"/>
    </row>
    <row r="77" spans="2:16" ht="18.600000000000001" thickBot="1" x14ac:dyDescent="0.4">
      <c r="B77" s="1400"/>
      <c r="C77" s="1401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0">
        <f t="shared" si="29"/>
        <v>201.24</v>
      </c>
      <c r="M77" s="1001">
        <f t="shared" ref="M77:M80" si="36">IFERROR((K77/12),"")</f>
        <v>19.5</v>
      </c>
      <c r="N77" s="1405"/>
      <c r="O77" s="284" t="s">
        <v>639</v>
      </c>
      <c r="P77" s="8"/>
    </row>
    <row r="78" spans="2:16" ht="18" x14ac:dyDescent="0.35">
      <c r="B78" s="1398">
        <v>46284</v>
      </c>
      <c r="C78" s="1399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02">
        <f>SUM(L78:L80)</f>
        <v>324.20960000000002</v>
      </c>
      <c r="O78" s="284" t="s">
        <v>638</v>
      </c>
      <c r="P78" s="8"/>
    </row>
    <row r="79" spans="2:16" ht="18" x14ac:dyDescent="0.35">
      <c r="B79" s="1418"/>
      <c r="C79" s="1419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02"/>
      <c r="O79" s="284"/>
      <c r="P79" s="8"/>
    </row>
    <row r="80" spans="2:16" ht="18.600000000000001" thickBot="1" x14ac:dyDescent="0.4">
      <c r="B80" s="1400"/>
      <c r="C80" s="1401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0">
        <v>1.3</v>
      </c>
      <c r="K80" s="305">
        <f t="shared" si="35"/>
        <v>162.5</v>
      </c>
      <c r="L80" s="1061">
        <f t="shared" si="37"/>
        <v>147.875</v>
      </c>
      <c r="M80" s="1062">
        <f t="shared" si="36"/>
        <v>13.541666666666666</v>
      </c>
      <c r="N80" s="1403"/>
      <c r="O80" s="284"/>
      <c r="P80" s="8"/>
    </row>
    <row r="81" spans="2:16" ht="18.600000000000001" thickBot="1" x14ac:dyDescent="0.4">
      <c r="B81" s="1398">
        <v>46285</v>
      </c>
      <c r="C81" s="1399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02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418"/>
      <c r="C82" s="1419"/>
      <c r="D82" s="1013" t="s">
        <v>12</v>
      </c>
      <c r="E82" s="286" t="s">
        <v>169</v>
      </c>
      <c r="F82" s="287">
        <v>20</v>
      </c>
      <c r="G82" s="1016" t="s">
        <v>427</v>
      </c>
      <c r="H82" s="1017">
        <v>0.1</v>
      </c>
      <c r="I82" s="1018">
        <f t="shared" si="4"/>
        <v>0.5</v>
      </c>
      <c r="J82" s="1019">
        <v>1.3</v>
      </c>
      <c r="K82" s="1020">
        <f t="shared" si="42"/>
        <v>13</v>
      </c>
      <c r="L82" s="1066">
        <f t="shared" si="43"/>
        <v>11.700000000000001</v>
      </c>
      <c r="M82" s="1066">
        <f t="shared" si="44"/>
        <v>1.0833333333333333</v>
      </c>
      <c r="N82" s="1402"/>
      <c r="O82" s="284"/>
      <c r="P82" s="8"/>
    </row>
    <row r="83" spans="2:16" ht="18.600000000000001" thickBot="1" x14ac:dyDescent="0.4">
      <c r="B83" s="1400"/>
      <c r="C83" s="1401"/>
      <c r="D83" s="1013" t="s">
        <v>13</v>
      </c>
      <c r="E83" s="297" t="s">
        <v>552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03"/>
      <c r="O83" s="284"/>
      <c r="P83" s="8"/>
    </row>
    <row r="84" spans="2:16" ht="18.600000000000001" thickBot="1" x14ac:dyDescent="0.4">
      <c r="B84" s="1398">
        <v>46286</v>
      </c>
      <c r="C84" s="1399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04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400"/>
      <c r="C85" s="1401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05"/>
      <c r="O85" s="284"/>
      <c r="P85" s="8"/>
    </row>
    <row r="86" spans="2:16" ht="18.600000000000001" thickBot="1" x14ac:dyDescent="0.4">
      <c r="B86" s="1398">
        <v>46287</v>
      </c>
      <c r="C86" s="1399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04">
        <f t="shared" ref="N86" si="50">SUM(L86:L87)</f>
        <v>133.38000000000002</v>
      </c>
      <c r="O86" s="284"/>
      <c r="P86" s="8"/>
    </row>
    <row r="87" spans="2:16" ht="18.600000000000001" thickBot="1" x14ac:dyDescent="0.4">
      <c r="B87" s="1400"/>
      <c r="C87" s="1401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05"/>
      <c r="O87" s="284"/>
      <c r="P87" s="8"/>
    </row>
    <row r="88" spans="2:16" ht="18.600000000000001" thickBot="1" x14ac:dyDescent="0.4">
      <c r="B88" s="1398">
        <v>46288</v>
      </c>
      <c r="C88" s="1399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04">
        <f>SUM(L88:L89)</f>
        <v>402.63600000000008</v>
      </c>
      <c r="O88" s="284"/>
      <c r="P88" s="8"/>
    </row>
    <row r="89" spans="2:16" ht="18.600000000000001" thickBot="1" x14ac:dyDescent="0.4">
      <c r="B89" s="1400"/>
      <c r="C89" s="1401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05"/>
      <c r="O89" s="284"/>
      <c r="P89" s="8"/>
    </row>
    <row r="90" spans="2:16" ht="18.600000000000001" thickBot="1" x14ac:dyDescent="0.4">
      <c r="B90" s="1398">
        <v>46289</v>
      </c>
      <c r="C90" s="1399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04">
        <f t="shared" ref="N90" si="59">SUM(L90:L91)</f>
        <v>219.92100000000002</v>
      </c>
      <c r="O90" s="284"/>
      <c r="P90" s="8"/>
    </row>
    <row r="91" spans="2:16" ht="18.600000000000001" thickBot="1" x14ac:dyDescent="0.4">
      <c r="B91" s="1400"/>
      <c r="C91" s="1401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05"/>
      <c r="O91" s="284"/>
      <c r="P91" s="8"/>
    </row>
    <row r="92" spans="2:16" ht="18.600000000000001" thickBot="1" x14ac:dyDescent="0.4">
      <c r="B92" s="1398">
        <v>46290</v>
      </c>
      <c r="C92" s="1399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04">
        <f t="shared" ref="N92" si="64">SUM(L92:L93)</f>
        <v>217.62</v>
      </c>
      <c r="O92" s="284"/>
      <c r="P92" s="8"/>
    </row>
    <row r="93" spans="2:16" ht="18.600000000000001" thickBot="1" x14ac:dyDescent="0.4">
      <c r="B93" s="1400"/>
      <c r="C93" s="1401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05"/>
      <c r="O93" s="284"/>
      <c r="P93" s="8"/>
    </row>
    <row r="94" spans="2:16" ht="18.600000000000001" thickBot="1" x14ac:dyDescent="0.4">
      <c r="B94" s="1398">
        <v>46291</v>
      </c>
      <c r="C94" s="1399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04">
        <f t="shared" ref="N94" si="69">SUM(L94:L95)</f>
        <v>253.77300000000002</v>
      </c>
      <c r="O94" s="284"/>
      <c r="P94" s="8"/>
    </row>
    <row r="95" spans="2:16" ht="18.600000000000001" thickBot="1" x14ac:dyDescent="0.4">
      <c r="B95" s="1400"/>
      <c r="C95" s="1401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05"/>
      <c r="O95" s="284"/>
      <c r="P95" s="8"/>
    </row>
    <row r="96" spans="2:16" ht="18.600000000000001" thickBot="1" x14ac:dyDescent="0.4">
      <c r="B96" s="1398">
        <v>46292</v>
      </c>
      <c r="C96" s="1399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04">
        <f t="shared" ref="N96" si="70">SUM(L96:L97)</f>
        <v>0</v>
      </c>
      <c r="O96" s="284"/>
      <c r="P96" s="8"/>
    </row>
    <row r="97" spans="2:16" ht="18.600000000000001" thickBot="1" x14ac:dyDescent="0.4">
      <c r="B97" s="1400"/>
      <c r="C97" s="1401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05"/>
      <c r="O97" s="284"/>
      <c r="P97" s="8"/>
    </row>
    <row r="98" spans="2:16" ht="18.600000000000001" thickBot="1" x14ac:dyDescent="0.4">
      <c r="B98" s="1398">
        <v>46293</v>
      </c>
      <c r="C98" s="1399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04">
        <f t="shared" ref="N98" si="75">SUM(L98:L99)</f>
        <v>182.988</v>
      </c>
      <c r="O98" s="284"/>
      <c r="P98" s="8"/>
    </row>
    <row r="99" spans="2:16" ht="18.600000000000001" thickBot="1" x14ac:dyDescent="0.4">
      <c r="B99" s="1400"/>
      <c r="C99" s="1401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05"/>
      <c r="O99" s="284"/>
      <c r="P99" s="8"/>
    </row>
    <row r="100" spans="2:16" ht="18.600000000000001" thickBot="1" x14ac:dyDescent="0.4">
      <c r="B100" s="1398">
        <v>46294</v>
      </c>
      <c r="C100" s="1399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04">
        <f t="shared" ref="N100" si="76">SUM(L100:L101)</f>
        <v>0</v>
      </c>
      <c r="O100" s="284"/>
      <c r="P100" s="8"/>
    </row>
    <row r="101" spans="2:16" ht="18.600000000000001" thickBot="1" x14ac:dyDescent="0.4">
      <c r="B101" s="1400"/>
      <c r="C101" s="1401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05"/>
      <c r="O101" s="284"/>
      <c r="P101" s="8"/>
    </row>
    <row r="102" spans="2:16" ht="18.600000000000001" thickBot="1" x14ac:dyDescent="0.4">
      <c r="B102" s="1398">
        <v>46295</v>
      </c>
      <c r="C102" s="1399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04">
        <f>SUM(L102:L103)</f>
        <v>121.485</v>
      </c>
      <c r="O102" s="284"/>
      <c r="P102" s="8"/>
    </row>
    <row r="103" spans="2:16" ht="18.600000000000001" thickBot="1" x14ac:dyDescent="0.4">
      <c r="B103" s="1400"/>
      <c r="C103" s="1401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31"/>
      <c r="O103" s="284"/>
      <c r="P103" s="8"/>
    </row>
    <row r="104" spans="2:16" ht="18.600000000000001" thickBot="1" x14ac:dyDescent="0.4">
      <c r="B104" s="1398">
        <v>46296</v>
      </c>
      <c r="C104" s="1399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04">
        <f>SUM(L104:L105)</f>
        <v>295.03500000000003</v>
      </c>
      <c r="O104" s="284"/>
      <c r="P104" s="8"/>
    </row>
    <row r="105" spans="2:16" ht="18" x14ac:dyDescent="0.35">
      <c r="B105" s="1418"/>
      <c r="C105" s="1419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30"/>
      <c r="O105" s="284"/>
      <c r="P105" s="8"/>
    </row>
    <row r="106" spans="2:16" ht="18" x14ac:dyDescent="0.35">
      <c r="B106" s="1426">
        <v>46297</v>
      </c>
      <c r="C106" s="1426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29">
        <f>SUM(L106:L109)</f>
        <v>232.2099</v>
      </c>
      <c r="O106" s="284"/>
      <c r="P106" s="8"/>
    </row>
    <row r="107" spans="2:16" ht="18" x14ac:dyDescent="0.35">
      <c r="B107" s="1426"/>
      <c r="C107" s="1426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29"/>
      <c r="O107" s="284"/>
      <c r="P107" s="8"/>
    </row>
    <row r="108" spans="2:16" ht="18" x14ac:dyDescent="0.35">
      <c r="B108" s="1426"/>
      <c r="C108" s="1426"/>
      <c r="D108" s="1013" t="s">
        <v>13</v>
      </c>
      <c r="E108" s="1014" t="s">
        <v>769</v>
      </c>
      <c r="F108" s="1015">
        <v>78</v>
      </c>
      <c r="G108" s="1016" t="s">
        <v>427</v>
      </c>
      <c r="H108" s="1017">
        <v>0.11</v>
      </c>
      <c r="I108" s="1018">
        <f t="shared" si="81"/>
        <v>0.5</v>
      </c>
      <c r="J108" s="1019">
        <v>1.3</v>
      </c>
      <c r="K108" s="1020">
        <f t="shared" ref="K108" si="85">IFERROR((F108*I108*J108),"")</f>
        <v>50.7</v>
      </c>
      <c r="L108" s="1066">
        <f t="shared" ref="L108" si="86">IFERROR(((F108*I108)*J108)*(1-H108),"")</f>
        <v>45.123000000000005</v>
      </c>
      <c r="M108" s="1066">
        <f t="shared" ref="M108" si="87">IFERROR((K108/12),"")</f>
        <v>4.2250000000000005</v>
      </c>
      <c r="N108" s="1429"/>
      <c r="O108" s="284"/>
      <c r="P108" s="8"/>
    </row>
    <row r="109" spans="2:16" ht="18" x14ac:dyDescent="0.35">
      <c r="B109" s="1426"/>
      <c r="C109" s="1426"/>
      <c r="D109" s="1013" t="s">
        <v>13</v>
      </c>
      <c r="E109" s="1014" t="s">
        <v>769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29"/>
      <c r="O109" s="284"/>
      <c r="P109" s="8"/>
    </row>
    <row r="110" spans="2:16" ht="18" x14ac:dyDescent="0.35">
      <c r="B110" s="1426">
        <v>46298</v>
      </c>
      <c r="C110" s="1426"/>
      <c r="D110" s="1013" t="s">
        <v>12</v>
      </c>
      <c r="E110" s="1014" t="s">
        <v>771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27">
        <f>SUM(L110:L111)</f>
        <v>464.91899999999998</v>
      </c>
      <c r="O110" s="284"/>
      <c r="P110" s="8"/>
    </row>
    <row r="111" spans="2:16" ht="18" x14ac:dyDescent="0.35">
      <c r="B111" s="1426"/>
      <c r="C111" s="1426"/>
      <c r="D111" s="1013" t="s">
        <v>13</v>
      </c>
      <c r="E111" s="1014" t="s">
        <v>772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28"/>
      <c r="O111" s="284"/>
      <c r="P111" s="8"/>
    </row>
    <row r="112" spans="2:16" ht="18" x14ac:dyDescent="0.35">
      <c r="B112" s="1426">
        <v>46299</v>
      </c>
      <c r="C112" s="1426"/>
      <c r="D112" s="1013" t="s">
        <v>12</v>
      </c>
      <c r="E112" s="1014" t="s">
        <v>773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26"/>
      <c r="C113" s="1426"/>
      <c r="D113" s="1013" t="s">
        <v>13</v>
      </c>
      <c r="E113" s="1014" t="s">
        <v>772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26">
        <v>46300</v>
      </c>
      <c r="C114" s="1426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27">
        <f>SUM(L114:L115)</f>
        <v>19.655999999999999</v>
      </c>
      <c r="O114" s="1189"/>
      <c r="P114" s="8"/>
    </row>
    <row r="115" spans="2:16" ht="18" x14ac:dyDescent="0.35">
      <c r="B115" s="1426"/>
      <c r="C115" s="1426"/>
      <c r="D115" s="1013" t="s">
        <v>13</v>
      </c>
      <c r="E115" s="1014" t="s">
        <v>782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28"/>
      <c r="O115" s="1189"/>
      <c r="P115" s="8"/>
    </row>
    <row r="116" spans="2:16" ht="18" x14ac:dyDescent="0.35">
      <c r="B116" s="1426">
        <v>46301</v>
      </c>
      <c r="C116" s="1426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27">
        <f>SUM(L116:L117)</f>
        <v>94.77</v>
      </c>
      <c r="O116" s="1189"/>
      <c r="P116" s="8"/>
    </row>
    <row r="117" spans="2:16" ht="18" x14ac:dyDescent="0.35">
      <c r="B117" s="1426"/>
      <c r="C117" s="1426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28"/>
      <c r="O117" s="1189"/>
      <c r="P117" s="8"/>
    </row>
    <row r="118" spans="2:16" ht="18" x14ac:dyDescent="0.35">
      <c r="B118" s="1426">
        <v>46302</v>
      </c>
      <c r="C118" s="1426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27">
        <f>SUM(L118:L119)</f>
        <v>185.49439999999998</v>
      </c>
      <c r="O118" s="1189"/>
      <c r="P118" s="8"/>
    </row>
    <row r="119" spans="2:16" ht="18" x14ac:dyDescent="0.35">
      <c r="B119" s="1426"/>
      <c r="C119" s="1426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</v>
      </c>
      <c r="K119" s="1020">
        <f t="shared" si="108"/>
        <v>203.83999999999997</v>
      </c>
      <c r="L119" s="1066">
        <f t="shared" si="109"/>
        <v>185.49439999999998</v>
      </c>
      <c r="M119" s="1066">
        <f t="shared" si="110"/>
        <v>16.986666666666665</v>
      </c>
      <c r="N119" s="1428"/>
      <c r="O119" s="1189"/>
      <c r="P119" s="8"/>
    </row>
    <row r="120" spans="2:16" ht="18" x14ac:dyDescent="0.35">
      <c r="B120" s="1426">
        <v>46303</v>
      </c>
      <c r="C120" s="1426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</v>
      </c>
      <c r="K120" s="1020">
        <f t="shared" ref="K120" si="112">IFERROR((F120*I120*J120),"")</f>
        <v>164.70999999999998</v>
      </c>
      <c r="L120" s="1066">
        <f t="shared" ref="L120" si="113">IFERROR(((F120*I120)*J120)*(1-H120),"")</f>
        <v>149.8861</v>
      </c>
      <c r="M120" s="1066">
        <f t="shared" ref="M120" si="114">IFERROR((K120/12),"")</f>
        <v>13.725833333333332</v>
      </c>
      <c r="N120" s="1427">
        <f>SUM(L120:L121)</f>
        <v>430.68610000000001</v>
      </c>
      <c r="O120" s="1189"/>
      <c r="P120" s="8"/>
    </row>
    <row r="121" spans="2:16" ht="18" x14ac:dyDescent="0.35">
      <c r="B121" s="1426"/>
      <c r="C121" s="1426"/>
      <c r="D121" s="1013" t="s">
        <v>13</v>
      </c>
      <c r="E121" s="1014"/>
      <c r="F121" s="1015">
        <v>80</v>
      </c>
      <c r="G121" s="1016" t="s">
        <v>15</v>
      </c>
      <c r="H121" s="1017">
        <v>0.1</v>
      </c>
      <c r="I121" s="1018">
        <f t="shared" ref="I121" si="115">IFERROR((VLOOKUP(G121,S$6:T$8,2,FALSE)),"")</f>
        <v>3</v>
      </c>
      <c r="J121" s="1019">
        <v>1.3</v>
      </c>
      <c r="K121" s="1020">
        <f t="shared" ref="K121" si="116">IFERROR((F121*I121*J121),"")</f>
        <v>312</v>
      </c>
      <c r="L121" s="1066">
        <f t="shared" ref="L121" si="117">IFERROR(((F121*I121)*J121)*(1-H121),"")</f>
        <v>280.8</v>
      </c>
      <c r="M121" s="1066">
        <f t="shared" ref="M121" si="118">IFERROR((K121/12),"")</f>
        <v>26</v>
      </c>
      <c r="N121" s="1428"/>
      <c r="O121" s="1189"/>
      <c r="P121" s="8"/>
    </row>
    <row r="122" spans="2:16" ht="18" hidden="1" customHeight="1" x14ac:dyDescent="0.35">
      <c r="B122" s="1426">
        <v>46304</v>
      </c>
      <c r="C122" s="1426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27">
        <f t="shared" ref="N122" si="123">SUM(L122:L123)</f>
        <v>0</v>
      </c>
      <c r="O122" s="1189"/>
      <c r="P122" s="8"/>
    </row>
    <row r="123" spans="2:16" ht="18" hidden="1" customHeight="1" x14ac:dyDescent="0.35">
      <c r="B123" s="1426"/>
      <c r="C123" s="1426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28"/>
      <c r="O123" s="1189"/>
      <c r="P123" s="8"/>
    </row>
    <row r="124" spans="2:16" ht="18" x14ac:dyDescent="0.35">
      <c r="B124" s="1426">
        <v>46307</v>
      </c>
      <c r="C124" s="1426"/>
      <c r="D124" s="1013" t="s">
        <v>12</v>
      </c>
      <c r="E124" s="1014"/>
      <c r="F124" s="1015">
        <v>39</v>
      </c>
      <c r="G124" s="1016" t="s">
        <v>15</v>
      </c>
      <c r="H124" s="1017">
        <v>0.1</v>
      </c>
      <c r="I124" s="1018">
        <f t="shared" si="119"/>
        <v>3</v>
      </c>
      <c r="J124" s="1019">
        <v>1.3</v>
      </c>
      <c r="K124" s="1020">
        <f t="shared" si="120"/>
        <v>152.1</v>
      </c>
      <c r="L124" s="1066">
        <f t="shared" si="121"/>
        <v>136.88999999999999</v>
      </c>
      <c r="M124" s="1066">
        <f t="shared" si="122"/>
        <v>12.674999999999999</v>
      </c>
      <c r="N124" s="1427">
        <f t="shared" ref="N124" si="124">SUM(L124:L125)</f>
        <v>306.96899999999999</v>
      </c>
      <c r="O124" s="1189"/>
      <c r="P124" s="8"/>
    </row>
    <row r="125" spans="2:16" ht="18" x14ac:dyDescent="0.35">
      <c r="B125" s="1426"/>
      <c r="C125" s="1426"/>
      <c r="D125" s="1013" t="s">
        <v>13</v>
      </c>
      <c r="E125" s="1014"/>
      <c r="F125" s="1015">
        <v>49</v>
      </c>
      <c r="G125" s="1016" t="s">
        <v>15</v>
      </c>
      <c r="H125" s="1017">
        <v>0.11</v>
      </c>
      <c r="I125" s="1018">
        <f t="shared" ref="I125" si="125">IFERROR((VLOOKUP(G125,S$6:T$8,2,FALSE)),"")</f>
        <v>3</v>
      </c>
      <c r="J125" s="1019">
        <v>1.3</v>
      </c>
      <c r="K125" s="1020">
        <f t="shared" ref="K125" si="126">IFERROR((F125*I125*J125),"")</f>
        <v>191.1</v>
      </c>
      <c r="L125" s="1066">
        <f t="shared" ref="L125" si="127">IFERROR(((F125*I125)*J125)*(1-H125),"")</f>
        <v>170.07900000000001</v>
      </c>
      <c r="M125" s="1066">
        <f t="shared" ref="M125" si="128">IFERROR((K125/12),"")</f>
        <v>15.924999999999999</v>
      </c>
      <c r="N125" s="1428"/>
      <c r="O125" s="1189"/>
      <c r="P125" s="8"/>
    </row>
    <row r="126" spans="2:16" ht="18" x14ac:dyDescent="0.35">
      <c r="B126" s="1426">
        <v>46306</v>
      </c>
      <c r="C126" s="1426"/>
      <c r="D126" s="1013"/>
      <c r="E126" s="1014"/>
      <c r="F126" s="1015"/>
      <c r="G126" s="1016"/>
      <c r="H126" s="1017"/>
      <c r="I126" s="1018"/>
      <c r="J126" s="1019"/>
      <c r="K126" s="1020"/>
      <c r="L126" s="1066"/>
      <c r="M126" s="1066"/>
      <c r="N126" s="1066"/>
      <c r="O126" s="1189"/>
      <c r="P126" s="8"/>
    </row>
    <row r="127" spans="2:16" ht="18" x14ac:dyDescent="0.35">
      <c r="B127" s="1426"/>
      <c r="C127" s="1426"/>
      <c r="D127" s="1013"/>
      <c r="E127" s="1014"/>
      <c r="F127" s="1015"/>
      <c r="G127" s="1016"/>
      <c r="H127" s="1017"/>
      <c r="I127" s="1018"/>
      <c r="J127" s="1019"/>
      <c r="K127" s="1020"/>
      <c r="L127" s="1066"/>
      <c r="M127" s="1066"/>
      <c r="N127" s="1066"/>
      <c r="O127" s="1189"/>
      <c r="P127" s="8"/>
    </row>
    <row r="128" spans="2:16" ht="18" x14ac:dyDescent="0.35">
      <c r="B128" s="1013"/>
      <c r="C128" s="1013"/>
      <c r="D128" s="1013"/>
      <c r="E128" s="1014"/>
      <c r="F128" s="1015"/>
      <c r="G128" s="1016"/>
      <c r="H128" s="1017"/>
      <c r="I128" s="1018"/>
      <c r="J128" s="1019"/>
      <c r="K128" s="1020"/>
      <c r="L128" s="1066"/>
      <c r="M128" s="1066"/>
      <c r="N128" s="1066"/>
      <c r="O128" s="1189"/>
      <c r="P128" s="8"/>
    </row>
    <row r="129" spans="2:19" ht="18" x14ac:dyDescent="0.35">
      <c r="B129" s="1394" t="s">
        <v>16</v>
      </c>
      <c r="C129" s="1395"/>
      <c r="D129" s="318"/>
      <c r="E129" s="319"/>
      <c r="F129" s="320">
        <f>AVERAGE(F6:F91)</f>
        <v>182</v>
      </c>
      <c r="G129" s="321"/>
      <c r="H129" s="322">
        <f>AVERAGE(H6:H86)</f>
        <v>0.11073333333333336</v>
      </c>
      <c r="I129" s="323" t="str">
        <f t="shared" si="4"/>
        <v/>
      </c>
      <c r="J129" s="324"/>
      <c r="K129" s="325">
        <f>AVERAGE(K6:K67)</f>
        <v>150.91452380952381</v>
      </c>
      <c r="L129" s="326">
        <f>AVERAGE(L6:L80)</f>
        <v>128.63389230769229</v>
      </c>
      <c r="M129" s="1059">
        <f>AVERAGE(M6:M103)</f>
        <v>12.962948717948722</v>
      </c>
      <c r="N129" s="1190">
        <f>AVERAGE(N6:N85)</f>
        <v>97.510261538461535</v>
      </c>
      <c r="O129" s="1189"/>
      <c r="S129" s="4"/>
    </row>
    <row r="130" spans="2:19" ht="18.600000000000001" thickBot="1" x14ac:dyDescent="0.4">
      <c r="B130" s="1396" t="s">
        <v>17</v>
      </c>
      <c r="C130" s="1397"/>
      <c r="D130" s="1182"/>
      <c r="E130" s="327"/>
      <c r="F130" s="328">
        <f>SUM(F6:F85)</f>
        <v>5971</v>
      </c>
      <c r="G130" s="327"/>
      <c r="H130" s="329"/>
      <c r="I130" s="329"/>
      <c r="J130" s="327"/>
      <c r="K130" s="330"/>
      <c r="L130" s="331"/>
      <c r="M130" s="327"/>
      <c r="N130" s="333">
        <f>SUM(N6:N128)</f>
        <v>7369.9675999999999</v>
      </c>
      <c r="O130" s="284"/>
      <c r="Q130" s="4"/>
      <c r="R130" s="4"/>
      <c r="S130" s="2"/>
    </row>
    <row r="131" spans="2:19" x14ac:dyDescent="0.3">
      <c r="D131" s="1181"/>
      <c r="F131" s="264"/>
      <c r="H131" s="267"/>
      <c r="I131" s="269"/>
    </row>
    <row r="132" spans="2:19" x14ac:dyDescent="0.3">
      <c r="K132" s="10"/>
      <c r="N132" s="945"/>
    </row>
    <row r="133" spans="2:19" x14ac:dyDescent="0.3">
      <c r="F133" s="265"/>
      <c r="I133" s="265"/>
      <c r="N133" s="945"/>
    </row>
    <row r="137" spans="2:19" x14ac:dyDescent="0.3">
      <c r="O137" s="4"/>
    </row>
  </sheetData>
  <mergeCells count="123">
    <mergeCell ref="B48:C49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84:C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9:C129"/>
    <mergeCell ref="B130:C13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3" type="noConversion"/>
  <dataValidations count="1">
    <dataValidation type="list" allowBlank="1" showInputMessage="1" showErrorMessage="1" sqref="G6:G129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36" t="s">
        <v>122</v>
      </c>
      <c r="C1" s="1436"/>
      <c r="D1" s="1436"/>
      <c r="E1" s="1436"/>
      <c r="F1" s="1436"/>
      <c r="G1" s="1436"/>
      <c r="H1" s="1436"/>
      <c r="I1" s="1436"/>
      <c r="J1" s="1436"/>
      <c r="K1" s="1436"/>
      <c r="L1" s="1436"/>
    </row>
    <row r="2" spans="1:27" ht="18" x14ac:dyDescent="0.35">
      <c r="F2" s="1442" t="s">
        <v>417</v>
      </c>
      <c r="G2" s="1442"/>
      <c r="H2" s="1442"/>
      <c r="I2" s="1442"/>
      <c r="J2" s="1442"/>
    </row>
    <row r="3" spans="1:27" ht="15" thickBot="1" x14ac:dyDescent="0.35">
      <c r="A3" s="1437" t="s">
        <v>198</v>
      </c>
      <c r="B3" s="1438"/>
      <c r="C3" s="1438"/>
      <c r="D3" s="1438"/>
      <c r="E3" s="1438"/>
      <c r="F3" s="1438"/>
      <c r="G3" s="1439"/>
    </row>
    <row r="4" spans="1:27" ht="15" thickBot="1" x14ac:dyDescent="0.35">
      <c r="A4" s="1440" t="s">
        <v>0</v>
      </c>
      <c r="B4" s="144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32">
        <v>46252</v>
      </c>
      <c r="B6" s="1433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32">
        <v>46253</v>
      </c>
      <c r="B7" s="1433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32">
        <v>46254</v>
      </c>
      <c r="B8" s="1433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34" t="s">
        <v>209</v>
      </c>
      <c r="AA8" s="1435"/>
    </row>
    <row r="9" spans="1:27" x14ac:dyDescent="0.3">
      <c r="A9" s="1432">
        <v>46255</v>
      </c>
      <c r="B9" s="1433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432">
        <v>46256</v>
      </c>
      <c r="B10" s="1433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432">
        <v>46257</v>
      </c>
      <c r="B11" s="1433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432">
        <v>46258</v>
      </c>
      <c r="B12" s="1433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432">
        <v>46259</v>
      </c>
      <c r="B13" s="1433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32">
        <v>46260</v>
      </c>
      <c r="B14" s="1433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32">
        <v>46261</v>
      </c>
      <c r="B15" s="1433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32">
        <v>46262</v>
      </c>
      <c r="B16" s="1433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32">
        <v>46263</v>
      </c>
      <c r="B17" s="1433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32">
        <v>46264</v>
      </c>
      <c r="B18" s="1433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32">
        <v>46265</v>
      </c>
      <c r="B19" s="1433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32">
        <v>46266</v>
      </c>
      <c r="B20" s="1433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32">
        <v>46267</v>
      </c>
      <c r="B21" s="1433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32">
        <v>46268</v>
      </c>
      <c r="B22" s="1433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32">
        <v>46269</v>
      </c>
      <c r="B23" s="1433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32">
        <v>46270</v>
      </c>
      <c r="B24" s="1433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32">
        <v>46271</v>
      </c>
      <c r="B25" s="1433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32">
        <v>46272</v>
      </c>
      <c r="B26" s="1433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32">
        <v>46273</v>
      </c>
      <c r="B27" s="1433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32">
        <v>46274</v>
      </c>
      <c r="B28" s="1433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32">
        <v>46275</v>
      </c>
      <c r="B29" s="1433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32">
        <v>46276</v>
      </c>
      <c r="B30" s="1433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32">
        <v>46277</v>
      </c>
      <c r="B31" s="1433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32">
        <v>46278</v>
      </c>
      <c r="B32" s="1433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32">
        <v>46279</v>
      </c>
      <c r="B33" s="1433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32">
        <v>46280</v>
      </c>
      <c r="B34" s="1433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32">
        <v>46281</v>
      </c>
      <c r="B35" s="1433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32">
        <v>46282</v>
      </c>
      <c r="B36" s="1433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32">
        <v>46283</v>
      </c>
      <c r="B37" s="1433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32">
        <v>46284</v>
      </c>
      <c r="B38" s="1433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32">
        <v>46285</v>
      </c>
      <c r="B39" s="1433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32">
        <v>46286</v>
      </c>
      <c r="B40" s="1433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32">
        <v>46287</v>
      </c>
      <c r="B41" s="1433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32">
        <v>46288</v>
      </c>
      <c r="B42" s="1433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43" t="s">
        <v>600</v>
      </c>
      <c r="C2" s="1444"/>
      <c r="D2" s="1444"/>
      <c r="E2" s="1444"/>
      <c r="F2" s="1444"/>
      <c r="G2" s="1444"/>
      <c r="H2" s="1444"/>
      <c r="I2" s="1444"/>
      <c r="J2" s="1444"/>
      <c r="K2" s="1444"/>
      <c r="L2" s="1444"/>
      <c r="M2" s="1444"/>
      <c r="N2" s="1444"/>
      <c r="O2" s="1444"/>
      <c r="P2" s="1444"/>
      <c r="Q2" s="1444"/>
      <c r="R2" s="1444"/>
      <c r="S2" s="1444"/>
      <c r="T2" s="1445"/>
    </row>
    <row r="3" spans="2:28" x14ac:dyDescent="1.65">
      <c r="B3" s="846"/>
      <c r="C3" s="1444" t="s">
        <v>601</v>
      </c>
      <c r="D3" s="1444"/>
      <c r="E3" s="1444"/>
      <c r="F3" s="1444"/>
      <c r="G3" s="1444"/>
      <c r="H3" s="1444"/>
      <c r="I3" s="1444"/>
      <c r="J3" s="1444"/>
      <c r="K3" s="1444"/>
      <c r="L3" s="1444"/>
      <c r="M3" s="1444"/>
      <c r="N3" s="1444"/>
      <c r="O3" s="1444"/>
      <c r="P3" s="1444"/>
      <c r="Q3" s="1444"/>
      <c r="R3" s="1444"/>
      <c r="S3" s="1444"/>
      <c r="T3" s="1445"/>
    </row>
    <row r="4" spans="2:28" ht="92.4" thickBot="1" x14ac:dyDescent="1.7">
      <c r="B4" s="1446" t="s">
        <v>602</v>
      </c>
      <c r="C4" s="1447"/>
      <c r="D4" s="1447"/>
      <c r="E4" s="1447"/>
      <c r="F4" s="1447"/>
      <c r="G4" s="1447"/>
      <c r="H4" s="1447"/>
      <c r="I4" s="1447"/>
      <c r="J4" s="1447"/>
      <c r="K4" s="1447"/>
      <c r="L4" s="1447"/>
      <c r="M4" s="1447"/>
      <c r="N4" s="1447"/>
      <c r="O4" s="1447"/>
      <c r="P4" s="1447"/>
      <c r="Q4" s="1447"/>
      <c r="R4" s="1447"/>
      <c r="S4" s="1447"/>
      <c r="T4" s="1448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49" t="s">
        <v>621</v>
      </c>
      <c r="C6" s="1450"/>
      <c r="D6" s="1450"/>
      <c r="E6" s="1450"/>
      <c r="F6" s="1450"/>
      <c r="G6" s="1450"/>
      <c r="H6" s="1450"/>
      <c r="I6" s="1450"/>
      <c r="J6" s="1450"/>
      <c r="K6" s="1450"/>
      <c r="L6" s="1450"/>
      <c r="M6" s="1450"/>
      <c r="N6" s="1450"/>
      <c r="O6" s="1450"/>
      <c r="P6" s="1450"/>
      <c r="Q6" s="1450"/>
      <c r="R6" s="1450"/>
      <c r="S6" s="1450"/>
      <c r="T6" s="1451"/>
    </row>
    <row r="7" spans="2:28" ht="92.4" thickBot="1" x14ac:dyDescent="1.7">
      <c r="B7" s="1452"/>
      <c r="C7" s="1453"/>
      <c r="D7" s="1453"/>
      <c r="E7" s="1453"/>
      <c r="F7" s="1453"/>
      <c r="G7" s="1453"/>
      <c r="H7" s="1453"/>
      <c r="I7" s="1453"/>
      <c r="J7" s="1453"/>
      <c r="K7" s="1453"/>
      <c r="L7" s="1453"/>
      <c r="M7" s="1453"/>
      <c r="N7" s="1453"/>
      <c r="O7" s="1453"/>
      <c r="P7" s="1453"/>
      <c r="Q7" s="1453"/>
      <c r="R7" s="1453"/>
      <c r="S7" s="1453"/>
      <c r="T7" s="1454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455" t="s">
        <v>619</v>
      </c>
      <c r="AA13" s="1455"/>
      <c r="AB13" s="1455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6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6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6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22" zoomScale="107" zoomScaleNormal="76" workbookViewId="0">
      <selection activeCell="I218" sqref="I218"/>
    </sheetView>
  </sheetViews>
  <sheetFormatPr defaultRowHeight="14.4" x14ac:dyDescent="0.3"/>
  <cols>
    <col min="1" max="2" width="8.88671875" style="1"/>
    <col min="3" max="3" width="8.5546875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67" t="s">
        <v>457</v>
      </c>
      <c r="C2" s="1367"/>
      <c r="D2" s="1367"/>
      <c r="E2" s="1367"/>
      <c r="F2" s="1367"/>
      <c r="G2" s="1367"/>
      <c r="H2" s="1367"/>
      <c r="T2" s="1465" t="s">
        <v>498</v>
      </c>
      <c r="U2" s="1465"/>
      <c r="V2" s="1465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69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70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70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70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70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70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70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70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70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70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70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71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66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67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67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67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67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67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67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67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68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69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70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70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70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70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70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70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70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70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70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70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71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66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67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67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67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67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67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67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67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67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67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67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68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66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67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67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67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67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67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67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67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68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69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70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70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70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70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71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66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67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67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67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67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67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67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67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68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69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70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70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70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70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70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70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70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70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70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70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71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75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76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76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76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76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76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76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76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76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76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76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77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79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80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80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80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80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80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80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80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80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80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80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80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80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80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80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80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80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80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80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80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81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62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63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63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63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63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63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63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63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64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79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80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80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80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80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80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80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80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80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80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80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80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80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80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80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480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480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481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82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83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83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83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83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67" t="s">
        <v>826</v>
      </c>
      <c r="L152" s="1367"/>
      <c r="M152" s="1367"/>
      <c r="N152" s="1367"/>
      <c r="O152" s="1367"/>
      <c r="P152" s="1367"/>
      <c r="S152" s="1478" t="s">
        <v>826</v>
      </c>
      <c r="T152" s="1478"/>
      <c r="U152" s="1478"/>
      <c r="V152" s="1478"/>
      <c r="W152" s="1478"/>
      <c r="X152" s="1478"/>
    </row>
    <row r="153" spans="2:25" ht="14.4" customHeight="1" x14ac:dyDescent="0.3">
      <c r="B153" s="452">
        <v>150</v>
      </c>
      <c r="C153" s="1483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67" t="s">
        <v>827</v>
      </c>
      <c r="L153" s="1367"/>
      <c r="M153" s="1367"/>
      <c r="N153" s="1367"/>
      <c r="O153" s="1367"/>
      <c r="P153" s="1367"/>
      <c r="S153" s="1478" t="s">
        <v>828</v>
      </c>
      <c r="T153" s="1478"/>
      <c r="U153" s="1478"/>
      <c r="V153" s="1478"/>
      <c r="W153" s="1478"/>
      <c r="X153" s="1478"/>
    </row>
    <row r="154" spans="2:25" ht="14.4" customHeight="1" x14ac:dyDescent="0.3">
      <c r="B154" s="452">
        <v>151</v>
      </c>
      <c r="C154" s="1483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829</v>
      </c>
      <c r="L154" s="251" t="s">
        <v>830</v>
      </c>
      <c r="M154" s="251" t="s">
        <v>0</v>
      </c>
      <c r="N154" s="251" t="s">
        <v>338</v>
      </c>
      <c r="O154" s="251" t="s">
        <v>339</v>
      </c>
      <c r="P154" s="251" t="s">
        <v>340</v>
      </c>
      <c r="S154" s="1283" t="s">
        <v>829</v>
      </c>
      <c r="T154" s="1283" t="s">
        <v>830</v>
      </c>
      <c r="U154" s="1283" t="s">
        <v>0</v>
      </c>
      <c r="V154" s="1283" t="s">
        <v>338</v>
      </c>
      <c r="W154" s="1283" t="s">
        <v>339</v>
      </c>
      <c r="X154" s="1283" t="s">
        <v>340</v>
      </c>
    </row>
    <row r="155" spans="2:25" ht="14.4" customHeight="1" x14ac:dyDescent="0.3">
      <c r="B155" s="452">
        <v>152</v>
      </c>
      <c r="C155" s="1483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831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832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83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833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834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483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835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836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483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837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838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83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839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840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483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841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842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483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831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838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84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833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840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472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835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842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473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837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832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473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839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834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473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841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836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473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831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838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473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833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840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473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835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842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473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837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832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473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839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834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463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841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836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463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831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832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463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833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834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463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835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836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463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837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838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463"/>
      <c r="D177" s="452" t="s">
        <v>461</v>
      </c>
      <c r="E177" s="453">
        <v>46304</v>
      </c>
      <c r="F177" s="452"/>
      <c r="G177" s="452"/>
      <c r="H177" s="452"/>
      <c r="K177" s="251">
        <v>23</v>
      </c>
      <c r="L177" s="1299" t="s">
        <v>839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840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463"/>
      <c r="D178" s="452" t="s">
        <v>462</v>
      </c>
      <c r="E178" s="453">
        <v>46304</v>
      </c>
      <c r="F178" s="452"/>
      <c r="G178" s="452"/>
      <c r="H178" s="452"/>
      <c r="K178" s="251">
        <v>24</v>
      </c>
      <c r="L178" s="1299" t="s">
        <v>843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842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463"/>
      <c r="D179" s="452" t="s">
        <v>463</v>
      </c>
      <c r="E179" s="453">
        <v>46304</v>
      </c>
      <c r="F179" s="452"/>
      <c r="G179" s="452"/>
      <c r="H179" s="452"/>
      <c r="K179" s="251">
        <v>25</v>
      </c>
      <c r="L179" s="1299" t="s">
        <v>833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832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464"/>
      <c r="D180" s="452" t="s">
        <v>464</v>
      </c>
      <c r="E180" s="453">
        <v>46304</v>
      </c>
      <c r="F180" s="452"/>
      <c r="G180" s="452"/>
      <c r="H180" s="452"/>
      <c r="K180" s="251">
        <v>26</v>
      </c>
      <c r="L180" s="1296" t="s">
        <v>837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834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472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839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836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473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841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838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473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831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840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473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833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842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473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835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832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473"/>
      <c r="D186" s="615" t="s">
        <v>461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837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834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473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839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836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473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841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838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473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831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840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473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833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842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473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835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832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474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837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834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462">
        <v>17</v>
      </c>
      <c r="D193" s="452" t="s">
        <v>459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839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836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463"/>
      <c r="D194" s="452" t="s">
        <v>460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841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838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463"/>
      <c r="D195" s="452" t="s">
        <v>461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833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840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463"/>
      <c r="D196" s="452" t="s">
        <v>462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837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842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463"/>
      <c r="D197" s="452" t="s">
        <v>463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839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832</v>
      </c>
      <c r="U197" s="1319">
        <v>46309</v>
      </c>
      <c r="V197" s="1320"/>
      <c r="W197" s="1318"/>
      <c r="X197" s="1318"/>
    </row>
    <row r="198" spans="2:24" ht="14.4" customHeight="1" x14ac:dyDescent="0.3">
      <c r="B198" s="452">
        <v>195</v>
      </c>
      <c r="C198" s="1463"/>
      <c r="D198" s="452" t="s">
        <v>464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841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834</v>
      </c>
      <c r="U198" s="1319">
        <v>46309</v>
      </c>
      <c r="V198" s="1320"/>
      <c r="W198" s="1318"/>
      <c r="X198" s="1318"/>
    </row>
    <row r="199" spans="2:24" x14ac:dyDescent="0.3">
      <c r="B199" s="452">
        <v>196</v>
      </c>
      <c r="C199" s="1463"/>
      <c r="D199" s="452" t="s">
        <v>459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831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836</v>
      </c>
      <c r="U199" s="1319">
        <v>46309</v>
      </c>
      <c r="V199" s="1320"/>
      <c r="W199" s="1318"/>
      <c r="X199" s="1318"/>
    </row>
    <row r="200" spans="2:24" x14ac:dyDescent="0.3">
      <c r="B200" s="452">
        <v>197</v>
      </c>
      <c r="C200" s="1463"/>
      <c r="D200" s="452" t="s">
        <v>460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833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838</v>
      </c>
      <c r="U200" s="1326">
        <v>46310</v>
      </c>
      <c r="V200" s="1287"/>
      <c r="W200" s="1287"/>
      <c r="X200" s="1287"/>
    </row>
    <row r="201" spans="2:24" x14ac:dyDescent="0.3">
      <c r="B201" s="452">
        <v>198</v>
      </c>
      <c r="C201" s="1464"/>
      <c r="D201" s="452" t="s">
        <v>461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837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840</v>
      </c>
      <c r="U201" s="1326">
        <v>46310</v>
      </c>
      <c r="V201" s="1287"/>
      <c r="W201" s="1287"/>
      <c r="X201" s="1287"/>
    </row>
    <row r="202" spans="2:24" ht="14.4" customHeight="1" x14ac:dyDescent="0.3">
      <c r="B202" s="1313">
        <v>199</v>
      </c>
      <c r="C202" s="1456">
        <v>18</v>
      </c>
      <c r="D202" s="1313" t="s">
        <v>462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839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842</v>
      </c>
      <c r="U202" s="1326">
        <v>46310</v>
      </c>
      <c r="V202" s="1287"/>
      <c r="W202" s="1287"/>
      <c r="X202" s="1287"/>
    </row>
    <row r="203" spans="2:24" ht="14.4" customHeight="1" x14ac:dyDescent="0.3">
      <c r="B203" s="1313">
        <v>200</v>
      </c>
      <c r="C203" s="1457"/>
      <c r="D203" s="1313" t="s">
        <v>463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841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832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457"/>
      <c r="D204" s="1313" t="s">
        <v>464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831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834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457"/>
      <c r="D205" s="1313" t="s">
        <v>459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833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836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457"/>
      <c r="D206" s="1313" t="s">
        <v>460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835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6"/>
      <c r="U206" s="6"/>
      <c r="V206" s="6"/>
      <c r="W206" s="6"/>
      <c r="X206" s="6"/>
    </row>
    <row r="207" spans="2:24" ht="14.4" customHeight="1" x14ac:dyDescent="0.3">
      <c r="B207" s="1313">
        <v>204</v>
      </c>
      <c r="C207" s="1457"/>
      <c r="D207" s="1313" t="s">
        <v>461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6"/>
      <c r="M207" s="6"/>
      <c r="N207" s="6"/>
      <c r="O207" s="6"/>
      <c r="P207" s="6"/>
      <c r="S207" s="1287">
        <v>53</v>
      </c>
      <c r="T207" s="6"/>
      <c r="U207" s="6"/>
      <c r="V207" s="6"/>
      <c r="W207" s="6"/>
      <c r="X207" s="6"/>
    </row>
    <row r="208" spans="2:24" x14ac:dyDescent="0.3">
      <c r="B208" s="1313">
        <v>205</v>
      </c>
      <c r="C208" s="1457"/>
      <c r="D208" s="1313" t="s">
        <v>462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6"/>
      <c r="M208" s="6"/>
      <c r="N208" s="6"/>
      <c r="O208" s="6"/>
      <c r="P208" s="6"/>
      <c r="S208" s="1287">
        <v>54</v>
      </c>
      <c r="T208" s="6"/>
      <c r="U208" s="6"/>
      <c r="V208" s="6"/>
      <c r="W208" s="6"/>
      <c r="X208" s="6"/>
    </row>
    <row r="209" spans="2:24" x14ac:dyDescent="0.3">
      <c r="B209" s="1313">
        <v>206</v>
      </c>
      <c r="C209" s="1457"/>
      <c r="D209" s="1313" t="s">
        <v>463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6"/>
      <c r="M209" s="6"/>
      <c r="N209" s="6"/>
      <c r="O209" s="6"/>
      <c r="P209" s="6"/>
      <c r="S209" s="1287">
        <v>55</v>
      </c>
      <c r="T209" s="6"/>
      <c r="U209" s="6"/>
      <c r="V209" s="6"/>
      <c r="W209" s="6"/>
      <c r="X209" s="6"/>
    </row>
    <row r="210" spans="2:24" x14ac:dyDescent="0.3">
      <c r="B210" s="1313">
        <v>207</v>
      </c>
      <c r="C210" s="1458"/>
      <c r="D210" s="1313" t="s">
        <v>464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6"/>
      <c r="M210" s="6"/>
      <c r="N210" s="6"/>
      <c r="O210" s="6"/>
      <c r="P210" s="6"/>
      <c r="S210" s="1287">
        <v>56</v>
      </c>
      <c r="T210" s="6"/>
      <c r="U210" s="6"/>
      <c r="V210" s="6"/>
      <c r="W210" s="6"/>
      <c r="X210" s="6"/>
    </row>
    <row r="211" spans="2:24" x14ac:dyDescent="0.3">
      <c r="B211" s="452">
        <v>208</v>
      </c>
      <c r="C211" s="1459">
        <v>19</v>
      </c>
      <c r="D211" s="452" t="s">
        <v>459</v>
      </c>
      <c r="E211" s="453">
        <v>46310</v>
      </c>
      <c r="F211" s="452"/>
      <c r="G211" s="452"/>
      <c r="H211" s="452"/>
      <c r="K211" s="251">
        <v>57</v>
      </c>
      <c r="L211" s="6"/>
      <c r="M211" s="6"/>
      <c r="N211" s="6"/>
      <c r="O211" s="6"/>
      <c r="P211" s="6"/>
      <c r="S211" s="1287">
        <v>57</v>
      </c>
      <c r="T211" s="6"/>
      <c r="U211" s="6"/>
      <c r="V211" s="6"/>
      <c r="W211" s="6"/>
      <c r="X211" s="6"/>
    </row>
    <row r="212" spans="2:24" x14ac:dyDescent="0.3">
      <c r="B212" s="452">
        <v>209</v>
      </c>
      <c r="C212" s="1460"/>
      <c r="D212" s="452" t="s">
        <v>460</v>
      </c>
      <c r="E212" s="453">
        <v>46310</v>
      </c>
      <c r="F212" s="452"/>
      <c r="G212" s="452"/>
      <c r="H212" s="452"/>
      <c r="K212" s="251">
        <v>58</v>
      </c>
      <c r="L212" s="6"/>
      <c r="M212" s="6"/>
      <c r="N212" s="6"/>
      <c r="O212" s="6"/>
      <c r="P212" s="6"/>
      <c r="S212" s="1287">
        <v>58</v>
      </c>
      <c r="T212" s="6"/>
      <c r="U212" s="6"/>
      <c r="V212" s="6"/>
      <c r="W212" s="6"/>
      <c r="X212" s="6"/>
    </row>
    <row r="213" spans="2:24" x14ac:dyDescent="0.3">
      <c r="B213" s="452">
        <v>210</v>
      </c>
      <c r="C213" s="1460"/>
      <c r="D213" s="452" t="s">
        <v>461</v>
      </c>
      <c r="E213" s="453">
        <v>46310</v>
      </c>
      <c r="F213" s="452"/>
      <c r="G213" s="452"/>
      <c r="H213" s="452"/>
      <c r="K213" s="251">
        <v>59</v>
      </c>
      <c r="L213" s="6"/>
      <c r="M213" s="6"/>
      <c r="N213" s="6"/>
      <c r="O213" s="6"/>
      <c r="P213" s="6"/>
      <c r="S213" s="1287">
        <v>59</v>
      </c>
      <c r="T213" s="6"/>
      <c r="U213" s="6"/>
      <c r="V213" s="6"/>
      <c r="W213" s="6"/>
      <c r="X213" s="6"/>
    </row>
    <row r="214" spans="2:24" x14ac:dyDescent="0.3">
      <c r="B214" s="452">
        <v>211</v>
      </c>
      <c r="C214" s="1460"/>
      <c r="D214" s="452" t="s">
        <v>462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6"/>
      <c r="U214" s="6"/>
      <c r="V214" s="6"/>
      <c r="W214" s="6"/>
      <c r="X214" s="6"/>
    </row>
    <row r="215" spans="2:24" x14ac:dyDescent="0.3">
      <c r="B215" s="452">
        <v>212</v>
      </c>
      <c r="C215" s="1460"/>
      <c r="D215" s="452" t="s">
        <v>463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6"/>
      <c r="U215" s="6"/>
      <c r="V215" s="6"/>
      <c r="W215" s="6"/>
      <c r="X215" s="6"/>
    </row>
    <row r="216" spans="2:24" x14ac:dyDescent="0.3">
      <c r="B216" s="452">
        <v>213</v>
      </c>
      <c r="C216" s="1460"/>
      <c r="D216" s="452" t="s">
        <v>464</v>
      </c>
      <c r="E216" s="453">
        <v>46310</v>
      </c>
      <c r="F216" s="452">
        <v>0.27100000000000002</v>
      </c>
      <c r="G216" s="452">
        <v>0.41</v>
      </c>
      <c r="H216" s="452">
        <v>12.935</v>
      </c>
    </row>
    <row r="217" spans="2:24" x14ac:dyDescent="0.3">
      <c r="B217" s="452">
        <v>214</v>
      </c>
      <c r="C217" s="1460"/>
      <c r="D217" s="452" t="s">
        <v>854</v>
      </c>
      <c r="E217" s="453">
        <v>46310</v>
      </c>
      <c r="F217" s="452">
        <v>0.29299999999999998</v>
      </c>
      <c r="G217" s="452">
        <v>0.16</v>
      </c>
      <c r="H217" s="452">
        <v>12.879</v>
      </c>
    </row>
    <row r="218" spans="2:24" x14ac:dyDescent="0.3">
      <c r="B218" s="452">
        <v>215</v>
      </c>
      <c r="C218" s="1460"/>
      <c r="D218" s="452" t="s">
        <v>855</v>
      </c>
      <c r="E218" s="453">
        <v>46310</v>
      </c>
      <c r="F218" s="452">
        <v>0.32500000000000001</v>
      </c>
      <c r="G218" s="452">
        <v>0.26</v>
      </c>
      <c r="H218" s="452">
        <v>14.369</v>
      </c>
    </row>
    <row r="219" spans="2:24" x14ac:dyDescent="0.3">
      <c r="B219" s="452">
        <v>216</v>
      </c>
      <c r="C219" s="1460"/>
      <c r="D219" s="452" t="s">
        <v>856</v>
      </c>
      <c r="E219" s="453">
        <v>46310</v>
      </c>
      <c r="F219" s="452">
        <v>0.36099999999999999</v>
      </c>
      <c r="G219" s="452">
        <v>0.24</v>
      </c>
      <c r="H219" s="452">
        <v>14.054</v>
      </c>
    </row>
    <row r="220" spans="2:24" x14ac:dyDescent="0.3">
      <c r="B220" s="452">
        <v>217</v>
      </c>
      <c r="C220" s="1460"/>
      <c r="D220" s="452" t="s">
        <v>857</v>
      </c>
      <c r="E220" s="453">
        <v>46310</v>
      </c>
      <c r="F220" s="452">
        <v>0.307</v>
      </c>
      <c r="G220" s="452">
        <v>0.18</v>
      </c>
      <c r="H220" s="452">
        <v>14.391999999999999</v>
      </c>
    </row>
    <row r="221" spans="2:24" x14ac:dyDescent="0.3">
      <c r="B221" s="452">
        <v>218</v>
      </c>
      <c r="C221" s="1460"/>
      <c r="D221" s="452" t="s">
        <v>858</v>
      </c>
      <c r="E221" s="453">
        <v>46310</v>
      </c>
      <c r="F221" s="1322">
        <v>0.24</v>
      </c>
      <c r="G221" s="452">
        <v>0.3</v>
      </c>
      <c r="H221" s="452">
        <v>13.632999999999999</v>
      </c>
    </row>
    <row r="222" spans="2:24" x14ac:dyDescent="0.3">
      <c r="B222" s="452">
        <v>219</v>
      </c>
      <c r="C222" s="1460"/>
      <c r="D222" s="452" t="s">
        <v>859</v>
      </c>
      <c r="E222" s="453">
        <v>46310</v>
      </c>
      <c r="F222" s="452">
        <v>0.224</v>
      </c>
      <c r="G222" s="452">
        <v>0.31</v>
      </c>
      <c r="H222" s="452">
        <v>12.032999999999999</v>
      </c>
    </row>
    <row r="223" spans="2:24" x14ac:dyDescent="0.3">
      <c r="B223" s="452">
        <v>220</v>
      </c>
      <c r="C223" s="1460"/>
      <c r="D223" s="452" t="s">
        <v>860</v>
      </c>
      <c r="E223" s="453">
        <v>46310</v>
      </c>
      <c r="F223" s="452">
        <v>0.219</v>
      </c>
      <c r="G223" s="452">
        <v>0.26</v>
      </c>
      <c r="H223" s="452">
        <v>12.250999999999999</v>
      </c>
    </row>
    <row r="224" spans="2:24" x14ac:dyDescent="0.3">
      <c r="B224" s="452">
        <v>221</v>
      </c>
      <c r="C224" s="1460"/>
      <c r="D224" s="452" t="s">
        <v>459</v>
      </c>
      <c r="E224" s="453">
        <v>46311</v>
      </c>
      <c r="F224" s="452">
        <v>0.37</v>
      </c>
      <c r="G224" s="452">
        <v>0.61</v>
      </c>
      <c r="H224" s="452">
        <v>12.27</v>
      </c>
    </row>
    <row r="225" spans="2:8" x14ac:dyDescent="0.3">
      <c r="B225" s="452">
        <v>222</v>
      </c>
      <c r="C225" s="1460"/>
      <c r="D225" s="452" t="s">
        <v>460</v>
      </c>
      <c r="E225" s="453">
        <v>46311</v>
      </c>
      <c r="F225" s="452">
        <v>0.35599999999999998</v>
      </c>
      <c r="G225" s="452">
        <v>0.62</v>
      </c>
      <c r="H225" s="452">
        <v>14.506</v>
      </c>
    </row>
    <row r="226" spans="2:8" x14ac:dyDescent="0.3">
      <c r="B226" s="452">
        <v>223</v>
      </c>
      <c r="C226" s="1460"/>
      <c r="D226" s="452" t="s">
        <v>461</v>
      </c>
      <c r="E226" s="453">
        <v>46311</v>
      </c>
      <c r="F226" s="452">
        <v>0.378</v>
      </c>
      <c r="G226" s="452">
        <v>0.63</v>
      </c>
      <c r="H226" s="452">
        <v>15.176</v>
      </c>
    </row>
    <row r="227" spans="2:8" x14ac:dyDescent="0.3">
      <c r="B227" s="452">
        <v>224</v>
      </c>
      <c r="C227" s="1460"/>
      <c r="D227" s="452" t="s">
        <v>850</v>
      </c>
      <c r="E227" s="453">
        <v>46311</v>
      </c>
      <c r="F227" s="452">
        <v>0.38400000000000001</v>
      </c>
      <c r="G227" s="452">
        <v>0.64</v>
      </c>
      <c r="H227" s="452">
        <v>14.336</v>
      </c>
    </row>
    <row r="228" spans="2:8" x14ac:dyDescent="0.3">
      <c r="B228" s="452">
        <v>225</v>
      </c>
      <c r="C228" s="1460"/>
      <c r="D228" s="452" t="s">
        <v>851</v>
      </c>
      <c r="E228" s="453">
        <v>46311</v>
      </c>
      <c r="F228" s="452">
        <v>0.39900000000000002</v>
      </c>
      <c r="G228" s="452">
        <v>0.66</v>
      </c>
      <c r="H228" s="452">
        <v>14.525</v>
      </c>
    </row>
    <row r="229" spans="2:8" x14ac:dyDescent="0.3">
      <c r="B229" s="452">
        <v>226</v>
      </c>
      <c r="C229" s="1460"/>
      <c r="D229" s="452" t="s">
        <v>852</v>
      </c>
      <c r="E229" s="453">
        <v>46311</v>
      </c>
      <c r="F229" s="452">
        <v>0.377</v>
      </c>
      <c r="G229" s="452">
        <v>0.65</v>
      </c>
      <c r="H229" s="452">
        <v>12.862</v>
      </c>
    </row>
    <row r="230" spans="2:8" x14ac:dyDescent="0.3">
      <c r="B230" s="452">
        <v>227</v>
      </c>
      <c r="C230" s="1461"/>
      <c r="D230" s="452" t="s">
        <v>853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</row>
    <row r="231" spans="2:8" x14ac:dyDescent="0.3">
      <c r="B231" s="6">
        <v>228</v>
      </c>
      <c r="C231" s="6"/>
      <c r="D231" s="6"/>
      <c r="E231" s="233"/>
      <c r="F231" s="6"/>
      <c r="G231" s="6"/>
      <c r="H231" s="6"/>
    </row>
    <row r="232" spans="2:8" x14ac:dyDescent="0.3">
      <c r="B232" s="6">
        <v>229</v>
      </c>
      <c r="C232" s="6"/>
      <c r="D232" s="6"/>
      <c r="E232" s="233"/>
      <c r="F232" s="6"/>
      <c r="G232" s="6"/>
      <c r="H232" s="6"/>
    </row>
    <row r="233" spans="2:8" x14ac:dyDescent="0.3">
      <c r="B233" s="6">
        <v>230</v>
      </c>
      <c r="C233" s="6"/>
      <c r="D233" s="6"/>
      <c r="E233" s="233"/>
      <c r="F233" s="6"/>
      <c r="G233" s="6"/>
      <c r="H233" s="6"/>
    </row>
    <row r="234" spans="2:8" x14ac:dyDescent="0.3">
      <c r="B234" s="6">
        <v>231</v>
      </c>
      <c r="C234" s="6"/>
      <c r="D234" s="6"/>
      <c r="E234" s="233"/>
      <c r="F234" s="6"/>
      <c r="G234" s="6"/>
      <c r="H234" s="6"/>
    </row>
    <row r="235" spans="2:8" x14ac:dyDescent="0.3">
      <c r="B235" s="6">
        <v>232</v>
      </c>
      <c r="C235" s="6"/>
      <c r="D235" s="6"/>
      <c r="E235" s="233"/>
      <c r="F235" s="6"/>
      <c r="G235" s="6"/>
      <c r="H235" s="6"/>
    </row>
    <row r="236" spans="2:8" x14ac:dyDescent="0.3">
      <c r="B236" s="6">
        <v>233</v>
      </c>
      <c r="C236" s="6"/>
      <c r="D236" s="6"/>
      <c r="E236" s="233"/>
      <c r="F236" s="6"/>
      <c r="G236" s="6"/>
      <c r="H236" s="6"/>
    </row>
    <row r="237" spans="2:8" x14ac:dyDescent="0.3">
      <c r="B237" s="6">
        <v>234</v>
      </c>
      <c r="C237" s="6"/>
      <c r="D237" s="6"/>
      <c r="E237" s="233"/>
      <c r="F237" s="6"/>
      <c r="G237" s="6"/>
      <c r="H237" s="6"/>
    </row>
    <row r="238" spans="2:8" x14ac:dyDescent="0.3">
      <c r="B238" s="6">
        <v>235</v>
      </c>
      <c r="C238" s="6"/>
      <c r="D238" s="6"/>
      <c r="E238" s="233"/>
      <c r="F238" s="6"/>
      <c r="G238" s="6"/>
      <c r="H238" s="6"/>
    </row>
    <row r="239" spans="2:8" x14ac:dyDescent="0.3">
      <c r="B239" s="6">
        <v>236</v>
      </c>
      <c r="C239" s="6"/>
      <c r="D239" s="6"/>
      <c r="E239" s="233"/>
      <c r="F239" s="6"/>
      <c r="G239" s="6"/>
      <c r="H239" s="6"/>
    </row>
    <row r="240" spans="2:8" x14ac:dyDescent="0.3">
      <c r="B240" s="6">
        <v>237</v>
      </c>
      <c r="C240" s="6"/>
      <c r="D240" s="6"/>
      <c r="E240" s="233"/>
      <c r="F240" s="6"/>
      <c r="G240" s="6"/>
      <c r="H240" s="6"/>
    </row>
    <row r="241" spans="2:8" x14ac:dyDescent="0.3">
      <c r="B241" s="6">
        <v>238</v>
      </c>
      <c r="C241" s="6"/>
      <c r="D241" s="6"/>
      <c r="E241" s="233"/>
      <c r="F241" s="6"/>
      <c r="G241" s="6"/>
      <c r="H241" s="6"/>
    </row>
    <row r="242" spans="2:8" x14ac:dyDescent="0.3">
      <c r="B242" s="6">
        <v>239</v>
      </c>
      <c r="C242" s="6"/>
      <c r="D242" s="6"/>
      <c r="E242" s="233"/>
      <c r="F242" s="6"/>
      <c r="G242" s="6"/>
      <c r="H242" s="6"/>
    </row>
    <row r="243" spans="2:8" x14ac:dyDescent="0.3">
      <c r="B243" s="6">
        <v>240</v>
      </c>
      <c r="C243" s="6"/>
      <c r="D243" s="6"/>
      <c r="E243" s="233"/>
      <c r="F243" s="6"/>
      <c r="G243" s="6"/>
      <c r="H243" s="6"/>
    </row>
    <row r="244" spans="2:8" x14ac:dyDescent="0.3">
      <c r="B244" s="6">
        <v>241</v>
      </c>
      <c r="C244" s="6"/>
      <c r="D244" s="6"/>
      <c r="E244" s="233"/>
      <c r="F244" s="6"/>
      <c r="G244" s="6"/>
      <c r="H244" s="6"/>
    </row>
    <row r="245" spans="2:8" x14ac:dyDescent="0.3">
      <c r="B245" s="6">
        <v>242</v>
      </c>
      <c r="C245" s="6"/>
      <c r="D245" s="6"/>
      <c r="E245" s="233"/>
      <c r="F245" s="6"/>
      <c r="G245" s="6"/>
      <c r="H245" s="6"/>
    </row>
    <row r="246" spans="2:8" x14ac:dyDescent="0.3">
      <c r="B246" s="6">
        <v>243</v>
      </c>
      <c r="C246" s="6"/>
      <c r="D246" s="6"/>
      <c r="E246" s="233"/>
      <c r="F246" s="6"/>
      <c r="G246" s="6"/>
      <c r="H246" s="6"/>
    </row>
    <row r="247" spans="2:8" x14ac:dyDescent="0.3">
      <c r="B247" s="6">
        <v>244</v>
      </c>
      <c r="C247" s="6"/>
      <c r="D247" s="6"/>
      <c r="E247" s="233"/>
      <c r="F247" s="6"/>
      <c r="G247" s="6"/>
      <c r="H247" s="6"/>
    </row>
    <row r="248" spans="2:8" x14ac:dyDescent="0.3">
      <c r="B248" s="6">
        <v>245</v>
      </c>
      <c r="C248" s="6"/>
      <c r="D248" s="6"/>
      <c r="E248" s="233"/>
      <c r="F248" s="6"/>
      <c r="G248" s="6"/>
      <c r="H248" s="6"/>
    </row>
    <row r="249" spans="2:8" x14ac:dyDescent="0.3">
      <c r="B249" s="6">
        <v>246</v>
      </c>
      <c r="C249" s="6"/>
      <c r="D249" s="6"/>
      <c r="E249" s="233"/>
      <c r="F249" s="6"/>
      <c r="G249" s="6"/>
      <c r="H249" s="6"/>
    </row>
    <row r="250" spans="2:8" x14ac:dyDescent="0.3">
      <c r="B250" s="6">
        <v>247</v>
      </c>
      <c r="C250" s="6"/>
      <c r="D250" s="6"/>
      <c r="E250" s="233"/>
      <c r="F250" s="6"/>
      <c r="G250" s="6"/>
      <c r="H250" s="6"/>
    </row>
    <row r="251" spans="2:8" x14ac:dyDescent="0.3">
      <c r="B251" s="6">
        <v>248</v>
      </c>
      <c r="C251" s="6"/>
      <c r="D251" s="6"/>
      <c r="E251" s="233"/>
      <c r="F251" s="6"/>
      <c r="G251" s="6"/>
      <c r="H251" s="6"/>
    </row>
    <row r="252" spans="2:8" x14ac:dyDescent="0.3">
      <c r="B252" s="6">
        <v>249</v>
      </c>
      <c r="C252" s="6"/>
      <c r="D252" s="6"/>
      <c r="E252" s="233"/>
      <c r="F252" s="6"/>
      <c r="G252" s="6"/>
      <c r="H252" s="6"/>
    </row>
    <row r="253" spans="2:8" x14ac:dyDescent="0.3">
      <c r="B253" s="6">
        <v>250</v>
      </c>
      <c r="C253" s="6"/>
      <c r="D253" s="6"/>
      <c r="E253" s="233"/>
      <c r="F253" s="6"/>
      <c r="G253" s="6"/>
      <c r="H253" s="6"/>
    </row>
    <row r="254" spans="2:8" x14ac:dyDescent="0.3">
      <c r="B254" s="6">
        <v>251</v>
      </c>
      <c r="C254" s="6"/>
      <c r="D254" s="6"/>
      <c r="E254" s="233"/>
      <c r="F254" s="6"/>
      <c r="G254" s="6"/>
      <c r="H254" s="6"/>
    </row>
    <row r="255" spans="2:8" x14ac:dyDescent="0.3">
      <c r="B255" s="6">
        <v>252</v>
      </c>
      <c r="C255" s="6"/>
      <c r="D255" s="6"/>
      <c r="E255" s="233"/>
      <c r="F255" s="6"/>
      <c r="G255" s="6"/>
      <c r="H255" s="6"/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5"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</mergeCells>
  <phoneticPr fontId="103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70" workbookViewId="0">
      <pane ySplit="4" topLeftCell="A83" activePane="bottomLeft" state="frozen"/>
      <selection pane="bottomLeft" activeCell="H95" sqref="H95:I97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19" t="s">
        <v>63</v>
      </c>
      <c r="B3" s="1520"/>
      <c r="C3" s="1520"/>
      <c r="D3" s="1520"/>
      <c r="E3" s="1520"/>
      <c r="F3" s="1520"/>
      <c r="G3" s="1520"/>
      <c r="H3" s="1520"/>
      <c r="I3" s="1520"/>
      <c r="J3" s="1520"/>
      <c r="K3" s="1520"/>
      <c r="L3" s="1520"/>
    </row>
    <row r="4" spans="1:36" ht="28.8" x14ac:dyDescent="0.3">
      <c r="A4" s="1527" t="s">
        <v>0</v>
      </c>
      <c r="B4" s="1527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543</v>
      </c>
      <c r="J4" s="902" t="s">
        <v>595</v>
      </c>
      <c r="K4" s="896" t="s">
        <v>596</v>
      </c>
      <c r="L4" s="896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521">
        <v>46265</v>
      </c>
      <c r="B5" s="1522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445</v>
      </c>
      <c r="I5" s="1470">
        <v>1</v>
      </c>
      <c r="J5" s="900">
        <f>(720-G5)/60</f>
        <v>10.433333333333334</v>
      </c>
      <c r="K5" s="901">
        <f>J5/12</f>
        <v>0.86944444444444446</v>
      </c>
      <c r="L5" s="1507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23">
        <v>46265</v>
      </c>
      <c r="B6" s="1524"/>
      <c r="C6" s="769" t="s">
        <v>13</v>
      </c>
      <c r="D6" s="592"/>
      <c r="E6" s="586"/>
      <c r="F6" s="501"/>
      <c r="G6" s="502">
        <f>(F6-E6)*1440</f>
        <v>0</v>
      </c>
      <c r="H6" s="587"/>
      <c r="I6" s="1470"/>
      <c r="J6" s="809">
        <f>(720-G6)/60</f>
        <v>12</v>
      </c>
      <c r="K6" s="812">
        <f t="shared" ref="K6:K8" si="1">J6/12</f>
        <v>1</v>
      </c>
      <c r="L6" s="1507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23">
        <v>46266</v>
      </c>
      <c r="B7" s="1524"/>
      <c r="C7" s="769" t="s">
        <v>12</v>
      </c>
      <c r="D7" s="592"/>
      <c r="E7" s="586"/>
      <c r="F7" s="501"/>
      <c r="G7" s="502">
        <f>(F7-E7)*1440</f>
        <v>0</v>
      </c>
      <c r="H7" s="587"/>
      <c r="I7" s="1470"/>
      <c r="J7" s="809">
        <f>(720-G7)/60</f>
        <v>12</v>
      </c>
      <c r="K7" s="812">
        <f t="shared" si="1"/>
        <v>1</v>
      </c>
      <c r="L7" s="1507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635</v>
      </c>
      <c r="AI7" s="947" t="s">
        <v>636</v>
      </c>
      <c r="AJ7" s="947" t="s">
        <v>637</v>
      </c>
    </row>
    <row r="8" spans="1:36" ht="54" customHeight="1" x14ac:dyDescent="0.3">
      <c r="A8" s="1523">
        <v>46266</v>
      </c>
      <c r="B8" s="1524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471"/>
      <c r="J8" s="809">
        <f t="shared" ref="J8:J14" si="5">(720-G8)/60</f>
        <v>10.9</v>
      </c>
      <c r="K8" s="812">
        <f t="shared" si="1"/>
        <v>0.90833333333333333</v>
      </c>
      <c r="L8" s="1507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25">
        <v>46267</v>
      </c>
      <c r="B9" s="1526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477</v>
      </c>
      <c r="I9" s="1466">
        <v>2</v>
      </c>
      <c r="J9" s="810">
        <f t="shared" si="5"/>
        <v>10</v>
      </c>
      <c r="K9" s="813">
        <f>J9/12</f>
        <v>0.83333333333333337</v>
      </c>
      <c r="L9" s="1509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25">
        <v>46267</v>
      </c>
      <c r="B10" s="1526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67"/>
      <c r="J10" s="810">
        <f t="shared" si="5"/>
        <v>12</v>
      </c>
      <c r="K10" s="813">
        <f t="shared" ref="K10:K14" si="6">J10/12</f>
        <v>1</v>
      </c>
      <c r="L10" s="1509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25">
        <v>46268</v>
      </c>
      <c r="B11" s="1526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67"/>
      <c r="J11" s="810">
        <f t="shared" si="5"/>
        <v>12</v>
      </c>
      <c r="K11" s="813">
        <f t="shared" si="6"/>
        <v>1</v>
      </c>
      <c r="L11" s="1509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25">
        <v>46268</v>
      </c>
      <c r="B12" s="1526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467"/>
      <c r="J12" s="810">
        <f t="shared" si="5"/>
        <v>11</v>
      </c>
      <c r="K12" s="813">
        <f t="shared" si="6"/>
        <v>0.91666666666666663</v>
      </c>
      <c r="L12" s="1509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525">
        <v>46269</v>
      </c>
      <c r="B13" s="1526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467"/>
      <c r="J13" s="810">
        <f t="shared" si="5"/>
        <v>0</v>
      </c>
      <c r="K13" s="813">
        <f t="shared" si="6"/>
        <v>0</v>
      </c>
      <c r="L13" s="1509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25">
        <v>46269</v>
      </c>
      <c r="B14" s="1526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468"/>
      <c r="J14" s="810">
        <f t="shared" si="5"/>
        <v>0</v>
      </c>
      <c r="K14" s="813">
        <f t="shared" si="6"/>
        <v>0</v>
      </c>
      <c r="L14" s="1509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523">
        <v>46270</v>
      </c>
      <c r="B15" s="1524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469">
        <v>3</v>
      </c>
      <c r="J15" s="809">
        <f>(720-G15)/60</f>
        <v>0</v>
      </c>
      <c r="K15" s="812">
        <f>J15/12</f>
        <v>0</v>
      </c>
      <c r="L15" s="1507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23">
        <v>46270</v>
      </c>
      <c r="B16" s="1524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470"/>
      <c r="J16" s="809">
        <f t="shared" ref="J16:J19" si="8">(720-G16)/60</f>
        <v>11</v>
      </c>
      <c r="K16" s="812">
        <f t="shared" ref="K16:K19" si="9">J16/12</f>
        <v>0.91666666666666663</v>
      </c>
      <c r="L16" s="1507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23">
        <v>46271</v>
      </c>
      <c r="B17" s="1524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470"/>
      <c r="J17" s="809">
        <f t="shared" si="8"/>
        <v>9.8333333333333339</v>
      </c>
      <c r="K17" s="812">
        <f t="shared" si="9"/>
        <v>0.81944444444444453</v>
      </c>
      <c r="L17" s="1507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23">
        <v>46271</v>
      </c>
      <c r="B18" s="1524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470"/>
      <c r="J18" s="809">
        <f t="shared" si="8"/>
        <v>12</v>
      </c>
      <c r="K18" s="812">
        <f t="shared" si="9"/>
        <v>1</v>
      </c>
      <c r="L18" s="1507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23">
        <v>46272</v>
      </c>
      <c r="B19" s="1524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471"/>
      <c r="J19" s="809">
        <f t="shared" si="8"/>
        <v>11.683333333333334</v>
      </c>
      <c r="K19" s="812">
        <f t="shared" si="9"/>
        <v>0.97361111111111109</v>
      </c>
      <c r="L19" s="1508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25">
        <v>46272</v>
      </c>
      <c r="B20" s="1526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538">
        <v>4</v>
      </c>
      <c r="J20" s="810">
        <f>(720-G20)/60</f>
        <v>10.766666666666667</v>
      </c>
      <c r="K20" s="813">
        <f>J20/12</f>
        <v>0.89722222222222225</v>
      </c>
      <c r="L20" s="1508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25">
        <v>46273</v>
      </c>
      <c r="B21" s="1526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539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09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25">
        <v>46273</v>
      </c>
      <c r="B22" s="1526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539"/>
      <c r="J22" s="810">
        <f t="shared" si="10"/>
        <v>9.4499999999999993</v>
      </c>
      <c r="K22" s="813">
        <f t="shared" si="11"/>
        <v>0.78749999999999998</v>
      </c>
      <c r="L22" s="1509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25">
        <v>46274</v>
      </c>
      <c r="B23" s="1526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540"/>
      <c r="J23" s="810">
        <f t="shared" si="10"/>
        <v>3</v>
      </c>
      <c r="K23" s="813">
        <f t="shared" si="11"/>
        <v>0.25</v>
      </c>
      <c r="L23" s="1509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36">
        <v>46274</v>
      </c>
      <c r="B24" s="1537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509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23">
        <v>46275</v>
      </c>
      <c r="B25" s="1524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541">
        <v>5</v>
      </c>
      <c r="J25" s="809">
        <f>(720-G25)/60</f>
        <v>10.566666666666666</v>
      </c>
      <c r="K25" s="812">
        <f>J25/12</f>
        <v>0.88055555555555554</v>
      </c>
      <c r="L25" s="1507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523">
        <v>46275</v>
      </c>
      <c r="B26" s="1524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542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07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523">
        <v>46276</v>
      </c>
      <c r="B27" s="1524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543"/>
      <c r="J27" s="809">
        <f t="shared" si="13"/>
        <v>10.983333333333333</v>
      </c>
      <c r="K27" s="812">
        <f t="shared" si="14"/>
        <v>0.91527777777777775</v>
      </c>
      <c r="L27" s="1508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32">
        <v>46276</v>
      </c>
      <c r="B28" s="1533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516">
        <v>6</v>
      </c>
      <c r="J28" s="810">
        <f>(720-G28)/60</f>
        <v>2</v>
      </c>
      <c r="K28" s="813">
        <f>J28/12</f>
        <v>0.16666666666666666</v>
      </c>
      <c r="L28" s="1508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44">
        <v>46277</v>
      </c>
      <c r="B29" s="1545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517"/>
      <c r="J29" s="810">
        <f t="shared" ref="J29:J33" si="15">(720-G29)/60</f>
        <v>0</v>
      </c>
      <c r="K29" s="813">
        <f t="shared" ref="K29:K33" si="16">J29/12</f>
        <v>0</v>
      </c>
      <c r="L29" s="1509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46">
        <v>46277</v>
      </c>
      <c r="B30" s="1547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517"/>
      <c r="J30" s="810">
        <f t="shared" si="15"/>
        <v>0</v>
      </c>
      <c r="K30" s="813">
        <f t="shared" si="16"/>
        <v>0</v>
      </c>
      <c r="L30" s="1509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32">
        <v>46278</v>
      </c>
      <c r="B31" s="1533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517"/>
      <c r="J31" s="810">
        <f t="shared" si="15"/>
        <v>0</v>
      </c>
      <c r="K31" s="813">
        <f t="shared" si="16"/>
        <v>0</v>
      </c>
      <c r="L31" s="1509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48">
        <v>46278</v>
      </c>
      <c r="B32" s="1549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17"/>
      <c r="J32" s="810">
        <f t="shared" si="15"/>
        <v>0</v>
      </c>
      <c r="K32" s="813">
        <f t="shared" si="16"/>
        <v>0</v>
      </c>
      <c r="L32" s="1509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34">
        <v>46279</v>
      </c>
      <c r="B33" s="1535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18"/>
      <c r="J33" s="810">
        <f t="shared" si="15"/>
        <v>0</v>
      </c>
      <c r="K33" s="813">
        <f t="shared" si="16"/>
        <v>0</v>
      </c>
      <c r="L33" s="1508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21">
        <v>46279</v>
      </c>
      <c r="B34" s="1522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511">
        <v>7</v>
      </c>
      <c r="J34" s="809">
        <f>(720-G34)/60</f>
        <v>10</v>
      </c>
      <c r="K34" s="812">
        <f>J34/12</f>
        <v>0.83333333333333337</v>
      </c>
      <c r="L34" s="1508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23">
        <v>46280</v>
      </c>
      <c r="B35" s="1524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470"/>
      <c r="J35" s="809">
        <f t="shared" ref="J35:J36" si="20">(720-G35)/60</f>
        <v>12</v>
      </c>
      <c r="K35" s="812">
        <f t="shared" ref="K35:K36" si="21">J35/12</f>
        <v>1</v>
      </c>
      <c r="L35" s="1507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23">
        <v>46280</v>
      </c>
      <c r="B36" s="1524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471"/>
      <c r="J36" s="809">
        <f t="shared" si="20"/>
        <v>12</v>
      </c>
      <c r="K36" s="812">
        <f t="shared" si="21"/>
        <v>1</v>
      </c>
      <c r="L36" s="1507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25">
        <v>46281</v>
      </c>
      <c r="B37" s="1526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512">
        <v>8</v>
      </c>
      <c r="J37" s="810">
        <f>(720-G37)/60</f>
        <v>12</v>
      </c>
      <c r="K37" s="813">
        <f>J37/12</f>
        <v>1</v>
      </c>
      <c r="L37" s="1509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25">
        <v>46281</v>
      </c>
      <c r="B38" s="1526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51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09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25">
        <v>46282</v>
      </c>
      <c r="B39" s="1526"/>
      <c r="C39" s="497" t="s">
        <v>12</v>
      </c>
      <c r="D39" s="919" t="s">
        <v>627</v>
      </c>
      <c r="E39" s="829"/>
      <c r="F39" s="829"/>
      <c r="G39" s="499">
        <f t="shared" si="4"/>
        <v>0</v>
      </c>
      <c r="H39" s="920" t="s">
        <v>628</v>
      </c>
      <c r="I39" s="1513"/>
      <c r="J39" s="810">
        <f t="shared" si="22"/>
        <v>12</v>
      </c>
      <c r="K39" s="813">
        <f t="shared" si="23"/>
        <v>1</v>
      </c>
      <c r="L39" s="1509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28">
        <v>46282</v>
      </c>
      <c r="B40" s="1529"/>
      <c r="C40" s="907" t="s">
        <v>13</v>
      </c>
      <c r="D40" s="941" t="s">
        <v>597</v>
      </c>
      <c r="E40" s="937"/>
      <c r="F40" s="937"/>
      <c r="G40" s="938">
        <f t="shared" si="4"/>
        <v>0</v>
      </c>
      <c r="H40" s="942" t="s">
        <v>634</v>
      </c>
      <c r="I40" s="1514"/>
      <c r="J40" s="939">
        <f t="shared" si="22"/>
        <v>12</v>
      </c>
      <c r="K40" s="940">
        <f t="shared" si="23"/>
        <v>1</v>
      </c>
      <c r="L40" s="1509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30">
        <v>46283</v>
      </c>
      <c r="B41" s="1531"/>
      <c r="C41" s="966" t="s">
        <v>12</v>
      </c>
      <c r="D41" s="990" t="s">
        <v>541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647</v>
      </c>
      <c r="I41" s="1498">
        <v>9</v>
      </c>
      <c r="J41" s="994">
        <f t="shared" si="22"/>
        <v>9.0833333333333339</v>
      </c>
      <c r="K41" s="995">
        <f t="shared" si="23"/>
        <v>0.75694444444444453</v>
      </c>
      <c r="L41" s="1510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30">
        <v>46283</v>
      </c>
      <c r="B42" s="1531"/>
      <c r="C42" s="966" t="s">
        <v>13</v>
      </c>
      <c r="D42" s="996" t="s">
        <v>648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649</v>
      </c>
      <c r="I42" s="1499"/>
      <c r="J42" s="994">
        <f t="shared" si="22"/>
        <v>12</v>
      </c>
      <c r="K42" s="995">
        <f t="shared" si="23"/>
        <v>1</v>
      </c>
      <c r="L42" s="1510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30">
        <v>46284</v>
      </c>
      <c r="B43" s="1531"/>
      <c r="C43" s="966" t="s">
        <v>12</v>
      </c>
      <c r="D43" s="1022" t="s">
        <v>508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649</v>
      </c>
      <c r="I43" s="1499"/>
      <c r="J43" s="994">
        <f t="shared" si="22"/>
        <v>12</v>
      </c>
      <c r="K43" s="995">
        <f t="shared" si="23"/>
        <v>1</v>
      </c>
      <c r="L43" s="1510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30">
        <v>46284</v>
      </c>
      <c r="B44" s="1531"/>
      <c r="C44" s="966" t="s">
        <v>13</v>
      </c>
      <c r="D44" s="1022" t="s">
        <v>651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650</v>
      </c>
      <c r="I44" s="1500"/>
      <c r="J44" s="994">
        <f t="shared" si="22"/>
        <v>6</v>
      </c>
      <c r="K44" s="995">
        <f t="shared" si="23"/>
        <v>0.5</v>
      </c>
      <c r="L44" s="1510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28">
        <v>46285</v>
      </c>
      <c r="B45" s="1529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653</v>
      </c>
      <c r="I45" s="1488">
        <v>10</v>
      </c>
      <c r="J45" s="939">
        <f t="shared" si="22"/>
        <v>0</v>
      </c>
      <c r="K45" s="940">
        <f t="shared" si="23"/>
        <v>0</v>
      </c>
      <c r="L45" s="1497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28">
        <v>46285</v>
      </c>
      <c r="B46" s="1529"/>
      <c r="C46" s="907" t="s">
        <v>13</v>
      </c>
      <c r="D46" s="1055" t="s">
        <v>508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656</v>
      </c>
      <c r="I46" s="1489"/>
      <c r="J46" s="939">
        <f t="shared" si="22"/>
        <v>0</v>
      </c>
      <c r="K46" s="940">
        <f t="shared" si="23"/>
        <v>0</v>
      </c>
      <c r="L46" s="1497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28">
        <v>46286</v>
      </c>
      <c r="B47" s="1529"/>
      <c r="C47" s="907" t="s">
        <v>12</v>
      </c>
      <c r="D47" s="1068" t="s">
        <v>507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665</v>
      </c>
      <c r="I47" s="1489"/>
      <c r="J47" s="939">
        <f>(720-G47)/60</f>
        <v>2.4166666666666665</v>
      </c>
      <c r="K47" s="940">
        <f t="shared" si="23"/>
        <v>0.20138888888888887</v>
      </c>
      <c r="L47" s="1497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28">
        <v>46286</v>
      </c>
      <c r="B48" s="1529"/>
      <c r="C48" s="907" t="s">
        <v>13</v>
      </c>
      <c r="D48" s="1074" t="s">
        <v>541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667</v>
      </c>
      <c r="I48" s="1489"/>
      <c r="J48" s="939">
        <f t="shared" si="22"/>
        <v>11.5</v>
      </c>
      <c r="K48" s="940">
        <f t="shared" si="23"/>
        <v>0.95833333333333337</v>
      </c>
      <c r="L48" s="1497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28">
        <v>46287</v>
      </c>
      <c r="B49" s="1529"/>
      <c r="C49" s="907" t="s">
        <v>12</v>
      </c>
      <c r="D49" s="1080" t="s">
        <v>507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690</v>
      </c>
      <c r="I49" s="1489"/>
      <c r="J49" s="939">
        <f t="shared" si="22"/>
        <v>12</v>
      </c>
      <c r="K49" s="940">
        <f t="shared" si="23"/>
        <v>1</v>
      </c>
      <c r="L49" s="1497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28">
        <v>46287</v>
      </c>
      <c r="B50" s="1529"/>
      <c r="C50" s="907" t="s">
        <v>13</v>
      </c>
      <c r="D50" s="1083" t="s">
        <v>693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694</v>
      </c>
      <c r="I50" s="1489"/>
      <c r="J50" s="939">
        <f t="shared" si="22"/>
        <v>9.25</v>
      </c>
      <c r="K50" s="940">
        <f t="shared" si="23"/>
        <v>0.77083333333333337</v>
      </c>
      <c r="L50" s="1497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28">
        <v>46288</v>
      </c>
      <c r="B51" s="1529"/>
      <c r="C51" s="907" t="s">
        <v>12</v>
      </c>
      <c r="D51" s="1098" t="s">
        <v>507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699</v>
      </c>
      <c r="I51" s="1489"/>
      <c r="J51" s="939">
        <f t="shared" si="22"/>
        <v>7.5</v>
      </c>
      <c r="K51" s="940">
        <f t="shared" si="23"/>
        <v>0.625</v>
      </c>
      <c r="L51" s="1497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28">
        <v>46288</v>
      </c>
      <c r="B52" s="1529"/>
      <c r="C52" s="907" t="s">
        <v>13</v>
      </c>
      <c r="D52" s="1098" t="s">
        <v>541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700</v>
      </c>
      <c r="I52" s="1489"/>
      <c r="J52" s="939">
        <f t="shared" si="22"/>
        <v>12</v>
      </c>
      <c r="K52" s="940">
        <f t="shared" si="23"/>
        <v>1</v>
      </c>
      <c r="L52" s="1497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28">
        <v>46289</v>
      </c>
      <c r="B53" s="1529"/>
      <c r="C53" s="907" t="s">
        <v>12</v>
      </c>
      <c r="D53" s="1098" t="s">
        <v>507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703</v>
      </c>
      <c r="I53" s="1490"/>
      <c r="J53" s="939">
        <f t="shared" si="22"/>
        <v>12</v>
      </c>
      <c r="K53" s="940">
        <f t="shared" si="23"/>
        <v>1</v>
      </c>
      <c r="L53" s="1497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30">
        <v>46289</v>
      </c>
      <c r="B54" s="1531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704</v>
      </c>
      <c r="I54" s="1498">
        <v>11</v>
      </c>
      <c r="J54" s="994">
        <f t="shared" si="22"/>
        <v>12</v>
      </c>
      <c r="K54" s="995">
        <f t="shared" si="23"/>
        <v>1</v>
      </c>
      <c r="L54" s="1497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30">
        <v>46290</v>
      </c>
      <c r="B55" s="1531"/>
      <c r="C55" s="966" t="s">
        <v>12</v>
      </c>
      <c r="D55" s="1121" t="s">
        <v>507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708</v>
      </c>
      <c r="I55" s="1499"/>
      <c r="J55" s="994">
        <f t="shared" si="22"/>
        <v>9.3166666666666664</v>
      </c>
      <c r="K55" s="995">
        <f t="shared" si="23"/>
        <v>0.77638888888888891</v>
      </c>
      <c r="L55" s="1515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30">
        <v>46290</v>
      </c>
      <c r="B56" s="1531"/>
      <c r="C56" s="966" t="s">
        <v>13</v>
      </c>
      <c r="D56" s="1129" t="s">
        <v>740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741</v>
      </c>
      <c r="I56" s="1499"/>
      <c r="J56" s="994">
        <f t="shared" si="22"/>
        <v>0</v>
      </c>
      <c r="K56" s="995">
        <f t="shared" si="23"/>
        <v>0</v>
      </c>
      <c r="L56" s="1515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30">
        <v>46291</v>
      </c>
      <c r="B57" s="1531"/>
      <c r="C57" s="966" t="s">
        <v>12</v>
      </c>
      <c r="D57" s="1157" t="s">
        <v>541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749</v>
      </c>
      <c r="I57" s="1499"/>
      <c r="J57" s="994">
        <f t="shared" si="22"/>
        <v>0</v>
      </c>
      <c r="K57" s="995">
        <f t="shared" si="23"/>
        <v>0</v>
      </c>
      <c r="L57" s="1515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30">
        <v>46291</v>
      </c>
      <c r="B58" s="1531"/>
      <c r="C58" s="966" t="s">
        <v>13</v>
      </c>
      <c r="D58" s="1157" t="s">
        <v>507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750</v>
      </c>
      <c r="I58" s="1500"/>
      <c r="J58" s="994">
        <f t="shared" si="22"/>
        <v>0</v>
      </c>
      <c r="K58" s="995">
        <f t="shared" si="23"/>
        <v>0</v>
      </c>
      <c r="L58" s="1515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28">
        <v>46292</v>
      </c>
      <c r="B59" s="1529"/>
      <c r="C59" s="907" t="s">
        <v>12</v>
      </c>
      <c r="D59" s="1160" t="s">
        <v>541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749</v>
      </c>
      <c r="I59" s="1488">
        <v>12</v>
      </c>
      <c r="J59" s="939">
        <f t="shared" si="22"/>
        <v>8</v>
      </c>
      <c r="K59" s="940">
        <f t="shared" si="23"/>
        <v>0.66666666666666663</v>
      </c>
      <c r="L59" s="1496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28">
        <v>46292</v>
      </c>
      <c r="B60" s="1529"/>
      <c r="C60" s="907" t="s">
        <v>13</v>
      </c>
      <c r="D60" s="1160" t="s">
        <v>507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751</v>
      </c>
      <c r="I60" s="1489"/>
      <c r="J60" s="939">
        <f t="shared" si="22"/>
        <v>11</v>
      </c>
      <c r="K60" s="940">
        <f t="shared" si="23"/>
        <v>0.91666666666666663</v>
      </c>
      <c r="L60" s="1496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28">
        <v>46293</v>
      </c>
      <c r="B61" s="1529"/>
      <c r="C61" s="907" t="s">
        <v>12</v>
      </c>
      <c r="D61" s="1165" t="s">
        <v>740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757</v>
      </c>
      <c r="I61" s="1489"/>
      <c r="J61" s="939">
        <f t="shared" si="22"/>
        <v>12</v>
      </c>
      <c r="K61" s="940">
        <f t="shared" si="23"/>
        <v>1</v>
      </c>
      <c r="L61" s="1496">
        <f>SUM(J61:J62)/24</f>
        <v>1</v>
      </c>
      <c r="M61" s="43"/>
      <c r="Q61" s="10"/>
    </row>
    <row r="62" spans="1:20" ht="28.8" x14ac:dyDescent="0.3">
      <c r="A62" s="1528">
        <v>46293</v>
      </c>
      <c r="B62" s="1529"/>
      <c r="C62" s="907" t="s">
        <v>13</v>
      </c>
      <c r="D62" s="1165" t="s">
        <v>507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756</v>
      </c>
      <c r="I62" s="1489"/>
      <c r="J62" s="939">
        <f t="shared" si="22"/>
        <v>12</v>
      </c>
      <c r="K62" s="940">
        <f t="shared" si="23"/>
        <v>1</v>
      </c>
      <c r="L62" s="1496"/>
      <c r="N62" s="10"/>
      <c r="P62" s="10"/>
    </row>
    <row r="63" spans="1:20" x14ac:dyDescent="0.3">
      <c r="A63" s="1528">
        <v>46294</v>
      </c>
      <c r="B63" s="1529"/>
      <c r="C63" s="907" t="s">
        <v>12</v>
      </c>
      <c r="D63" s="1168" t="s">
        <v>541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758</v>
      </c>
      <c r="I63" s="1490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36">
        <v>46294</v>
      </c>
      <c r="B64" s="1537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36">
        <v>46295</v>
      </c>
      <c r="B65" s="1537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36">
        <v>46295</v>
      </c>
      <c r="B66" s="1537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28">
        <v>46296</v>
      </c>
      <c r="B67" s="1529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809</v>
      </c>
      <c r="I67" s="106"/>
      <c r="J67" s="939">
        <f t="shared" si="22"/>
        <v>0</v>
      </c>
      <c r="K67" s="940">
        <f t="shared" si="23"/>
        <v>0</v>
      </c>
      <c r="L67" s="1503">
        <f>SUM(J67:J68)/24</f>
        <v>0</v>
      </c>
      <c r="M67" s="29"/>
    </row>
    <row r="68" spans="1:19" x14ac:dyDescent="0.3">
      <c r="A68" s="1528">
        <v>46296</v>
      </c>
      <c r="B68" s="1529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809</v>
      </c>
      <c r="I68" s="106"/>
      <c r="J68" s="939">
        <f t="shared" si="22"/>
        <v>0</v>
      </c>
      <c r="K68" s="940">
        <f t="shared" si="23"/>
        <v>0</v>
      </c>
      <c r="L68" s="1504"/>
      <c r="S68" s="1057" t="s">
        <v>658</v>
      </c>
    </row>
    <row r="69" spans="1:19" x14ac:dyDescent="0.3">
      <c r="A69" s="1528">
        <v>46297</v>
      </c>
      <c r="B69" s="1529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810</v>
      </c>
      <c r="I69" s="106"/>
      <c r="J69" s="939">
        <f t="shared" si="22"/>
        <v>0</v>
      </c>
      <c r="K69" s="940">
        <f t="shared" si="23"/>
        <v>0</v>
      </c>
      <c r="L69" s="1503">
        <f t="shared" ref="L69" si="33">SUM(J69:J70)/24</f>
        <v>0</v>
      </c>
    </row>
    <row r="70" spans="1:19" x14ac:dyDescent="0.3">
      <c r="A70" s="1528">
        <v>46297</v>
      </c>
      <c r="B70" s="1529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811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04"/>
    </row>
    <row r="71" spans="1:19" x14ac:dyDescent="0.3">
      <c r="A71" s="1528">
        <v>46298</v>
      </c>
      <c r="B71" s="1529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811</v>
      </c>
      <c r="I71" s="106"/>
      <c r="J71" s="939">
        <f t="shared" si="35"/>
        <v>0</v>
      </c>
      <c r="K71" s="940">
        <f t="shared" si="36"/>
        <v>0</v>
      </c>
      <c r="L71" s="1503">
        <f t="shared" ref="L71:L73" si="37">SUM(J71:J72)/24</f>
        <v>0</v>
      </c>
    </row>
    <row r="72" spans="1:19" x14ac:dyDescent="0.3">
      <c r="A72" s="1528">
        <v>46298</v>
      </c>
      <c r="B72" s="1529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811</v>
      </c>
      <c r="I72" s="106"/>
      <c r="J72" s="939">
        <f t="shared" si="35"/>
        <v>0</v>
      </c>
      <c r="K72" s="940">
        <f t="shared" si="36"/>
        <v>0</v>
      </c>
      <c r="L72" s="1504"/>
    </row>
    <row r="73" spans="1:19" x14ac:dyDescent="0.3">
      <c r="A73" s="1530">
        <v>46299</v>
      </c>
      <c r="B73" s="1531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813</v>
      </c>
      <c r="I73" s="122"/>
      <c r="J73" s="994">
        <f t="shared" si="35"/>
        <v>12</v>
      </c>
      <c r="K73" s="995">
        <f t="shared" si="36"/>
        <v>1</v>
      </c>
      <c r="L73" s="1505">
        <f t="shared" si="37"/>
        <v>0.99305555555555569</v>
      </c>
    </row>
    <row r="74" spans="1:19" x14ac:dyDescent="0.3">
      <c r="A74" s="1530">
        <v>46299</v>
      </c>
      <c r="B74" s="1531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770</v>
      </c>
      <c r="I74" s="1498">
        <v>13</v>
      </c>
      <c r="J74" s="994">
        <f t="shared" si="35"/>
        <v>11.833333333333334</v>
      </c>
      <c r="K74" s="995">
        <f t="shared" si="36"/>
        <v>0.98611111111111116</v>
      </c>
      <c r="L74" s="1506"/>
    </row>
    <row r="75" spans="1:19" x14ac:dyDescent="0.3">
      <c r="A75" s="1530">
        <v>46300</v>
      </c>
      <c r="B75" s="1531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812</v>
      </c>
      <c r="I75" s="1499"/>
      <c r="J75" s="994">
        <f t="shared" si="35"/>
        <v>12</v>
      </c>
      <c r="K75" s="995">
        <f t="shared" si="36"/>
        <v>1</v>
      </c>
      <c r="L75" s="1505">
        <f>SUM(J75:J76)/24</f>
        <v>0.5</v>
      </c>
    </row>
    <row r="76" spans="1:19" x14ac:dyDescent="0.3">
      <c r="A76" s="1530">
        <v>46300</v>
      </c>
      <c r="B76" s="1531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778</v>
      </c>
      <c r="I76" s="1499"/>
      <c r="J76" s="994">
        <f t="shared" si="35"/>
        <v>0</v>
      </c>
      <c r="K76" s="995">
        <f t="shared" si="36"/>
        <v>0</v>
      </c>
      <c r="L76" s="1506"/>
    </row>
    <row r="77" spans="1:19" x14ac:dyDescent="0.3">
      <c r="A77" s="1530">
        <v>46301</v>
      </c>
      <c r="B77" s="1531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780</v>
      </c>
      <c r="I77" s="1500"/>
      <c r="J77" s="994">
        <f t="shared" ref="J77:J140" si="39">(720-G77)/60</f>
        <v>0</v>
      </c>
      <c r="K77" s="995">
        <f t="shared" ref="K77:K140" si="40">J77/12</f>
        <v>0</v>
      </c>
      <c r="L77" s="1505">
        <f>SUM(J77:J78)/24</f>
        <v>0.16666666666666666</v>
      </c>
    </row>
    <row r="78" spans="1:19" x14ac:dyDescent="0.3">
      <c r="A78" s="1528">
        <v>46301</v>
      </c>
      <c r="B78" s="1529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779</v>
      </c>
      <c r="I78" s="1488">
        <v>14</v>
      </c>
      <c r="J78" s="939">
        <f t="shared" si="39"/>
        <v>4</v>
      </c>
      <c r="K78" s="940">
        <f t="shared" si="40"/>
        <v>0.33333333333333331</v>
      </c>
      <c r="L78" s="1506"/>
    </row>
    <row r="79" spans="1:19" ht="28.8" x14ac:dyDescent="0.3">
      <c r="A79" s="1528">
        <v>46302</v>
      </c>
      <c r="B79" s="1529"/>
      <c r="C79" s="907" t="s">
        <v>12</v>
      </c>
      <c r="D79" s="1210" t="s">
        <v>785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783</v>
      </c>
      <c r="I79" s="1489"/>
      <c r="J79" s="939">
        <f t="shared" si="39"/>
        <v>12</v>
      </c>
      <c r="K79" s="940">
        <f t="shared" si="40"/>
        <v>1</v>
      </c>
      <c r="L79" s="1503">
        <f>SUM(J79:J80)/24</f>
        <v>0.98611111111111105</v>
      </c>
    </row>
    <row r="80" spans="1:19" x14ac:dyDescent="0.3">
      <c r="A80" s="1528">
        <v>46302</v>
      </c>
      <c r="B80" s="1529"/>
      <c r="C80" s="907" t="s">
        <v>13</v>
      </c>
      <c r="D80" s="1210" t="s">
        <v>786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784</v>
      </c>
      <c r="I80" s="1490"/>
      <c r="J80" s="939">
        <f t="shared" si="39"/>
        <v>11.666666666666666</v>
      </c>
      <c r="K80" s="940">
        <f t="shared" si="40"/>
        <v>0.97222222222222221</v>
      </c>
      <c r="L80" s="1504"/>
    </row>
    <row r="81" spans="1:12" x14ac:dyDescent="0.3">
      <c r="A81" s="1550">
        <v>46303</v>
      </c>
      <c r="B81" s="1551"/>
      <c r="C81" s="1215" t="s">
        <v>12</v>
      </c>
      <c r="D81" s="1221" t="s">
        <v>785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790</v>
      </c>
      <c r="I81" s="1491">
        <v>15</v>
      </c>
      <c r="J81" s="1219">
        <f t="shared" si="39"/>
        <v>12</v>
      </c>
      <c r="K81" s="1220">
        <f t="shared" si="40"/>
        <v>1</v>
      </c>
      <c r="L81" s="1503">
        <f>SUM(J81:J82)/24</f>
        <v>0.97916666666666663</v>
      </c>
    </row>
    <row r="82" spans="1:12" x14ac:dyDescent="0.3">
      <c r="A82" s="1550">
        <v>46303</v>
      </c>
      <c r="B82" s="1551"/>
      <c r="C82" s="1215" t="s">
        <v>13</v>
      </c>
      <c r="D82" s="1221" t="s">
        <v>791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792</v>
      </c>
      <c r="I82" s="1492"/>
      <c r="J82" s="1219">
        <f t="shared" si="39"/>
        <v>11.5</v>
      </c>
      <c r="K82" s="1220">
        <f t="shared" si="40"/>
        <v>0.95833333333333337</v>
      </c>
      <c r="L82" s="1504"/>
    </row>
    <row r="83" spans="1:12" x14ac:dyDescent="0.3">
      <c r="A83" s="1550">
        <v>46304</v>
      </c>
      <c r="B83" s="1551"/>
      <c r="C83" s="1215" t="s">
        <v>12</v>
      </c>
      <c r="D83" s="1221" t="s">
        <v>793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493"/>
      <c r="J83" s="1219">
        <f t="shared" si="39"/>
        <v>10</v>
      </c>
      <c r="K83" s="1220">
        <f t="shared" si="40"/>
        <v>0.83333333333333337</v>
      </c>
      <c r="L83" s="1503">
        <f>SUM(J83:J84)/24</f>
        <v>0.91666666666666663</v>
      </c>
    </row>
    <row r="84" spans="1:12" x14ac:dyDescent="0.3">
      <c r="A84" s="1536">
        <v>46304</v>
      </c>
      <c r="B84" s="1537"/>
      <c r="C84" s="36" t="s">
        <v>13</v>
      </c>
      <c r="D84" s="65"/>
      <c r="E84" s="67"/>
      <c r="F84" s="67"/>
      <c r="G84" s="496">
        <f t="shared" si="38"/>
        <v>0</v>
      </c>
      <c r="H84" s="1262" t="s">
        <v>805</v>
      </c>
      <c r="I84" s="417"/>
      <c r="J84" s="418">
        <f t="shared" si="39"/>
        <v>12</v>
      </c>
      <c r="K84" s="811">
        <f t="shared" si="40"/>
        <v>1</v>
      </c>
      <c r="L84" s="1504"/>
    </row>
    <row r="85" spans="1:12" ht="28.8" x14ac:dyDescent="0.3">
      <c r="A85" s="1536">
        <v>46305</v>
      </c>
      <c r="B85" s="1537"/>
      <c r="C85" s="36" t="s">
        <v>12</v>
      </c>
      <c r="D85" s="65"/>
      <c r="E85" s="67"/>
      <c r="F85" s="67"/>
      <c r="G85" s="496">
        <f t="shared" si="38"/>
        <v>0</v>
      </c>
      <c r="H85" s="1263" t="s">
        <v>806</v>
      </c>
      <c r="I85" s="417"/>
      <c r="J85" s="418">
        <f t="shared" si="39"/>
        <v>12</v>
      </c>
      <c r="K85" s="811">
        <f t="shared" si="40"/>
        <v>1</v>
      </c>
      <c r="L85" s="1503">
        <f>SUM(J85:J86)/24</f>
        <v>0.8965277777777777</v>
      </c>
    </row>
    <row r="86" spans="1:12" ht="28.8" x14ac:dyDescent="0.3">
      <c r="A86" s="1528">
        <v>46305</v>
      </c>
      <c r="B86" s="1529"/>
      <c r="C86" s="907" t="s">
        <v>13</v>
      </c>
      <c r="D86" s="1264" t="s">
        <v>791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816</v>
      </c>
      <c r="I86" s="1488">
        <v>16</v>
      </c>
      <c r="J86" s="939">
        <f t="shared" si="39"/>
        <v>9.5166666666666675</v>
      </c>
      <c r="K86" s="940">
        <f t="shared" si="40"/>
        <v>0.79305555555555562</v>
      </c>
      <c r="L86" s="1504"/>
    </row>
    <row r="87" spans="1:12" ht="28.8" x14ac:dyDescent="0.3">
      <c r="A87" s="1528">
        <v>46306</v>
      </c>
      <c r="B87" s="1529"/>
      <c r="C87" s="907" t="s">
        <v>12</v>
      </c>
      <c r="D87" s="1264" t="s">
        <v>785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797</v>
      </c>
      <c r="I87" s="1489"/>
      <c r="J87" s="939">
        <f t="shared" si="39"/>
        <v>5.0166666666666675</v>
      </c>
      <c r="K87" s="940">
        <f t="shared" si="40"/>
        <v>0.41805555555555562</v>
      </c>
      <c r="L87" s="1503">
        <f>SUM(J87:J88)/24</f>
        <v>0.7090277777777777</v>
      </c>
    </row>
    <row r="88" spans="1:12" x14ac:dyDescent="0.3">
      <c r="A88" s="1528">
        <v>46306</v>
      </c>
      <c r="B88" s="1529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807</v>
      </c>
      <c r="I88" s="1490"/>
      <c r="J88" s="939">
        <f t="shared" si="39"/>
        <v>12</v>
      </c>
      <c r="K88" s="940">
        <f t="shared" si="40"/>
        <v>1</v>
      </c>
      <c r="L88" s="1504"/>
    </row>
    <row r="89" spans="1:12" x14ac:dyDescent="0.3">
      <c r="A89" s="1552">
        <v>46307</v>
      </c>
      <c r="B89" s="1553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798</v>
      </c>
      <c r="I89" s="1485">
        <v>17</v>
      </c>
      <c r="J89" s="1252">
        <f t="shared" si="39"/>
        <v>12</v>
      </c>
      <c r="K89" s="1271">
        <f t="shared" si="40"/>
        <v>1</v>
      </c>
      <c r="L89" s="1503">
        <f>SUM(J89:J90)/24</f>
        <v>1</v>
      </c>
    </row>
    <row r="90" spans="1:12" x14ac:dyDescent="0.3">
      <c r="A90" s="1552">
        <v>46307</v>
      </c>
      <c r="B90" s="1553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798</v>
      </c>
      <c r="I90" s="1486"/>
      <c r="J90" s="1252">
        <f t="shared" si="39"/>
        <v>12</v>
      </c>
      <c r="K90" s="1271">
        <f t="shared" si="40"/>
        <v>1</v>
      </c>
      <c r="L90" s="1504"/>
    </row>
    <row r="91" spans="1:12" ht="43.2" x14ac:dyDescent="0.3">
      <c r="A91" s="1552">
        <v>46308</v>
      </c>
      <c r="B91" s="1553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808</v>
      </c>
      <c r="I91" s="1487"/>
      <c r="J91" s="1252">
        <f t="shared" si="39"/>
        <v>5.666666666666667</v>
      </c>
      <c r="K91" s="1271">
        <f t="shared" si="40"/>
        <v>0.47222222222222227</v>
      </c>
      <c r="L91" s="1501">
        <f>SUM(J91:J92)/24</f>
        <v>0.73611111111111116</v>
      </c>
    </row>
    <row r="92" spans="1:12" x14ac:dyDescent="0.3">
      <c r="A92" s="1528">
        <v>46308</v>
      </c>
      <c r="B92" s="1529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817</v>
      </c>
      <c r="I92" s="1488">
        <v>18</v>
      </c>
      <c r="J92" s="939">
        <f t="shared" si="39"/>
        <v>12</v>
      </c>
      <c r="K92" s="940">
        <f t="shared" si="40"/>
        <v>1</v>
      </c>
      <c r="L92" s="1502"/>
    </row>
    <row r="93" spans="1:12" s="951" customFormat="1" x14ac:dyDescent="0.3">
      <c r="A93" s="1528">
        <v>46309</v>
      </c>
      <c r="B93" s="1529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807</v>
      </c>
      <c r="I93" s="1489"/>
      <c r="J93" s="939">
        <f t="shared" si="39"/>
        <v>12</v>
      </c>
      <c r="K93" s="940">
        <f t="shared" si="40"/>
        <v>1</v>
      </c>
      <c r="L93" s="1501">
        <f>SUM(J93:J94)/24</f>
        <v>1</v>
      </c>
    </row>
    <row r="94" spans="1:12" s="951" customFormat="1" ht="28.8" x14ac:dyDescent="0.3">
      <c r="A94" s="1528">
        <v>46309</v>
      </c>
      <c r="B94" s="1529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819</v>
      </c>
      <c r="I94" s="1490"/>
      <c r="J94" s="939">
        <f t="shared" si="39"/>
        <v>12</v>
      </c>
      <c r="K94" s="940">
        <f t="shared" si="40"/>
        <v>1</v>
      </c>
      <c r="L94" s="1502"/>
    </row>
    <row r="95" spans="1:12" x14ac:dyDescent="0.3">
      <c r="A95" s="1552">
        <v>46310</v>
      </c>
      <c r="B95" s="1553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823</v>
      </c>
      <c r="I95" s="1485">
        <v>19</v>
      </c>
      <c r="J95" s="1252">
        <f t="shared" si="39"/>
        <v>12</v>
      </c>
      <c r="K95" s="1271">
        <f t="shared" si="40"/>
        <v>1</v>
      </c>
      <c r="L95" s="1494">
        <f>SUM(J95:J96)/24</f>
        <v>1</v>
      </c>
    </row>
    <row r="96" spans="1:12" ht="28.8" x14ac:dyDescent="0.3">
      <c r="A96" s="1552">
        <v>46310</v>
      </c>
      <c r="B96" s="1553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825</v>
      </c>
      <c r="I96" s="1486"/>
      <c r="J96" s="1252">
        <f t="shared" si="39"/>
        <v>12</v>
      </c>
      <c r="K96" s="1271">
        <f t="shared" si="40"/>
        <v>1</v>
      </c>
      <c r="L96" s="1495"/>
    </row>
    <row r="97" spans="1:12" x14ac:dyDescent="0.3">
      <c r="A97" s="1552">
        <v>46311</v>
      </c>
      <c r="B97" s="1553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813</v>
      </c>
      <c r="I97" s="1487"/>
      <c r="J97" s="1252">
        <f t="shared" si="39"/>
        <v>12</v>
      </c>
      <c r="K97" s="1271">
        <f t="shared" si="40"/>
        <v>1</v>
      </c>
      <c r="L97" s="1494">
        <f>SUM(J97:J98)/24</f>
        <v>1</v>
      </c>
    </row>
    <row r="98" spans="1:12" s="951" customFormat="1" x14ac:dyDescent="0.3">
      <c r="A98" s="1528">
        <v>46311</v>
      </c>
      <c r="B98" s="1529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847</v>
      </c>
      <c r="I98" s="106">
        <v>20</v>
      </c>
      <c r="J98" s="939">
        <f t="shared" si="39"/>
        <v>12</v>
      </c>
      <c r="K98" s="940">
        <f t="shared" si="40"/>
        <v>1</v>
      </c>
      <c r="L98" s="1495"/>
    </row>
    <row r="99" spans="1:12" x14ac:dyDescent="0.3">
      <c r="A99" s="1528">
        <v>46312</v>
      </c>
      <c r="B99" s="1529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849</v>
      </c>
      <c r="I99" s="106">
        <v>20</v>
      </c>
      <c r="J99" s="939">
        <f t="shared" si="39"/>
        <v>12</v>
      </c>
      <c r="K99" s="940">
        <f t="shared" si="40"/>
        <v>1</v>
      </c>
      <c r="L99" s="1494">
        <f>SUM(J99:J100)/24</f>
        <v>1</v>
      </c>
    </row>
    <row r="100" spans="1:12" x14ac:dyDescent="0.3">
      <c r="A100" s="1536">
        <v>46312</v>
      </c>
      <c r="B100" s="1537"/>
      <c r="C100" s="36" t="s">
        <v>13</v>
      </c>
      <c r="D100" s="65"/>
      <c r="E100" s="67"/>
      <c r="F100" s="67"/>
      <c r="G100" s="496">
        <f t="shared" si="38"/>
        <v>0</v>
      </c>
      <c r="H100" s="436"/>
      <c r="I100" s="417"/>
      <c r="J100" s="418">
        <f t="shared" si="39"/>
        <v>12</v>
      </c>
      <c r="K100" s="811">
        <f t="shared" si="40"/>
        <v>1</v>
      </c>
      <c r="L100" s="1495"/>
    </row>
    <row r="101" spans="1:12" x14ac:dyDescent="0.3">
      <c r="A101" s="1536">
        <v>46313</v>
      </c>
      <c r="B101" s="1537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536">
        <v>46313</v>
      </c>
      <c r="B102" s="1537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536">
        <v>46314</v>
      </c>
      <c r="B103" s="1537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536">
        <v>46314</v>
      </c>
      <c r="B104" s="1537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536">
        <v>46315</v>
      </c>
      <c r="B105" s="1537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536">
        <v>46315</v>
      </c>
      <c r="B106" s="1537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536">
        <v>46316</v>
      </c>
      <c r="B107" s="1537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536">
        <v>46316</v>
      </c>
      <c r="B108" s="1537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536">
        <v>46317</v>
      </c>
      <c r="B109" s="1537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536">
        <v>46317</v>
      </c>
      <c r="B110" s="1537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536">
        <v>46318</v>
      </c>
      <c r="B111" s="1537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536">
        <v>46318</v>
      </c>
      <c r="B112" s="1537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536">
        <v>46319</v>
      </c>
      <c r="B113" s="1537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536">
        <v>46319</v>
      </c>
      <c r="B114" s="1537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536">
        <v>46320</v>
      </c>
      <c r="B115" s="1537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36">
        <v>46320</v>
      </c>
      <c r="B116" s="1537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36">
        <v>46321</v>
      </c>
      <c r="B117" s="1537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36">
        <v>46321</v>
      </c>
      <c r="B118" s="1537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36">
        <v>46322</v>
      </c>
      <c r="B119" s="1537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36">
        <v>46322</v>
      </c>
      <c r="B120" s="1537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36">
        <v>46323</v>
      </c>
      <c r="B121" s="1537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36">
        <v>46323</v>
      </c>
      <c r="B122" s="1537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36">
        <v>46324</v>
      </c>
      <c r="B123" s="1537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36">
        <v>46324</v>
      </c>
      <c r="B124" s="1537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36">
        <v>46325</v>
      </c>
      <c r="B125" s="1537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36">
        <v>46325</v>
      </c>
      <c r="B126" s="1537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36">
        <v>46351</v>
      </c>
      <c r="B127" s="1537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36">
        <v>46352</v>
      </c>
      <c r="B128" s="1537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36">
        <v>46353</v>
      </c>
      <c r="B129" s="1537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36">
        <v>46354</v>
      </c>
      <c r="B130" s="1537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36">
        <v>46355</v>
      </c>
      <c r="B131" s="1537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36">
        <v>46356</v>
      </c>
      <c r="B132" s="1537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36">
        <v>46357</v>
      </c>
      <c r="B133" s="1537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36">
        <v>46358</v>
      </c>
      <c r="B134" s="1537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36">
        <v>46359</v>
      </c>
      <c r="B135" s="1537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36">
        <v>46360</v>
      </c>
      <c r="B136" s="1537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36">
        <v>46361</v>
      </c>
      <c r="B137" s="1537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36">
        <v>46362</v>
      </c>
      <c r="B138" s="1537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36">
        <v>46363</v>
      </c>
      <c r="B139" s="1537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36">
        <v>46364</v>
      </c>
      <c r="B140" s="1537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36">
        <v>46365</v>
      </c>
      <c r="B141" s="1537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536">
        <v>46366</v>
      </c>
      <c r="B142" s="1537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536">
        <v>46367</v>
      </c>
      <c r="B143" s="1537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536">
        <v>46368</v>
      </c>
      <c r="B144" s="1537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536">
        <v>46369</v>
      </c>
      <c r="B145" s="1537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536">
        <v>46370</v>
      </c>
      <c r="B146" s="1537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536">
        <v>46371</v>
      </c>
      <c r="B147" s="1537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536">
        <v>46372</v>
      </c>
      <c r="B148" s="1537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536">
        <v>46373</v>
      </c>
      <c r="B149" s="1537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536">
        <v>46374</v>
      </c>
      <c r="B150" s="1537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536">
        <v>46375</v>
      </c>
      <c r="B151" s="1537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536">
        <v>46376</v>
      </c>
      <c r="B152" s="1537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536">
        <v>46377</v>
      </c>
      <c r="B153" s="1537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536">
        <v>46378</v>
      </c>
      <c r="B154" s="1537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536">
        <v>46379</v>
      </c>
      <c r="B155" s="1537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536">
        <v>46380</v>
      </c>
      <c r="B156" s="1537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536">
        <v>46381</v>
      </c>
      <c r="B157" s="1537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536">
        <v>46382</v>
      </c>
      <c r="B158" s="1537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536">
        <v>46383</v>
      </c>
      <c r="B159" s="1537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536">
        <v>46384</v>
      </c>
      <c r="B160" s="1537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536">
        <v>46385</v>
      </c>
      <c r="B161" s="1537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536">
        <v>46386</v>
      </c>
      <c r="B162" s="1537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536">
        <v>46387</v>
      </c>
      <c r="B163" s="1537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536">
        <v>46388</v>
      </c>
      <c r="B164" s="1537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536">
        <v>46389</v>
      </c>
      <c r="B165" s="1537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536">
        <v>46390</v>
      </c>
      <c r="B166" s="1537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536">
        <v>46391</v>
      </c>
      <c r="B167" s="1537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536">
        <v>46392</v>
      </c>
      <c r="B168" s="1537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536">
        <v>46393</v>
      </c>
      <c r="B169" s="1537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536">
        <v>46394</v>
      </c>
      <c r="B170" s="1537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536">
        <v>46395</v>
      </c>
      <c r="B171" s="1537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536">
        <v>46396</v>
      </c>
      <c r="B172" s="1537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536">
        <v>46397</v>
      </c>
      <c r="B173" s="1537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536">
        <v>46398</v>
      </c>
      <c r="B174" s="1537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536">
        <v>46399</v>
      </c>
      <c r="B175" s="1537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536">
        <v>46400</v>
      </c>
      <c r="B176" s="1537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536">
        <v>46401</v>
      </c>
      <c r="B177" s="1537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536">
        <v>46402</v>
      </c>
      <c r="B178" s="1537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536">
        <v>46403</v>
      </c>
      <c r="B179" s="1537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2"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50:B50"/>
    <mergeCell ref="A41:B41"/>
    <mergeCell ref="A42:B42"/>
    <mergeCell ref="A68:B68"/>
    <mergeCell ref="A26:B26"/>
    <mergeCell ref="A27:B27"/>
    <mergeCell ref="A28:B28"/>
    <mergeCell ref="A33:B33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I28:I33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I74:I77"/>
  </mergeCells>
  <phoneticPr fontId="103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32" zoomScale="85" zoomScaleNormal="85" workbookViewId="0">
      <selection activeCell="R126" sqref="R126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348" t="s">
        <v>70</v>
      </c>
      <c r="C3" s="1348" t="s">
        <v>288</v>
      </c>
      <c r="D3" s="1348" t="s">
        <v>289</v>
      </c>
      <c r="E3" s="220" t="s">
        <v>292</v>
      </c>
      <c r="F3" s="220" t="s">
        <v>293</v>
      </c>
      <c r="G3" s="1331" t="s">
        <v>252</v>
      </c>
      <c r="H3" s="1332"/>
      <c r="I3" s="1332"/>
      <c r="J3" s="1333"/>
      <c r="K3" s="1340" t="s">
        <v>259</v>
      </c>
    </row>
    <row r="4" spans="2:20" x14ac:dyDescent="0.3">
      <c r="B4" s="1357"/>
      <c r="C4" s="1357"/>
      <c r="D4" s="1357"/>
      <c r="E4" s="221" t="s">
        <v>54</v>
      </c>
      <c r="F4" s="221" t="s">
        <v>294</v>
      </c>
      <c r="G4" s="1331" t="s">
        <v>265</v>
      </c>
      <c r="H4" s="1332"/>
      <c r="I4" s="1333"/>
      <c r="J4" s="131" t="s">
        <v>258</v>
      </c>
      <c r="K4" s="1340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349"/>
      <c r="C5" s="1349"/>
      <c r="D5" s="1349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340"/>
      <c r="O5" s="482" t="s">
        <v>479</v>
      </c>
      <c r="P5" s="1469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470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470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471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466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467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467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468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469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470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470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470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470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471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466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467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534</v>
      </c>
      <c r="P21" s="1467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 t="e">
        <f>AVERAGE(R128:R133)</f>
        <v>#DIV/0!</v>
      </c>
      <c r="H22" s="13" t="e">
        <f t="shared" ref="H22:I22" si="16">AVERAGE(S128:S133)</f>
        <v>#DIV/0!</v>
      </c>
      <c r="I22" s="13" t="e">
        <f t="shared" si="16"/>
        <v>#DIV/0!</v>
      </c>
      <c r="J22" s="13"/>
      <c r="K22" s="13"/>
      <c r="O22" s="487" t="s">
        <v>479</v>
      </c>
      <c r="P22" s="1467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467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467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467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467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468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469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470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470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470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470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471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466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467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467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467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467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467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467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467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468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88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89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89"/>
      <c r="Q45" s="952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89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89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90"/>
      <c r="Q48" s="952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469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470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470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470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470"/>
      <c r="Q53" s="895">
        <v>46284</v>
      </c>
      <c r="R53" s="1073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470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470"/>
      <c r="Q55" s="895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470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471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88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89"/>
      <c r="Q59" s="952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89"/>
      <c r="Q60" s="952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89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89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89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89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89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89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90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469">
        <v>10</v>
      </c>
      <c r="Q68" s="895">
        <v>46290</v>
      </c>
      <c r="R68" s="615"/>
      <c r="S68" s="615"/>
      <c r="T68" s="615"/>
    </row>
    <row r="69" spans="15:20" x14ac:dyDescent="0.3">
      <c r="O69" s="482" t="s">
        <v>533</v>
      </c>
      <c r="P69" s="1470"/>
      <c r="Q69" s="895">
        <v>46290</v>
      </c>
      <c r="R69" s="615"/>
      <c r="S69" s="615"/>
      <c r="T69" s="615"/>
    </row>
    <row r="70" spans="15:20" x14ac:dyDescent="0.3">
      <c r="O70" s="482" t="s">
        <v>534</v>
      </c>
      <c r="P70" s="1470"/>
      <c r="Q70" s="895">
        <v>46290</v>
      </c>
      <c r="R70" s="615"/>
      <c r="S70" s="615"/>
      <c r="T70" s="615"/>
    </row>
    <row r="71" spans="15:20" x14ac:dyDescent="0.3">
      <c r="O71" s="579" t="s">
        <v>479</v>
      </c>
      <c r="P71" s="1470"/>
      <c r="Q71" s="895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470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470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470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470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470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470"/>
      <c r="Q77" s="895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470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471"/>
      <c r="Q79" s="895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88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89"/>
      <c r="Q81" s="952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89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89"/>
      <c r="Q83" s="952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89"/>
      <c r="Q84" s="952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89"/>
      <c r="Q85" s="952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89"/>
      <c r="Q86" s="952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89"/>
      <c r="Q87" s="952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89"/>
      <c r="Q88" s="952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89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89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89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89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89"/>
      <c r="Q93" s="952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89"/>
      <c r="Q94" s="952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89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89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89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89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89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90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469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470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470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470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470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471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88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89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89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89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89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481</v>
      </c>
      <c r="P112" s="1489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799</v>
      </c>
    </row>
    <row r="113" spans="13:22" ht="14.4" customHeight="1" x14ac:dyDescent="0.3">
      <c r="M113" s="1234"/>
      <c r="N113" s="1235"/>
      <c r="O113" s="1236" t="s">
        <v>479</v>
      </c>
      <c r="P113" s="1557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480</v>
      </c>
      <c r="P114" s="1470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470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470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470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470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89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89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481</v>
      </c>
      <c r="P121" s="1489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479</v>
      </c>
      <c r="P122" s="1499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480</v>
      </c>
      <c r="P123" s="1499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481</v>
      </c>
      <c r="P124" s="1499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532</v>
      </c>
      <c r="P125" s="1499"/>
      <c r="Q125" s="1106" t="s">
        <v>800</v>
      </c>
      <c r="R125" s="1106"/>
      <c r="S125" s="1106"/>
      <c r="T125" s="1106"/>
    </row>
    <row r="126" spans="13:22" x14ac:dyDescent="0.3">
      <c r="O126" s="667" t="s">
        <v>533</v>
      </c>
      <c r="P126" s="1499"/>
      <c r="Q126" s="1106" t="s">
        <v>800</v>
      </c>
      <c r="R126" s="1106"/>
      <c r="S126" s="1106"/>
      <c r="T126" s="1106"/>
    </row>
    <row r="127" spans="13:22" x14ac:dyDescent="0.3">
      <c r="O127" s="667" t="s">
        <v>534</v>
      </c>
      <c r="P127" s="1500"/>
      <c r="Q127" s="1106" t="s">
        <v>800</v>
      </c>
      <c r="R127" s="1106"/>
      <c r="S127" s="1106"/>
      <c r="T127" s="1106"/>
    </row>
    <row r="128" spans="13:22" x14ac:dyDescent="0.3">
      <c r="O128" s="451" t="s">
        <v>532</v>
      </c>
      <c r="P128" s="1459">
        <v>17</v>
      </c>
      <c r="Q128" s="452" t="s">
        <v>821</v>
      </c>
      <c r="R128" s="452"/>
      <c r="S128" s="452"/>
      <c r="T128" s="452"/>
    </row>
    <row r="129" spans="15:20" x14ac:dyDescent="0.3">
      <c r="O129" s="451" t="s">
        <v>533</v>
      </c>
      <c r="P129" s="1460"/>
      <c r="Q129" s="452" t="s">
        <v>821</v>
      </c>
      <c r="R129" s="452"/>
      <c r="S129" s="452"/>
      <c r="T129" s="452"/>
    </row>
    <row r="130" spans="15:20" x14ac:dyDescent="0.3">
      <c r="O130" s="451" t="s">
        <v>534</v>
      </c>
      <c r="P130" s="1460"/>
      <c r="Q130" s="452" t="s">
        <v>821</v>
      </c>
      <c r="R130" s="452"/>
      <c r="S130" s="452"/>
      <c r="T130" s="452"/>
    </row>
    <row r="131" spans="15:20" x14ac:dyDescent="0.3">
      <c r="O131" s="451" t="s">
        <v>479</v>
      </c>
      <c r="P131" s="1460"/>
      <c r="Q131" s="452" t="s">
        <v>821</v>
      </c>
      <c r="R131" s="452"/>
      <c r="S131" s="452"/>
      <c r="T131" s="452"/>
    </row>
    <row r="132" spans="15:20" x14ac:dyDescent="0.3">
      <c r="O132" s="451" t="s">
        <v>480</v>
      </c>
      <c r="P132" s="1460"/>
      <c r="Q132" s="452" t="s">
        <v>821</v>
      </c>
      <c r="R132" s="452"/>
      <c r="S132" s="452"/>
      <c r="T132" s="452"/>
    </row>
    <row r="133" spans="15:20" x14ac:dyDescent="0.3">
      <c r="O133" s="1205" t="s">
        <v>481</v>
      </c>
      <c r="P133" s="1461"/>
      <c r="Q133" s="452" t="s">
        <v>821</v>
      </c>
      <c r="R133" s="452"/>
      <c r="S133" s="452"/>
      <c r="T133" s="452"/>
    </row>
    <row r="134" spans="15:20" x14ac:dyDescent="0.3">
      <c r="O134" s="1247" t="s">
        <v>479</v>
      </c>
      <c r="P134" s="1554">
        <v>18</v>
      </c>
      <c r="Q134" s="1313" t="s">
        <v>863</v>
      </c>
      <c r="R134" s="1313">
        <v>6.9000000000000006E-2</v>
      </c>
      <c r="S134" s="1313">
        <v>0.06</v>
      </c>
      <c r="T134" s="1313">
        <v>12.928000000000001</v>
      </c>
    </row>
    <row r="135" spans="15:20" x14ac:dyDescent="0.3">
      <c r="O135" s="1247" t="s">
        <v>480</v>
      </c>
      <c r="P135" s="1555"/>
      <c r="Q135" s="1313" t="s">
        <v>863</v>
      </c>
      <c r="R135" s="1313">
        <v>9.4E-2</v>
      </c>
      <c r="S135" s="1313">
        <v>0.14000000000000001</v>
      </c>
      <c r="T135" s="1313">
        <v>11.920999999999999</v>
      </c>
    </row>
    <row r="136" spans="15:20" ht="15" thickBot="1" x14ac:dyDescent="0.35">
      <c r="O136" s="1328" t="s">
        <v>481</v>
      </c>
      <c r="P136" s="1555"/>
      <c r="Q136" s="1313" t="s">
        <v>863</v>
      </c>
      <c r="R136" s="1313">
        <v>4.5999999999999999E-2</v>
      </c>
      <c r="S136" s="1313">
        <v>0.21</v>
      </c>
      <c r="T136" s="1313">
        <v>12.256</v>
      </c>
    </row>
    <row r="137" spans="15:20" x14ac:dyDescent="0.3">
      <c r="O137" s="1247" t="s">
        <v>482</v>
      </c>
      <c r="P137" s="1555"/>
      <c r="Q137" s="1313" t="s">
        <v>863</v>
      </c>
      <c r="R137" s="1313">
        <v>2.1000000000000001E-2</v>
      </c>
      <c r="S137" s="1313">
        <v>0.1</v>
      </c>
      <c r="T137" s="1313">
        <v>11.217000000000001</v>
      </c>
    </row>
    <row r="138" spans="15:20" x14ac:dyDescent="0.3">
      <c r="O138" s="1247" t="s">
        <v>864</v>
      </c>
      <c r="P138" s="1555"/>
      <c r="Q138" s="1313" t="s">
        <v>863</v>
      </c>
      <c r="R138" s="1313">
        <v>6.5000000000000002E-2</v>
      </c>
      <c r="S138" s="1313">
        <v>0.14000000000000001</v>
      </c>
      <c r="T138" s="1313">
        <v>11.058</v>
      </c>
    </row>
    <row r="139" spans="15:20" ht="15" thickBot="1" x14ac:dyDescent="0.35">
      <c r="O139" s="1328" t="s">
        <v>865</v>
      </c>
      <c r="P139" s="1555"/>
      <c r="Q139" s="1313" t="s">
        <v>863</v>
      </c>
      <c r="R139" s="1313">
        <v>1.0999999999999999E-2</v>
      </c>
      <c r="S139" s="1313">
        <v>0.28999999999999998</v>
      </c>
      <c r="T139" s="1313">
        <v>12.805</v>
      </c>
    </row>
    <row r="140" spans="15:20" x14ac:dyDescent="0.3">
      <c r="O140" s="1247" t="s">
        <v>866</v>
      </c>
      <c r="P140" s="1555"/>
      <c r="Q140" s="1313" t="s">
        <v>863</v>
      </c>
      <c r="R140" s="1313">
        <v>4.4999999999999998E-2</v>
      </c>
      <c r="S140" s="1313">
        <v>0.17</v>
      </c>
      <c r="T140" s="1313">
        <v>13.144</v>
      </c>
    </row>
    <row r="141" spans="15:20" x14ac:dyDescent="0.3">
      <c r="O141" s="1247" t="s">
        <v>867</v>
      </c>
      <c r="P141" s="1556"/>
      <c r="Q141" s="1313" t="s">
        <v>863</v>
      </c>
      <c r="R141" s="1313">
        <v>0.09</v>
      </c>
      <c r="S141" s="1313">
        <v>0.18</v>
      </c>
      <c r="T141" s="1313">
        <v>11.853999999999999</v>
      </c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4"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34:P141"/>
    <mergeCell ref="P128:P133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</mergeCells>
  <phoneticPr fontId="103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B47" zoomScale="89" workbookViewId="0">
      <selection activeCell="E65" sqref="E65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67" t="s">
        <v>561</v>
      </c>
      <c r="C2" s="1367"/>
      <c r="D2" s="1367"/>
      <c r="E2" s="1367"/>
      <c r="F2" s="1367"/>
      <c r="G2" s="1367"/>
      <c r="H2" s="1367"/>
      <c r="J2" s="1367" t="s">
        <v>562</v>
      </c>
      <c r="K2" s="1367"/>
      <c r="L2" s="1367"/>
      <c r="M2" s="1367"/>
      <c r="N2" s="1367"/>
      <c r="O2" s="1367"/>
      <c r="P2" s="1367"/>
      <c r="R2" s="1558" t="s">
        <v>563</v>
      </c>
      <c r="S2" s="1560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4" t="s">
        <v>567</v>
      </c>
      <c r="O3" s="14" t="s">
        <v>558</v>
      </c>
      <c r="P3" s="383" t="s">
        <v>568</v>
      </c>
      <c r="R3" s="953" t="s">
        <v>564</v>
      </c>
      <c r="S3" s="954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58" t="s">
        <v>566</v>
      </c>
      <c r="S10" s="1559"/>
      <c r="T10" s="1560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61">
        <f>SUM(P4:P234,H4:H233)</f>
        <v>5584.26</v>
      </c>
      <c r="S11" s="1562"/>
      <c r="T11" s="1563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565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565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565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565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564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564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564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64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64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64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64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64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64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64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64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13"/>
      <c r="H54" s="668">
        <f t="shared" si="7"/>
        <v>48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13"/>
      <c r="H55" s="668">
        <f t="shared" si="7"/>
        <v>78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13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13"/>
      <c r="H56" s="668">
        <f t="shared" si="7"/>
        <v>42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13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13"/>
      <c r="H57" s="668">
        <f t="shared" si="7"/>
        <v>48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13">
        <f t="shared" si="14"/>
        <v>157.44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13">
        <f t="shared" si="14"/>
        <v>59.040000000000006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13">
        <f t="shared" si="14"/>
        <v>29.160000000000004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13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67" si="17">M61*$S$4</f>
        <v>0</v>
      </c>
      <c r="O61" s="13"/>
      <c r="P61" s="13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13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13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9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9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9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9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9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9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9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9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9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9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9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9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9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9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9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9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9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9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9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9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9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0">E101*$R$4</f>
        <v>0</v>
      </c>
      <c r="G101" s="13"/>
      <c r="H101" s="668">
        <f t="shared" si="19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0"/>
        <v>0</v>
      </c>
      <c r="G102" s="13"/>
      <c r="H102" s="668">
        <f t="shared" si="19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0"/>
        <v>0</v>
      </c>
      <c r="G103" s="13"/>
      <c r="H103" s="668">
        <f t="shared" si="19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0"/>
        <v>0</v>
      </c>
      <c r="G104" s="13"/>
      <c r="H104" s="668">
        <f t="shared" si="19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0"/>
        <v>0</v>
      </c>
      <c r="G105" s="13"/>
      <c r="H105" s="668">
        <f t="shared" si="19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0"/>
        <v>0</v>
      </c>
      <c r="G106" s="13"/>
      <c r="H106" s="668">
        <f t="shared" si="19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0"/>
        <v>0</v>
      </c>
      <c r="G107" s="13"/>
      <c r="H107" s="668">
        <f t="shared" si="19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0"/>
        <v>0</v>
      </c>
      <c r="G108" s="13"/>
      <c r="H108" s="668">
        <f t="shared" si="19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0"/>
        <v>0</v>
      </c>
      <c r="G109" s="13"/>
      <c r="H109" s="668">
        <f t="shared" si="19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0"/>
        <v>0</v>
      </c>
      <c r="G110" s="13"/>
      <c r="H110" s="668">
        <f t="shared" si="19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0"/>
        <v>0</v>
      </c>
      <c r="G111" s="13"/>
      <c r="H111" s="668">
        <f t="shared" si="19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0"/>
        <v>0</v>
      </c>
      <c r="G112" s="13"/>
      <c r="H112" s="668">
        <f t="shared" si="19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0"/>
        <v>0</v>
      </c>
      <c r="G113" s="13"/>
      <c r="H113" s="668">
        <f t="shared" si="19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0"/>
        <v>0</v>
      </c>
      <c r="G114" s="13"/>
      <c r="H114" s="668">
        <f t="shared" si="19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0"/>
        <v>0</v>
      </c>
      <c r="G115" s="13"/>
      <c r="H115" s="668">
        <f t="shared" si="19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0"/>
        <v>0</v>
      </c>
      <c r="G116" s="13"/>
      <c r="H116" s="668">
        <f t="shared" si="19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0"/>
        <v>0</v>
      </c>
      <c r="G117" s="13"/>
      <c r="H117" s="668">
        <f t="shared" si="19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0"/>
        <v>0</v>
      </c>
      <c r="G118" s="13"/>
      <c r="H118" s="668">
        <f t="shared" si="19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0"/>
        <v>0</v>
      </c>
      <c r="G119" s="13"/>
      <c r="H119" s="668">
        <f t="shared" si="19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0"/>
        <v>0</v>
      </c>
      <c r="G120" s="13"/>
      <c r="H120" s="668">
        <f t="shared" si="19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0"/>
        <v>0</v>
      </c>
      <c r="G121" s="13"/>
      <c r="H121" s="668">
        <f t="shared" si="19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0"/>
        <v>0</v>
      </c>
      <c r="G122" s="13"/>
      <c r="H122" s="668">
        <f t="shared" si="19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0"/>
        <v>0</v>
      </c>
      <c r="G123" s="13"/>
      <c r="H123" s="668">
        <f t="shared" si="19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0"/>
        <v>0</v>
      </c>
      <c r="G124" s="13"/>
      <c r="H124" s="668">
        <f t="shared" si="19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0"/>
        <v>0</v>
      </c>
      <c r="G125" s="13"/>
      <c r="H125" s="668">
        <f t="shared" si="19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0"/>
        <v>0</v>
      </c>
      <c r="G126" s="13"/>
      <c r="H126" s="668">
        <f t="shared" si="19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D270" zoomScale="77" zoomScaleNormal="55" workbookViewId="0">
      <selection activeCell="T241" sqref="T241:T30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566" t="s">
        <v>663</v>
      </c>
      <c r="C2" s="1567"/>
      <c r="D2" s="1567"/>
      <c r="E2" s="1567"/>
      <c r="F2" s="1567"/>
      <c r="G2" s="1567"/>
      <c r="H2" s="1567"/>
      <c r="I2" s="1567"/>
      <c r="J2" s="1567"/>
      <c r="K2" s="1567"/>
      <c r="L2" s="1567"/>
      <c r="M2" s="1568"/>
      <c r="AD2" s="13">
        <v>2</v>
      </c>
      <c r="AE2" s="13">
        <v>7.5999999999999998E-2</v>
      </c>
    </row>
    <row r="3" spans="2:31" ht="15" thickBot="1" x14ac:dyDescent="0.35">
      <c r="B3" s="1566" t="s">
        <v>197</v>
      </c>
      <c r="C3" s="1567"/>
      <c r="D3" s="1567"/>
      <c r="E3" s="1567"/>
      <c r="F3" s="1567"/>
      <c r="G3" s="1567"/>
      <c r="H3" s="1567"/>
      <c r="I3" s="1567"/>
      <c r="J3" s="1567"/>
      <c r="K3" s="1567"/>
      <c r="L3" s="1567"/>
      <c r="M3" s="1568"/>
      <c r="AD3" s="13">
        <v>3</v>
      </c>
      <c r="AE3" s="13">
        <v>9.2999999999999999E-2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9.9000000000000005E-2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13">
        <v>0.14000000000000001</v>
      </c>
    </row>
    <row r="6" spans="2:31" x14ac:dyDescent="0.3">
      <c r="AD6" s="13">
        <v>6</v>
      </c>
      <c r="AE6" s="13">
        <v>0.16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661</v>
      </c>
      <c r="K7" s="1117" t="s">
        <v>370</v>
      </c>
      <c r="L7" s="1117" t="s">
        <v>185</v>
      </c>
      <c r="M7" s="1117" t="s">
        <v>195</v>
      </c>
      <c r="Q7" s="1367" t="s">
        <v>336</v>
      </c>
      <c r="R7" s="1367"/>
      <c r="S7" s="1367"/>
      <c r="T7" s="1367"/>
      <c r="U7" s="1367"/>
      <c r="V7" s="1367"/>
      <c r="AD7" s="13">
        <v>7</v>
      </c>
      <c r="AE7" s="13">
        <v>0.16200000000000001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0.16700000000000001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877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0.71560728744939228</v>
      </c>
      <c r="AA9" s="117"/>
      <c r="AD9" s="13">
        <v>9</v>
      </c>
      <c r="AE9" s="6">
        <v>0.17799999999999999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878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0.60199999999999998</v>
      </c>
      <c r="AD10" s="13">
        <v>10</v>
      </c>
      <c r="AE10" s="13">
        <v>0.17799999999999999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879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6">
        <v>0.17899999999999999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880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2.2559999999999998</v>
      </c>
      <c r="AD12" s="13">
        <v>12</v>
      </c>
      <c r="AE12" s="13">
        <v>0.184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881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4.3111209436808698E-2</v>
      </c>
      <c r="AA13" s="117"/>
      <c r="AD13" s="13">
        <v>13</v>
      </c>
      <c r="AE13" s="13">
        <v>0.20699999999999999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882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0.1136072874493923</v>
      </c>
      <c r="AD14" s="13">
        <v>14</v>
      </c>
      <c r="AE14" s="13">
        <v>0.20799999999999999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883</v>
      </c>
      <c r="S15" s="62">
        <v>46197</v>
      </c>
      <c r="T15" s="6"/>
      <c r="U15" s="6"/>
      <c r="V15" s="6"/>
      <c r="Z15" s="222">
        <f>_xlfn.STDEV.P(T9:T210)</f>
        <v>0.43573722730220643</v>
      </c>
      <c r="AD15" s="13">
        <v>15</v>
      </c>
      <c r="AE15" s="6">
        <v>0.21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884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0.21099999999999999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885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0.21199999999999999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886</v>
      </c>
      <c r="S18" s="62">
        <v>46197</v>
      </c>
      <c r="T18" s="6">
        <v>1.583</v>
      </c>
      <c r="U18" s="6"/>
      <c r="V18" s="6"/>
      <c r="AD18" s="13">
        <v>18</v>
      </c>
      <c r="AE18" s="13">
        <v>0.217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0.23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13">
        <v>0.23100000000000001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0.24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0.24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356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0.24199999999999999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357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0.24299999999999999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358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0.24399999999999999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359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0.249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360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0.251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361</v>
      </c>
      <c r="S28" s="62">
        <v>46176</v>
      </c>
      <c r="T28" s="6">
        <v>1.2350000000000001</v>
      </c>
      <c r="U28" s="6"/>
      <c r="V28" s="6"/>
      <c r="AD28" s="13">
        <v>38</v>
      </c>
      <c r="AE28" s="13">
        <v>0.252</v>
      </c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868</v>
      </c>
      <c r="S29" s="73">
        <v>46251</v>
      </c>
      <c r="T29" s="13">
        <v>1.0349999999999999</v>
      </c>
      <c r="U29" s="6"/>
      <c r="V29" s="6"/>
      <c r="AD29" s="13">
        <v>39</v>
      </c>
      <c r="AE29" s="13">
        <v>0.253</v>
      </c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869</v>
      </c>
      <c r="S30" s="73">
        <v>46251</v>
      </c>
      <c r="T30" s="13">
        <v>0.52600000000000002</v>
      </c>
      <c r="U30" s="6"/>
      <c r="V30" s="6"/>
      <c r="AD30" s="13">
        <v>40</v>
      </c>
      <c r="AE30" s="13">
        <v>0.25700000000000001</v>
      </c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870</v>
      </c>
      <c r="S31" s="73">
        <v>46251</v>
      </c>
      <c r="T31" s="13">
        <v>0.81599999999999995</v>
      </c>
      <c r="U31" s="6"/>
      <c r="V31" s="6"/>
      <c r="AD31" s="13">
        <v>41</v>
      </c>
      <c r="AE31" s="13">
        <v>0.27300000000000002</v>
      </c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871</v>
      </c>
      <c r="S32" s="73">
        <v>46251</v>
      </c>
      <c r="T32" s="13">
        <v>0.34399999999999997</v>
      </c>
      <c r="U32" s="6"/>
      <c r="V32" s="6"/>
      <c r="AD32" s="13">
        <v>42</v>
      </c>
      <c r="AE32" s="13">
        <v>0.27900000000000003</v>
      </c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872</v>
      </c>
      <c r="S33" s="73">
        <v>46251</v>
      </c>
      <c r="T33" s="13">
        <v>0.30399999999999999</v>
      </c>
      <c r="U33" s="6"/>
      <c r="V33" s="6"/>
      <c r="AD33" s="13">
        <v>43</v>
      </c>
      <c r="AE33" s="13">
        <v>0.29399999999999998</v>
      </c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873</v>
      </c>
      <c r="S34" s="73">
        <v>46251</v>
      </c>
      <c r="T34" s="13">
        <v>0.74399999999999999</v>
      </c>
      <c r="U34" s="6"/>
      <c r="V34" s="6"/>
      <c r="AD34" s="13">
        <v>44</v>
      </c>
      <c r="AE34" s="13">
        <v>0.29399999999999998</v>
      </c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874</v>
      </c>
      <c r="S35" s="73">
        <v>46251</v>
      </c>
      <c r="T35" s="13">
        <v>0.56299999999999994</v>
      </c>
      <c r="U35" s="6"/>
      <c r="V35" s="6"/>
      <c r="AD35" s="13">
        <v>45</v>
      </c>
      <c r="AE35" s="13">
        <v>0.29799999999999999</v>
      </c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875</v>
      </c>
      <c r="S36" s="73">
        <v>46251</v>
      </c>
      <c r="T36" s="13">
        <v>0.438</v>
      </c>
      <c r="U36" s="6"/>
      <c r="V36" s="6"/>
      <c r="AD36" s="13">
        <v>46</v>
      </c>
      <c r="AE36" s="13">
        <v>0.30199999999999999</v>
      </c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13">
        <v>29</v>
      </c>
      <c r="R37" s="208" t="s">
        <v>876</v>
      </c>
      <c r="S37" s="73">
        <v>46251</v>
      </c>
      <c r="T37" s="13">
        <v>0.45800000000000002</v>
      </c>
      <c r="U37" s="6"/>
      <c r="V37" s="6"/>
      <c r="AD37" s="13">
        <v>47</v>
      </c>
      <c r="AE37" s="13">
        <v>0.30399999999999999</v>
      </c>
    </row>
    <row r="38" spans="2:38" x14ac:dyDescent="0.3">
      <c r="B38" s="131" t="s">
        <v>121</v>
      </c>
      <c r="C38" s="1069"/>
      <c r="D38" s="131"/>
      <c r="E38" s="131"/>
      <c r="F38" s="131"/>
      <c r="G38" s="131"/>
      <c r="H38" s="361"/>
      <c r="I38" s="396">
        <f>AVERAGE(I8:I37)</f>
        <v>1.3339999999999999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2"/>
      <c r="Q38" s="13">
        <v>30</v>
      </c>
      <c r="R38" s="208" t="s">
        <v>382</v>
      </c>
      <c r="S38" s="73">
        <v>46252</v>
      </c>
      <c r="T38" s="13">
        <v>0.55800000000000005</v>
      </c>
      <c r="U38" s="6"/>
      <c r="V38" s="6"/>
      <c r="AD38" s="13">
        <v>48</v>
      </c>
      <c r="AE38" s="13">
        <v>0.308</v>
      </c>
      <c r="AG38" s="1569"/>
      <c r="AH38" s="1570"/>
      <c r="AI38" s="1570"/>
      <c r="AJ38" s="1570"/>
      <c r="AK38" s="1570"/>
      <c r="AL38" s="1571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SUM(J8:J37)</f>
        <v>7924.5800000000017</v>
      </c>
      <c r="K39" s="367">
        <f>SUM(K8:K30)</f>
        <v>2581.8000000000002</v>
      </c>
      <c r="L39" s="396">
        <f>MEDIAN(L8:L22)</f>
        <v>1.1100000000000001</v>
      </c>
      <c r="M39" s="367">
        <f>L39*J39</f>
        <v>8796.2838000000029</v>
      </c>
      <c r="N39" s="1107"/>
      <c r="O39" s="1112"/>
      <c r="Q39" s="13">
        <v>31</v>
      </c>
      <c r="R39" s="208" t="s">
        <v>383</v>
      </c>
      <c r="S39" s="73">
        <v>46252</v>
      </c>
      <c r="T39" s="13">
        <v>0.501</v>
      </c>
      <c r="U39" s="208"/>
      <c r="V39" s="208"/>
      <c r="AD39" s="13">
        <v>49</v>
      </c>
      <c r="AE39" s="13">
        <v>0.309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13">
        <v>32</v>
      </c>
      <c r="R40" s="208" t="s">
        <v>384</v>
      </c>
      <c r="S40" s="73">
        <v>46252</v>
      </c>
      <c r="T40" s="13">
        <v>1.25</v>
      </c>
      <c r="U40" s="208"/>
      <c r="V40" s="208"/>
      <c r="Y40" s="2"/>
      <c r="AD40" s="13">
        <v>50</v>
      </c>
      <c r="AE40" s="13">
        <v>0.31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8">
        <f>M38/J39</f>
        <v>1.0501711194788872</v>
      </c>
      <c r="N41" s="222"/>
      <c r="Q41" s="13">
        <v>33</v>
      </c>
      <c r="R41" s="208" t="s">
        <v>388</v>
      </c>
      <c r="S41" s="73">
        <v>46253</v>
      </c>
      <c r="T41" s="13">
        <v>0.35099999999999998</v>
      </c>
      <c r="U41" s="208"/>
      <c r="V41" s="208"/>
      <c r="AD41" s="13">
        <v>51</v>
      </c>
      <c r="AE41" s="13">
        <v>0.313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13">
        <v>34</v>
      </c>
      <c r="R42" s="208" t="s">
        <v>389</v>
      </c>
      <c r="S42" s="73">
        <v>46253</v>
      </c>
      <c r="T42" s="13">
        <v>2.028</v>
      </c>
      <c r="U42" s="208"/>
      <c r="V42" s="208"/>
      <c r="AD42" s="13">
        <v>52</v>
      </c>
      <c r="AE42" s="13">
        <v>0.318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13">
        <v>35</v>
      </c>
      <c r="R43" s="208" t="s">
        <v>390</v>
      </c>
      <c r="S43" s="73">
        <v>46253</v>
      </c>
      <c r="T43" s="13">
        <v>1.8380000000000001</v>
      </c>
      <c r="U43" s="208"/>
      <c r="V43" s="208"/>
      <c r="AD43" s="13">
        <v>53</v>
      </c>
      <c r="AE43" s="13">
        <v>0.32300000000000001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13">
        <v>36</v>
      </c>
      <c r="R44" s="208" t="s">
        <v>391</v>
      </c>
      <c r="S44" s="73">
        <v>46253</v>
      </c>
      <c r="T44" s="13">
        <v>1.3220000000000001</v>
      </c>
      <c r="U44" s="208"/>
      <c r="V44" s="208"/>
      <c r="AD44" s="13">
        <v>54</v>
      </c>
      <c r="AE44" s="13">
        <v>0.32600000000000001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13">
        <v>37</v>
      </c>
      <c r="R45" s="208" t="s">
        <v>392</v>
      </c>
      <c r="S45" s="262">
        <v>46253</v>
      </c>
      <c r="T45" s="208">
        <v>0.65100000000000002</v>
      </c>
      <c r="U45" s="208"/>
      <c r="V45" s="208"/>
      <c r="AD45" s="13">
        <v>55</v>
      </c>
      <c r="AE45" s="13">
        <v>0.32700000000000001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13">
        <v>38</v>
      </c>
      <c r="R46" s="208" t="s">
        <v>393</v>
      </c>
      <c r="S46" s="262">
        <v>46253</v>
      </c>
      <c r="T46" s="208">
        <v>0.50600000000000001</v>
      </c>
      <c r="U46" s="208"/>
      <c r="V46" s="208"/>
      <c r="AD46" s="13">
        <v>56</v>
      </c>
      <c r="AE46" s="13">
        <v>0.33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13">
        <v>39</v>
      </c>
      <c r="R47" s="208" t="s">
        <v>394</v>
      </c>
      <c r="S47" s="262">
        <v>46253</v>
      </c>
      <c r="T47" s="208">
        <v>0.67300000000000004</v>
      </c>
      <c r="U47" s="208"/>
      <c r="V47" s="208"/>
      <c r="AD47" s="13">
        <v>57</v>
      </c>
      <c r="AE47" s="6">
        <v>0.33600000000000002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13">
        <v>40</v>
      </c>
      <c r="R48" s="208" t="s">
        <v>395</v>
      </c>
      <c r="S48" s="262">
        <v>46253</v>
      </c>
      <c r="T48" s="208">
        <v>0.66200000000000003</v>
      </c>
      <c r="U48" s="208"/>
      <c r="V48" s="208"/>
      <c r="AD48" s="13">
        <v>58</v>
      </c>
      <c r="AE48" s="13">
        <v>0.33700000000000002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13">
        <v>41</v>
      </c>
      <c r="R49" s="208" t="s">
        <v>396</v>
      </c>
      <c r="S49" s="262">
        <v>46253</v>
      </c>
      <c r="T49" s="208">
        <v>0.55500000000000005</v>
      </c>
      <c r="U49" s="208"/>
      <c r="V49" s="208"/>
      <c r="AD49" s="13">
        <v>59</v>
      </c>
      <c r="AE49" s="13">
        <v>0.34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13">
        <v>42</v>
      </c>
      <c r="R50" s="208" t="s">
        <v>397</v>
      </c>
      <c r="S50" s="262">
        <v>46253</v>
      </c>
      <c r="T50" s="208">
        <v>0.81299999999999994</v>
      </c>
      <c r="U50" s="208"/>
      <c r="V50" s="208"/>
      <c r="AD50" s="13">
        <v>60</v>
      </c>
      <c r="AE50" s="13">
        <v>0.34200000000000003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13">
        <v>43</v>
      </c>
      <c r="R51" s="208" t="s">
        <v>398</v>
      </c>
      <c r="S51" s="262">
        <v>46253</v>
      </c>
      <c r="T51" s="208">
        <v>1.147</v>
      </c>
      <c r="U51" s="208"/>
      <c r="V51" s="208"/>
      <c r="AD51" s="13">
        <v>61</v>
      </c>
      <c r="AE51" s="13">
        <v>0.34200000000000003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13">
        <v>44</v>
      </c>
      <c r="R52" s="208" t="s">
        <v>399</v>
      </c>
      <c r="S52" s="262">
        <v>46253</v>
      </c>
      <c r="T52" s="208">
        <v>1.9410000000000001</v>
      </c>
      <c r="U52" s="208"/>
      <c r="V52" s="208"/>
      <c r="AD52" s="13">
        <v>62</v>
      </c>
      <c r="AE52" s="13">
        <v>0.34300000000000003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13">
        <v>45</v>
      </c>
      <c r="R53" s="208" t="s">
        <v>400</v>
      </c>
      <c r="S53" s="262">
        <v>46253</v>
      </c>
      <c r="T53" s="208">
        <v>0.48899999999999999</v>
      </c>
      <c r="U53" s="208"/>
      <c r="V53" s="208"/>
      <c r="AD53" s="13">
        <v>63</v>
      </c>
      <c r="AE53" s="13">
        <v>0.35099999999999998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13">
        <v>46</v>
      </c>
      <c r="R54" s="208" t="s">
        <v>401</v>
      </c>
      <c r="S54" s="262">
        <v>46253</v>
      </c>
      <c r="T54" s="208">
        <v>0.55600000000000005</v>
      </c>
      <c r="U54" s="208"/>
      <c r="V54" s="208"/>
      <c r="AD54" s="13">
        <v>64</v>
      </c>
      <c r="AE54" s="13">
        <v>0.35099999999999998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13">
        <v>47</v>
      </c>
      <c r="R55" s="208" t="s">
        <v>402</v>
      </c>
      <c r="S55" s="262">
        <v>46253</v>
      </c>
      <c r="T55" s="208"/>
      <c r="U55" s="208"/>
      <c r="V55" s="208"/>
      <c r="AD55" s="13">
        <v>65</v>
      </c>
      <c r="AE55" s="13">
        <v>0.35299999999999998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13">
        <v>48</v>
      </c>
      <c r="R56" s="208" t="s">
        <v>382</v>
      </c>
      <c r="S56" s="262">
        <v>46253</v>
      </c>
      <c r="T56" s="208">
        <v>0.63200000000000001</v>
      </c>
      <c r="U56" s="208"/>
      <c r="V56" s="208"/>
      <c r="AD56" s="13">
        <v>66</v>
      </c>
      <c r="AE56" s="13">
        <v>0.35599999999999998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13">
        <v>49</v>
      </c>
      <c r="R57" s="208" t="s">
        <v>383</v>
      </c>
      <c r="S57" s="262">
        <v>46253</v>
      </c>
      <c r="T57" s="208">
        <v>1.0429999999999999</v>
      </c>
      <c r="U57" s="208"/>
      <c r="V57" s="208"/>
      <c r="AD57" s="13">
        <v>67</v>
      </c>
      <c r="AE57" s="13">
        <v>0.35699999999999998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13">
        <v>50</v>
      </c>
      <c r="R58" s="208" t="s">
        <v>384</v>
      </c>
      <c r="S58" s="262">
        <v>46253</v>
      </c>
      <c r="T58" s="208">
        <v>1.59</v>
      </c>
      <c r="U58" s="208"/>
      <c r="V58" s="208"/>
      <c r="AD58" s="13">
        <v>68</v>
      </c>
      <c r="AE58" s="13">
        <v>0.36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13">
        <v>51</v>
      </c>
      <c r="R59" s="208" t="s">
        <v>403</v>
      </c>
      <c r="S59" s="262">
        <v>46253</v>
      </c>
      <c r="T59" s="6">
        <v>0.33700000000000002</v>
      </c>
      <c r="U59" s="208"/>
      <c r="V59" s="208"/>
      <c r="AD59" s="13">
        <v>69</v>
      </c>
      <c r="AE59" s="13">
        <v>0.36399999999999999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13">
        <v>52</v>
      </c>
      <c r="R60" s="208" t="s">
        <v>404</v>
      </c>
      <c r="S60" s="262">
        <v>46253</v>
      </c>
      <c r="T60" s="6">
        <v>0.252</v>
      </c>
      <c r="U60" s="208"/>
      <c r="V60" s="208"/>
      <c r="AD60" s="13">
        <v>70</v>
      </c>
      <c r="AE60" s="13">
        <v>0.36699999999999999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13">
        <v>53</v>
      </c>
      <c r="R61" s="208" t="s">
        <v>388</v>
      </c>
      <c r="S61" s="262">
        <v>46254</v>
      </c>
      <c r="T61" s="6">
        <v>0.90500000000000003</v>
      </c>
      <c r="U61" s="208"/>
      <c r="V61" s="208"/>
      <c r="AD61" s="13">
        <v>71</v>
      </c>
      <c r="AE61" s="13">
        <v>0.371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13">
        <v>54</v>
      </c>
      <c r="R62" s="208" t="s">
        <v>390</v>
      </c>
      <c r="S62" s="262">
        <v>46254</v>
      </c>
      <c r="T62" s="6">
        <v>0.91200000000000003</v>
      </c>
      <c r="U62" s="208"/>
      <c r="V62" s="208"/>
      <c r="AD62" s="13">
        <v>72</v>
      </c>
      <c r="AE62" s="13">
        <v>0.373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13">
        <v>55</v>
      </c>
      <c r="R63" s="208" t="s">
        <v>392</v>
      </c>
      <c r="S63" s="262">
        <v>46254</v>
      </c>
      <c r="T63" s="6">
        <v>0.21199999999999999</v>
      </c>
      <c r="U63" s="208"/>
      <c r="V63" s="208"/>
      <c r="AD63" s="13">
        <v>73</v>
      </c>
      <c r="AE63" s="13">
        <v>0.373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13">
        <v>56</v>
      </c>
      <c r="R64" s="208" t="s">
        <v>394</v>
      </c>
      <c r="S64" s="262">
        <v>46254</v>
      </c>
      <c r="T64" s="6">
        <v>0.32300000000000001</v>
      </c>
      <c r="U64" s="208"/>
      <c r="V64" s="208"/>
      <c r="AD64" s="13">
        <v>74</v>
      </c>
      <c r="AE64" s="13">
        <v>0.374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13">
        <v>57</v>
      </c>
      <c r="R65" s="208" t="s">
        <v>396</v>
      </c>
      <c r="S65" s="262">
        <v>46254</v>
      </c>
      <c r="T65" s="6">
        <v>0.63500000000000001</v>
      </c>
      <c r="U65" s="6"/>
      <c r="V65" s="6"/>
      <c r="AD65" s="13">
        <v>75</v>
      </c>
      <c r="AE65" s="13">
        <v>0.379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13">
        <v>58</v>
      </c>
      <c r="R66" s="208" t="s">
        <v>398</v>
      </c>
      <c r="S66" s="262">
        <v>46254</v>
      </c>
      <c r="T66" s="6">
        <v>0.45500000000000002</v>
      </c>
      <c r="U66" s="6"/>
      <c r="V66" s="6"/>
      <c r="AD66" s="13">
        <v>76</v>
      </c>
      <c r="AE66" s="13">
        <v>0.38800000000000001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13">
        <v>59</v>
      </c>
      <c r="R67" s="208" t="s">
        <v>400</v>
      </c>
      <c r="S67" s="262">
        <v>46254</v>
      </c>
      <c r="T67" s="6">
        <v>9.9000000000000005E-2</v>
      </c>
      <c r="U67" s="6"/>
      <c r="V67" s="6"/>
      <c r="AD67" s="13">
        <v>77</v>
      </c>
      <c r="AE67" s="13">
        <v>0.39300000000000002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13">
        <v>60</v>
      </c>
      <c r="R68" s="208" t="s">
        <v>402</v>
      </c>
      <c r="S68" s="262">
        <v>46254</v>
      </c>
      <c r="T68" s="6">
        <v>0.69599999999999995</v>
      </c>
      <c r="U68" s="6"/>
      <c r="V68" s="6"/>
      <c r="AD68" s="13">
        <v>78</v>
      </c>
      <c r="AE68" s="13">
        <v>0.39400000000000002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13">
        <v>61</v>
      </c>
      <c r="R69" s="208" t="s">
        <v>383</v>
      </c>
      <c r="S69" s="262">
        <v>46254</v>
      </c>
      <c r="T69" s="6">
        <v>0.34</v>
      </c>
      <c r="U69" s="6"/>
      <c r="V69" s="6"/>
      <c r="AD69" s="13">
        <v>79</v>
      </c>
      <c r="AE69" s="13">
        <v>0.39500000000000002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13">
        <v>62</v>
      </c>
      <c r="R70" s="208" t="s">
        <v>403</v>
      </c>
      <c r="S70" s="262">
        <v>46254</v>
      </c>
      <c r="T70" s="6">
        <v>0.98199999999999998</v>
      </c>
      <c r="U70" s="6"/>
      <c r="V70" s="6"/>
      <c r="AD70" s="13">
        <v>80</v>
      </c>
      <c r="AE70" s="13">
        <v>0.39700000000000002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13">
        <v>63</v>
      </c>
      <c r="R71" s="208" t="s">
        <v>405</v>
      </c>
      <c r="S71" s="262">
        <v>46254</v>
      </c>
      <c r="T71" s="6">
        <v>1.0880000000000001</v>
      </c>
      <c r="U71" s="6"/>
      <c r="V71" s="6"/>
      <c r="AD71" s="13">
        <v>81</v>
      </c>
      <c r="AE71" s="13">
        <v>0.4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13">
        <v>64</v>
      </c>
      <c r="R72" s="208" t="s">
        <v>388</v>
      </c>
      <c r="S72" s="262">
        <v>46255</v>
      </c>
      <c r="T72" s="6">
        <v>0.57399999999999995</v>
      </c>
      <c r="U72" s="6"/>
      <c r="V72" s="6"/>
      <c r="AD72" s="13">
        <v>82</v>
      </c>
      <c r="AE72" s="13">
        <v>0.40400000000000003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13">
        <v>65</v>
      </c>
      <c r="R73" s="208" t="s">
        <v>390</v>
      </c>
      <c r="S73" s="262">
        <v>46255</v>
      </c>
      <c r="T73" s="6">
        <v>0.35399999999999998</v>
      </c>
      <c r="U73" s="6"/>
      <c r="V73" s="6"/>
      <c r="AD73" s="13">
        <v>83</v>
      </c>
      <c r="AE73" s="13">
        <v>0.40600000000000003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13">
        <v>66</v>
      </c>
      <c r="R74" s="208" t="s">
        <v>392</v>
      </c>
      <c r="S74" s="262">
        <v>46255</v>
      </c>
      <c r="T74" s="6">
        <v>0.80200000000000005</v>
      </c>
      <c r="U74" s="6"/>
      <c r="V74" s="6"/>
      <c r="AD74" s="13">
        <v>84</v>
      </c>
      <c r="AE74" s="13">
        <v>0.41699999999999998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13">
        <v>67</v>
      </c>
      <c r="R75" s="208" t="s">
        <v>394</v>
      </c>
      <c r="S75" s="262">
        <v>46255</v>
      </c>
      <c r="T75" s="6">
        <v>0.16</v>
      </c>
      <c r="U75" s="6"/>
      <c r="V75" s="6"/>
      <c r="AD75" s="13">
        <v>85</v>
      </c>
      <c r="AE75" s="13">
        <v>0.41799999999999998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13">
        <v>68</v>
      </c>
      <c r="R76" s="208" t="s">
        <v>396</v>
      </c>
      <c r="S76" s="262">
        <v>46255</v>
      </c>
      <c r="T76" s="6">
        <v>0.96199999999999997</v>
      </c>
      <c r="U76" s="6"/>
      <c r="V76" s="6"/>
      <c r="AD76" s="13">
        <v>86</v>
      </c>
      <c r="AE76" s="13">
        <v>0.42199999999999999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13">
        <v>69</v>
      </c>
      <c r="R77" s="208" t="s">
        <v>398</v>
      </c>
      <c r="S77" s="262">
        <v>46255</v>
      </c>
      <c r="T77" s="6">
        <v>0.42199999999999999</v>
      </c>
      <c r="U77" s="6"/>
      <c r="V77" s="6"/>
      <c r="AD77" s="13">
        <v>87</v>
      </c>
      <c r="AE77" s="13">
        <v>0.42799999999999999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13">
        <v>70</v>
      </c>
      <c r="R78" s="208" t="s">
        <v>400</v>
      </c>
      <c r="S78" s="262">
        <v>46255</v>
      </c>
      <c r="T78" s="6">
        <v>0.16700000000000001</v>
      </c>
      <c r="U78" s="6"/>
      <c r="V78" s="6"/>
      <c r="AD78" s="13">
        <v>88</v>
      </c>
      <c r="AE78" s="13">
        <v>0.43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13">
        <v>71</v>
      </c>
      <c r="R79" s="208" t="s">
        <v>402</v>
      </c>
      <c r="S79" s="262">
        <v>46255</v>
      </c>
      <c r="T79" s="6">
        <v>0.31</v>
      </c>
      <c r="U79" s="6"/>
      <c r="V79" s="6"/>
      <c r="AD79" s="13">
        <v>89</v>
      </c>
      <c r="AE79" s="13">
        <v>0.438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13">
        <v>72</v>
      </c>
      <c r="R80" s="208" t="s">
        <v>383</v>
      </c>
      <c r="S80" s="262">
        <v>46255</v>
      </c>
      <c r="T80" s="6">
        <v>0.23100000000000001</v>
      </c>
      <c r="U80" s="6"/>
      <c r="V80" s="6"/>
      <c r="AD80" s="13">
        <v>90</v>
      </c>
      <c r="AE80" s="13">
        <v>0.45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13">
        <v>73</v>
      </c>
      <c r="R81" s="208" t="s">
        <v>390</v>
      </c>
      <c r="S81" s="262">
        <v>46256</v>
      </c>
      <c r="T81" s="6"/>
      <c r="U81" s="6"/>
      <c r="V81" s="6"/>
      <c r="AD81" s="13">
        <v>91</v>
      </c>
      <c r="AE81" s="13">
        <v>0.45700000000000002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13">
        <v>74</v>
      </c>
      <c r="R82" s="208" t="s">
        <v>392</v>
      </c>
      <c r="S82" s="262">
        <v>46256</v>
      </c>
      <c r="T82" s="6">
        <v>0.308</v>
      </c>
      <c r="U82" s="6"/>
      <c r="V82" s="6"/>
      <c r="AD82" s="13">
        <v>92</v>
      </c>
      <c r="AE82" s="13">
        <v>0.45800000000000002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13">
        <v>75</v>
      </c>
      <c r="R83" s="208" t="s">
        <v>394</v>
      </c>
      <c r="S83" s="262">
        <v>46256</v>
      </c>
      <c r="T83" s="6">
        <v>0.35099999999999998</v>
      </c>
      <c r="U83" s="6"/>
      <c r="V83" s="6"/>
      <c r="AD83" s="13">
        <v>93</v>
      </c>
      <c r="AE83" s="13">
        <v>0.46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13">
        <v>76</v>
      </c>
      <c r="R84" s="208" t="s">
        <v>396</v>
      </c>
      <c r="S84" s="262">
        <v>46256</v>
      </c>
      <c r="T84" s="6">
        <v>0.751</v>
      </c>
      <c r="U84" s="6"/>
      <c r="V84" s="6"/>
      <c r="AD84" s="13">
        <v>94</v>
      </c>
      <c r="AE84" s="13">
        <v>0.46200000000000002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13">
        <v>77</v>
      </c>
      <c r="R85" s="208" t="s">
        <v>398</v>
      </c>
      <c r="S85" s="262">
        <v>46256</v>
      </c>
      <c r="T85" s="6">
        <v>0.60399999999999998</v>
      </c>
      <c r="U85" s="6"/>
      <c r="V85" s="6"/>
      <c r="AD85" s="13">
        <v>95</v>
      </c>
      <c r="AE85" s="13">
        <v>0.46899999999999997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13">
        <v>78</v>
      </c>
      <c r="R86" s="208" t="s">
        <v>400</v>
      </c>
      <c r="S86" s="262">
        <v>46256</v>
      </c>
      <c r="T86" s="6">
        <v>4.7E-2</v>
      </c>
      <c r="U86" s="6"/>
      <c r="V86" s="6"/>
      <c r="AD86" s="13">
        <v>96</v>
      </c>
      <c r="AE86" s="13">
        <v>0.47699999999999998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13">
        <v>79</v>
      </c>
      <c r="R87" s="208" t="s">
        <v>402</v>
      </c>
      <c r="S87" s="262">
        <v>46256</v>
      </c>
      <c r="T87" s="6">
        <v>0.35699999999999998</v>
      </c>
      <c r="U87" s="6"/>
      <c r="V87" s="6"/>
      <c r="AD87" s="13">
        <v>97</v>
      </c>
      <c r="AE87" s="13">
        <v>0.48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13">
        <v>80</v>
      </c>
      <c r="R88" s="208" t="s">
        <v>383</v>
      </c>
      <c r="S88" s="262">
        <v>46256</v>
      </c>
      <c r="T88" s="6">
        <v>0.40699999999999997</v>
      </c>
      <c r="U88" s="6"/>
      <c r="V88" s="6"/>
      <c r="AD88" s="13">
        <v>98</v>
      </c>
      <c r="AE88" s="13">
        <v>0.48099999999999998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13">
        <v>81</v>
      </c>
      <c r="R89" s="208" t="s">
        <v>403</v>
      </c>
      <c r="S89" s="262">
        <v>46256</v>
      </c>
      <c r="T89" s="6">
        <v>0.318</v>
      </c>
      <c r="U89" s="6"/>
      <c r="V89" s="6"/>
      <c r="AD89" s="13">
        <v>99</v>
      </c>
      <c r="AE89" s="13">
        <v>0.48399999999999999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13">
        <v>82</v>
      </c>
      <c r="R90" s="208" t="s">
        <v>388</v>
      </c>
      <c r="S90" s="262">
        <v>46258</v>
      </c>
      <c r="T90" s="6">
        <v>0.502</v>
      </c>
      <c r="U90" s="6"/>
      <c r="V90" s="6"/>
      <c r="AD90" s="13">
        <v>100</v>
      </c>
      <c r="AE90" s="6">
        <v>0.48799999999999999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13">
        <v>83</v>
      </c>
      <c r="R91" s="208" t="s">
        <v>390</v>
      </c>
      <c r="S91" s="262">
        <v>46258</v>
      </c>
      <c r="T91" s="6">
        <v>0.38800000000000001</v>
      </c>
      <c r="U91" s="6">
        <f>T91*18</f>
        <v>6.984</v>
      </c>
      <c r="V91" s="6"/>
      <c r="AD91" s="13">
        <v>101</v>
      </c>
      <c r="AE91" s="13">
        <v>0.48799999999999999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13">
        <v>84</v>
      </c>
      <c r="R92" s="208" t="s">
        <v>392</v>
      </c>
      <c r="S92" s="262">
        <v>46258</v>
      </c>
      <c r="T92" s="6">
        <v>1.0409999999999999</v>
      </c>
      <c r="U92" s="6">
        <f t="shared" ref="U92:U99" si="5">T92*18</f>
        <v>18.738</v>
      </c>
      <c r="V92" s="6"/>
      <c r="AD92" s="13">
        <v>102</v>
      </c>
      <c r="AE92" s="13">
        <v>0.48899999999999999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13">
        <v>85</v>
      </c>
      <c r="R93" s="208" t="s">
        <v>394</v>
      </c>
      <c r="S93" s="262">
        <v>46258</v>
      </c>
      <c r="T93" s="6">
        <v>1.47</v>
      </c>
      <c r="U93" s="6">
        <f t="shared" si="5"/>
        <v>26.46</v>
      </c>
      <c r="V93" s="6"/>
      <c r="AD93" s="13">
        <v>103</v>
      </c>
      <c r="AE93" s="13">
        <v>0.49399999999999999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13">
        <v>86</v>
      </c>
      <c r="R94" s="208" t="s">
        <v>396</v>
      </c>
      <c r="S94" s="262">
        <v>46258</v>
      </c>
      <c r="T94" s="6"/>
      <c r="U94" s="6">
        <f t="shared" si="5"/>
        <v>0</v>
      </c>
      <c r="V94" s="6"/>
      <c r="AD94" s="13">
        <v>104</v>
      </c>
      <c r="AE94" s="13">
        <v>0.501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13">
        <v>87</v>
      </c>
      <c r="R95" s="208" t="s">
        <v>398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105</v>
      </c>
      <c r="AE95" s="13">
        <v>0.501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13">
        <v>88</v>
      </c>
      <c r="R96" s="208" t="s">
        <v>400</v>
      </c>
      <c r="S96" s="262">
        <v>46258</v>
      </c>
      <c r="T96" s="6">
        <v>0.32600000000000001</v>
      </c>
      <c r="U96" s="6">
        <f t="shared" si="5"/>
        <v>5.8680000000000003</v>
      </c>
      <c r="V96" s="6"/>
      <c r="AD96" s="13">
        <v>106</v>
      </c>
      <c r="AE96" s="13">
        <v>0.502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13">
        <v>89</v>
      </c>
      <c r="R97" s="208" t="s">
        <v>402</v>
      </c>
      <c r="S97" s="262">
        <v>46258</v>
      </c>
      <c r="T97" s="6">
        <v>0.24</v>
      </c>
      <c r="U97" s="6">
        <f t="shared" si="5"/>
        <v>4.32</v>
      </c>
      <c r="V97" s="6"/>
      <c r="AD97" s="13">
        <v>107</v>
      </c>
      <c r="AE97" s="13">
        <v>0.504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13">
        <v>90</v>
      </c>
      <c r="R98" s="208" t="s">
        <v>383</v>
      </c>
      <c r="S98" s="262">
        <v>46258</v>
      </c>
      <c r="T98" s="6">
        <v>1.077</v>
      </c>
      <c r="U98" s="6">
        <f t="shared" si="5"/>
        <v>19.385999999999999</v>
      </c>
      <c r="V98" s="6"/>
      <c r="AD98" s="13">
        <v>108</v>
      </c>
      <c r="AE98" s="13">
        <v>0.50600000000000001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13">
        <v>91</v>
      </c>
      <c r="R99" s="208" t="s">
        <v>396</v>
      </c>
      <c r="S99" s="262">
        <v>46261</v>
      </c>
      <c r="T99" s="6">
        <v>0.253</v>
      </c>
      <c r="U99" s="6">
        <f t="shared" si="5"/>
        <v>4.5540000000000003</v>
      </c>
      <c r="V99" s="6"/>
      <c r="AD99" s="13">
        <v>109</v>
      </c>
      <c r="AE99" s="13">
        <v>0.50600000000000001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13">
        <v>92</v>
      </c>
      <c r="R100" s="208" t="s">
        <v>398</v>
      </c>
      <c r="S100" s="262">
        <v>46261</v>
      </c>
      <c r="T100" s="6">
        <v>0.73199999999999998</v>
      </c>
      <c r="U100" s="6"/>
      <c r="V100" s="6"/>
      <c r="AD100" s="13">
        <v>110</v>
      </c>
      <c r="AE100" s="13">
        <v>0.50600000000000001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13">
        <v>93</v>
      </c>
      <c r="R101" s="208" t="s">
        <v>400</v>
      </c>
      <c r="S101" s="262">
        <v>46261</v>
      </c>
      <c r="T101" s="6">
        <v>0.45400000000000001</v>
      </c>
      <c r="U101" s="6"/>
      <c r="V101" s="6"/>
      <c r="AD101" s="13">
        <v>111</v>
      </c>
      <c r="AE101" s="13">
        <v>0.50800000000000001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13">
        <v>94</v>
      </c>
      <c r="R102" s="208" t="s">
        <v>402</v>
      </c>
      <c r="S102" s="262">
        <v>46261</v>
      </c>
      <c r="T102" s="6">
        <v>0.61599999999999999</v>
      </c>
      <c r="U102" s="6"/>
      <c r="V102" s="6"/>
      <c r="AD102" s="13">
        <v>112</v>
      </c>
      <c r="AE102" s="13">
        <v>0.50900000000000001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13">
        <v>95</v>
      </c>
      <c r="R103" s="208" t="s">
        <v>383</v>
      </c>
      <c r="S103" s="262">
        <v>46261</v>
      </c>
      <c r="T103" s="6">
        <v>0.24199999999999999</v>
      </c>
      <c r="U103" s="6"/>
      <c r="V103" s="6"/>
      <c r="AD103" s="13">
        <v>113</v>
      </c>
      <c r="AE103" s="13">
        <v>0.51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13">
        <v>96</v>
      </c>
      <c r="R104" s="208" t="s">
        <v>403</v>
      </c>
      <c r="S104" s="262">
        <v>46261</v>
      </c>
      <c r="T104" s="6">
        <v>2.0979999999999999</v>
      </c>
      <c r="U104" s="6"/>
      <c r="V104" s="6"/>
      <c r="AD104" s="13">
        <v>114</v>
      </c>
      <c r="AE104" s="13">
        <v>0.51300000000000001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13">
        <v>97</v>
      </c>
      <c r="R105" s="208" t="s">
        <v>405</v>
      </c>
      <c r="S105" s="262">
        <v>46261</v>
      </c>
      <c r="T105" s="6">
        <v>0.86299999999999999</v>
      </c>
      <c r="U105" s="6"/>
      <c r="V105" s="6"/>
      <c r="AD105" s="13">
        <v>115</v>
      </c>
      <c r="AE105" s="13">
        <v>0.51400000000000001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13">
        <v>98</v>
      </c>
      <c r="R106" s="208" t="s">
        <v>388</v>
      </c>
      <c r="S106" s="262">
        <v>46262</v>
      </c>
      <c r="T106" s="6">
        <v>0.17899999999999999</v>
      </c>
      <c r="U106" s="6"/>
      <c r="V106" s="6"/>
      <c r="AD106" s="13">
        <v>116</v>
      </c>
      <c r="AE106" s="13">
        <v>0.51700000000000002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13">
        <v>99</v>
      </c>
      <c r="R107" s="208" t="s">
        <v>390</v>
      </c>
      <c r="S107" s="262">
        <v>46262</v>
      </c>
      <c r="T107" s="6">
        <v>0.17799999999999999</v>
      </c>
      <c r="U107" s="6"/>
      <c r="V107" s="6"/>
      <c r="AD107" s="13">
        <v>117</v>
      </c>
      <c r="AE107" s="13">
        <v>0.51900000000000002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13">
        <v>100</v>
      </c>
      <c r="R108" s="208" t="s">
        <v>392</v>
      </c>
      <c r="S108" s="262">
        <v>46262</v>
      </c>
      <c r="T108" s="6">
        <v>1.1000000000000001</v>
      </c>
      <c r="U108" s="6"/>
      <c r="V108" s="6"/>
      <c r="AD108" s="13">
        <v>118</v>
      </c>
      <c r="AE108" s="13">
        <v>0.52300000000000002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13">
        <v>101</v>
      </c>
      <c r="R109" s="208" t="s">
        <v>396</v>
      </c>
      <c r="S109" s="262">
        <v>46262</v>
      </c>
      <c r="T109" s="6">
        <v>0.61299999999999999</v>
      </c>
      <c r="U109" s="6"/>
      <c r="V109" s="6"/>
      <c r="AD109" s="13">
        <v>119</v>
      </c>
      <c r="AE109" s="13">
        <v>0.52300000000000002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572" t="s">
        <v>421</v>
      </c>
      <c r="C110" s="1572"/>
      <c r="D110" s="1572"/>
      <c r="E110" s="1572"/>
      <c r="F110" s="1572"/>
      <c r="G110" s="1572"/>
      <c r="H110" s="1572"/>
      <c r="I110" s="1572"/>
      <c r="J110" s="1572"/>
      <c r="Q110" s="13">
        <v>102</v>
      </c>
      <c r="R110" s="208" t="s">
        <v>398</v>
      </c>
      <c r="S110" s="262">
        <v>46262</v>
      </c>
      <c r="T110" s="6">
        <v>0.33600000000000002</v>
      </c>
      <c r="U110" s="6"/>
      <c r="V110" s="6"/>
      <c r="AD110" s="13">
        <v>120</v>
      </c>
      <c r="AE110" s="13">
        <v>0.52500000000000002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572"/>
      <c r="C111" s="1572"/>
      <c r="D111" s="1572"/>
      <c r="E111" s="1572"/>
      <c r="F111" s="1572"/>
      <c r="G111" s="1572"/>
      <c r="H111" s="1572"/>
      <c r="I111" s="1572"/>
      <c r="J111" s="1572"/>
      <c r="Q111" s="13">
        <v>103</v>
      </c>
      <c r="R111" s="208" t="s">
        <v>400</v>
      </c>
      <c r="S111" s="262">
        <v>46262</v>
      </c>
      <c r="T111" s="6">
        <v>0.61299999999999999</v>
      </c>
      <c r="U111" s="6"/>
      <c r="V111" s="6"/>
      <c r="AD111" s="13">
        <v>121</v>
      </c>
      <c r="AE111" s="13">
        <v>0.52600000000000002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13">
        <v>104</v>
      </c>
      <c r="R112" s="208" t="s">
        <v>402</v>
      </c>
      <c r="S112" s="262">
        <v>46262</v>
      </c>
      <c r="T112" s="6">
        <v>1.125</v>
      </c>
      <c r="U112" s="6"/>
      <c r="V112" s="6"/>
      <c r="AD112" s="13">
        <v>122</v>
      </c>
      <c r="AE112" s="13">
        <v>0.53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13">
        <v>105</v>
      </c>
      <c r="R113" s="208" t="s">
        <v>383</v>
      </c>
      <c r="S113" s="262">
        <v>46262</v>
      </c>
      <c r="T113" s="6">
        <v>1.2949999999999999</v>
      </c>
      <c r="U113" s="6"/>
      <c r="V113" s="6"/>
      <c r="AD113" s="13">
        <v>123</v>
      </c>
      <c r="AE113" s="6">
        <v>0.53800000000000003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13">
        <v>106</v>
      </c>
      <c r="R114" s="208" t="s">
        <v>403</v>
      </c>
      <c r="S114" s="262">
        <v>46262</v>
      </c>
      <c r="T114" s="6">
        <v>0.53800000000000003</v>
      </c>
      <c r="U114" s="6"/>
      <c r="V114" s="6"/>
      <c r="AD114" s="13">
        <v>124</v>
      </c>
      <c r="AE114" s="13">
        <v>0.54200000000000004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13">
        <v>107</v>
      </c>
      <c r="R115" s="208" t="s">
        <v>388</v>
      </c>
      <c r="S115" s="262">
        <v>46263</v>
      </c>
      <c r="T115" s="6">
        <v>1.3080000000000001</v>
      </c>
      <c r="U115" s="6"/>
      <c r="V115" s="6"/>
      <c r="AD115" s="13">
        <v>125</v>
      </c>
      <c r="AE115" s="13">
        <v>0.54600000000000004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13">
        <v>108</v>
      </c>
      <c r="R116" s="208" t="s">
        <v>390</v>
      </c>
      <c r="S116" s="262">
        <v>46263</v>
      </c>
      <c r="T116" s="6">
        <v>0.48799999999999999</v>
      </c>
      <c r="U116" s="6"/>
      <c r="V116" s="6"/>
      <c r="AD116" s="13">
        <v>126</v>
      </c>
      <c r="AE116" s="13">
        <v>0.55500000000000005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13">
        <v>109</v>
      </c>
      <c r="R117" s="208" t="s">
        <v>392</v>
      </c>
      <c r="S117" s="262">
        <v>46263</v>
      </c>
      <c r="T117" s="6">
        <v>1.7190000000000001</v>
      </c>
      <c r="U117" s="6"/>
      <c r="V117" s="6"/>
      <c r="AD117" s="13">
        <v>127</v>
      </c>
      <c r="AE117" s="13">
        <v>0.55600000000000005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13">
        <v>110</v>
      </c>
      <c r="R118" s="208" t="s">
        <v>394</v>
      </c>
      <c r="S118" s="262">
        <v>46263</v>
      </c>
      <c r="T118" s="6">
        <v>1.718</v>
      </c>
      <c r="U118" s="6"/>
      <c r="V118" s="6"/>
      <c r="AD118" s="13">
        <v>128</v>
      </c>
      <c r="AE118" s="13">
        <v>0.55800000000000005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13">
        <v>111</v>
      </c>
      <c r="R119" s="208" t="s">
        <v>396</v>
      </c>
      <c r="S119" s="262">
        <v>46263</v>
      </c>
      <c r="T119" s="6">
        <v>1.3280000000000001</v>
      </c>
      <c r="U119" s="6"/>
      <c r="V119" s="6"/>
      <c r="AD119" s="13">
        <v>129</v>
      </c>
      <c r="AE119" s="13">
        <v>0.55800000000000005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13">
        <v>112</v>
      </c>
      <c r="R120" s="208" t="s">
        <v>398</v>
      </c>
      <c r="S120" s="262">
        <v>46263</v>
      </c>
      <c r="T120" s="6">
        <v>0.61099999999999999</v>
      </c>
      <c r="U120" s="6"/>
      <c r="V120" s="6"/>
      <c r="AD120" s="13">
        <v>130</v>
      </c>
      <c r="AE120" s="13">
        <v>0.56200000000000006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13">
        <v>113</v>
      </c>
      <c r="R121" s="208" t="s">
        <v>400</v>
      </c>
      <c r="S121" s="262">
        <v>46263</v>
      </c>
      <c r="T121" s="6">
        <v>0.35799999999999998</v>
      </c>
      <c r="U121" s="6"/>
      <c r="V121" s="6"/>
      <c r="AD121" s="13">
        <v>131</v>
      </c>
      <c r="AE121" s="13">
        <v>0.56299999999999994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13">
        <v>114</v>
      </c>
      <c r="R122" s="208" t="s">
        <v>402</v>
      </c>
      <c r="S122" s="262">
        <v>46263</v>
      </c>
      <c r="T122" s="6">
        <v>0.21</v>
      </c>
      <c r="U122" s="6"/>
      <c r="V122" s="6"/>
      <c r="AD122" s="13">
        <v>132</v>
      </c>
      <c r="AE122" s="13">
        <v>0.56999999999999995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13">
        <v>115</v>
      </c>
      <c r="R123" s="208" t="s">
        <v>383</v>
      </c>
      <c r="S123" s="262">
        <v>46263</v>
      </c>
      <c r="T123" s="6">
        <v>0.42</v>
      </c>
      <c r="U123" s="6"/>
      <c r="V123" s="6"/>
      <c r="AD123" s="13">
        <v>133</v>
      </c>
      <c r="AE123" s="13">
        <v>0.57199999999999995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13">
        <v>116</v>
      </c>
      <c r="R124" s="208" t="s">
        <v>403</v>
      </c>
      <c r="S124" s="262">
        <v>46263</v>
      </c>
      <c r="T124" s="6">
        <v>1.044</v>
      </c>
      <c r="U124" s="6"/>
      <c r="V124" s="6"/>
      <c r="AD124" s="13">
        <v>134</v>
      </c>
      <c r="AE124" s="13">
        <v>0.57399999999999995</v>
      </c>
      <c r="AG124" s="368">
        <v>86</v>
      </c>
      <c r="AH124" s="29">
        <v>0.81</v>
      </c>
    </row>
    <row r="125" spans="17:38" x14ac:dyDescent="0.3">
      <c r="Q125" s="13">
        <v>117</v>
      </c>
      <c r="R125" s="208" t="s">
        <v>405</v>
      </c>
      <c r="S125" s="262">
        <v>46263</v>
      </c>
      <c r="T125" s="6">
        <v>0.38800000000000001</v>
      </c>
      <c r="U125" s="6"/>
      <c r="V125" s="6"/>
      <c r="AD125" s="13">
        <v>135</v>
      </c>
      <c r="AE125" s="13">
        <v>0.57499999999999996</v>
      </c>
      <c r="AG125" s="368">
        <v>87</v>
      </c>
      <c r="AH125" s="29">
        <v>0.81</v>
      </c>
    </row>
    <row r="126" spans="17:38" ht="15" thickBot="1" x14ac:dyDescent="0.35">
      <c r="Q126" s="13">
        <v>118</v>
      </c>
      <c r="R126" s="208" t="s">
        <v>390</v>
      </c>
      <c r="S126" s="262">
        <v>46264</v>
      </c>
      <c r="T126" s="6">
        <v>0.91700000000000004</v>
      </c>
      <c r="U126" s="6"/>
      <c r="V126" s="6"/>
      <c r="AD126" s="13">
        <v>136</v>
      </c>
      <c r="AE126" s="13">
        <v>0.57599999999999996</v>
      </c>
      <c r="AG126" s="370">
        <v>88</v>
      </c>
      <c r="AH126" s="29">
        <v>0.81</v>
      </c>
    </row>
    <row r="127" spans="17:38" x14ac:dyDescent="0.3">
      <c r="Q127" s="13">
        <v>119</v>
      </c>
      <c r="R127" s="208" t="s">
        <v>432</v>
      </c>
      <c r="S127" s="262">
        <v>46264</v>
      </c>
      <c r="T127" s="6">
        <v>0.98599999999999999</v>
      </c>
      <c r="U127" s="6"/>
      <c r="V127" s="6"/>
      <c r="AD127" s="13">
        <v>137</v>
      </c>
      <c r="AE127" s="13">
        <v>0.57599999999999996</v>
      </c>
      <c r="AG127" s="368">
        <v>89</v>
      </c>
      <c r="AH127" s="29">
        <v>0.81</v>
      </c>
    </row>
    <row r="128" spans="17:38" x14ac:dyDescent="0.3">
      <c r="Q128" s="13">
        <v>120</v>
      </c>
      <c r="R128" s="208" t="s">
        <v>433</v>
      </c>
      <c r="S128" s="262">
        <v>46264</v>
      </c>
      <c r="T128" s="6">
        <v>1.2170000000000001</v>
      </c>
      <c r="U128" s="6"/>
      <c r="V128" s="6"/>
      <c r="AD128" s="13">
        <v>138</v>
      </c>
      <c r="AE128" s="13">
        <v>0.58199999999999996</v>
      </c>
      <c r="AG128" s="368">
        <v>90</v>
      </c>
      <c r="AH128" s="29">
        <v>0.81</v>
      </c>
    </row>
    <row r="129" spans="17:34" ht="15" thickBot="1" x14ac:dyDescent="0.35">
      <c r="Q129" s="13">
        <v>121</v>
      </c>
      <c r="R129" s="208" t="s">
        <v>434</v>
      </c>
      <c r="S129" s="262">
        <v>46264</v>
      </c>
      <c r="T129" s="6">
        <v>0.83599999999999997</v>
      </c>
      <c r="U129" s="6"/>
      <c r="V129" s="6"/>
      <c r="AD129" s="13">
        <v>139</v>
      </c>
      <c r="AE129" s="13">
        <v>0.58399999999999996</v>
      </c>
      <c r="AG129" s="370">
        <v>91</v>
      </c>
      <c r="AH129" s="29">
        <v>0.81</v>
      </c>
    </row>
    <row r="130" spans="17:34" x14ac:dyDescent="0.3">
      <c r="Q130" s="13">
        <v>122</v>
      </c>
      <c r="R130" s="6" t="s">
        <v>388</v>
      </c>
      <c r="S130" s="262">
        <v>46274</v>
      </c>
      <c r="T130" s="6">
        <v>0.217</v>
      </c>
      <c r="U130" s="6"/>
      <c r="V130" s="6"/>
      <c r="AD130" s="13">
        <v>140</v>
      </c>
      <c r="AE130" s="13">
        <v>0.59099999999999997</v>
      </c>
      <c r="AG130" s="368">
        <v>92</v>
      </c>
      <c r="AH130" s="29">
        <v>0.81</v>
      </c>
    </row>
    <row r="131" spans="17:34" x14ac:dyDescent="0.3">
      <c r="Q131" s="13">
        <v>123</v>
      </c>
      <c r="R131" s="6" t="s">
        <v>390</v>
      </c>
      <c r="S131" s="262">
        <v>46274</v>
      </c>
      <c r="T131" s="6">
        <v>7.5999999999999998E-2</v>
      </c>
      <c r="U131" s="6"/>
      <c r="V131" s="6"/>
      <c r="AD131" s="13">
        <v>141</v>
      </c>
      <c r="AE131" s="13">
        <v>0.59099999999999997</v>
      </c>
      <c r="AG131" s="368">
        <v>93</v>
      </c>
      <c r="AH131" s="29">
        <v>0.81</v>
      </c>
    </row>
    <row r="132" spans="17:34" x14ac:dyDescent="0.3">
      <c r="Q132" s="13">
        <v>124</v>
      </c>
      <c r="R132" s="6" t="s">
        <v>392</v>
      </c>
      <c r="S132" s="262">
        <v>46274</v>
      </c>
      <c r="T132" s="6">
        <v>0.35099999999999998</v>
      </c>
      <c r="U132" s="6"/>
      <c r="V132" s="6"/>
      <c r="AD132" s="13">
        <v>142</v>
      </c>
      <c r="AE132" s="12">
        <v>0.59299999999999997</v>
      </c>
      <c r="AG132" s="368">
        <v>94</v>
      </c>
      <c r="AH132" s="29">
        <v>0.81</v>
      </c>
    </row>
    <row r="133" spans="17:34" ht="15" thickBot="1" x14ac:dyDescent="0.35">
      <c r="Q133" s="13">
        <v>125</v>
      </c>
      <c r="R133" s="6" t="s">
        <v>394</v>
      </c>
      <c r="S133" s="262">
        <v>46274</v>
      </c>
      <c r="T133" s="6">
        <v>0.184</v>
      </c>
      <c r="U133" s="6"/>
      <c r="V133" s="6"/>
      <c r="AD133" s="13">
        <v>143</v>
      </c>
      <c r="AE133" s="12">
        <v>0.59299999999999997</v>
      </c>
      <c r="AG133" s="370">
        <v>95</v>
      </c>
      <c r="AH133" s="29">
        <v>0.81</v>
      </c>
    </row>
    <row r="134" spans="17:34" x14ac:dyDescent="0.3">
      <c r="Q134" s="13">
        <v>126</v>
      </c>
      <c r="R134" s="208" t="s">
        <v>396</v>
      </c>
      <c r="S134" s="262">
        <v>46274</v>
      </c>
      <c r="T134" s="6">
        <v>0.373</v>
      </c>
      <c r="U134" s="6"/>
      <c r="V134" s="6"/>
      <c r="AD134" s="13">
        <v>144</v>
      </c>
      <c r="AE134" s="12">
        <v>0.60099999999999998</v>
      </c>
      <c r="AG134" s="368">
        <v>96</v>
      </c>
      <c r="AH134" s="29">
        <v>0.81</v>
      </c>
    </row>
    <row r="135" spans="17:34" x14ac:dyDescent="0.3">
      <c r="Q135" s="13">
        <v>127</v>
      </c>
      <c r="R135" s="208" t="s">
        <v>398</v>
      </c>
      <c r="S135" s="262">
        <v>46274</v>
      </c>
      <c r="T135" s="6">
        <v>0.50600000000000001</v>
      </c>
      <c r="U135" s="6"/>
      <c r="V135" s="6"/>
      <c r="AD135" s="13">
        <v>145</v>
      </c>
      <c r="AE135" s="12">
        <v>0.60299999999999998</v>
      </c>
      <c r="AG135" s="368">
        <v>97</v>
      </c>
      <c r="AH135" s="29">
        <v>0.81</v>
      </c>
    </row>
    <row r="136" spans="17:34" x14ac:dyDescent="0.3">
      <c r="Q136" s="13">
        <v>128</v>
      </c>
      <c r="R136" s="208" t="s">
        <v>630</v>
      </c>
      <c r="S136" s="262">
        <v>46277</v>
      </c>
      <c r="T136" s="6">
        <v>0.39500000000000002</v>
      </c>
      <c r="U136" s="6"/>
      <c r="V136" s="6"/>
      <c r="AD136" s="13">
        <v>146</v>
      </c>
      <c r="AE136" s="12">
        <v>0.60399999999999998</v>
      </c>
      <c r="AG136" s="368">
        <v>98</v>
      </c>
      <c r="AH136" s="29">
        <v>0.81</v>
      </c>
    </row>
    <row r="137" spans="17:34" ht="15" thickBot="1" x14ac:dyDescent="0.35">
      <c r="Q137" s="13">
        <v>129</v>
      </c>
      <c r="R137" s="208" t="s">
        <v>388</v>
      </c>
      <c r="S137" s="262">
        <v>46277</v>
      </c>
      <c r="T137" s="6">
        <v>0.29399999999999998</v>
      </c>
      <c r="U137" s="6"/>
      <c r="V137" s="6"/>
      <c r="AD137" s="13">
        <v>147</v>
      </c>
      <c r="AE137" s="12">
        <v>0.60399999999999998</v>
      </c>
      <c r="AG137" s="370">
        <v>99</v>
      </c>
      <c r="AH137" s="29">
        <v>0.81</v>
      </c>
    </row>
    <row r="138" spans="17:34" x14ac:dyDescent="0.3">
      <c r="Q138" s="13">
        <v>130</v>
      </c>
      <c r="R138" s="208" t="s">
        <v>390</v>
      </c>
      <c r="S138" s="262">
        <v>46277</v>
      </c>
      <c r="T138" s="6">
        <v>0.78800000000000003</v>
      </c>
      <c r="U138" s="6"/>
      <c r="V138" s="6"/>
      <c r="AD138" s="13">
        <v>148</v>
      </c>
      <c r="AE138" s="12">
        <v>0.61</v>
      </c>
      <c r="AG138" s="368">
        <v>100</v>
      </c>
      <c r="AH138" s="29">
        <v>0.81</v>
      </c>
    </row>
    <row r="139" spans="17:34" x14ac:dyDescent="0.3">
      <c r="Q139" s="13">
        <v>131</v>
      </c>
      <c r="R139" s="208" t="s">
        <v>392</v>
      </c>
      <c r="S139" s="262">
        <v>46277</v>
      </c>
      <c r="T139" s="6">
        <v>0.371</v>
      </c>
      <c r="U139" s="6"/>
      <c r="V139" s="6"/>
      <c r="AD139" s="13">
        <v>149</v>
      </c>
      <c r="AE139" s="1">
        <v>0.61099999999999999</v>
      </c>
      <c r="AG139" s="368">
        <v>101</v>
      </c>
      <c r="AH139" s="29">
        <v>0.81</v>
      </c>
    </row>
    <row r="140" spans="17:34" x14ac:dyDescent="0.3">
      <c r="Q140" s="13">
        <v>132</v>
      </c>
      <c r="R140" s="208" t="s">
        <v>394</v>
      </c>
      <c r="S140" s="262">
        <v>46277</v>
      </c>
      <c r="T140" s="6">
        <v>0.39400000000000002</v>
      </c>
      <c r="U140" s="6"/>
      <c r="V140" s="6"/>
      <c r="AD140" s="13">
        <v>150</v>
      </c>
      <c r="AE140" s="1">
        <v>0.61299999999999999</v>
      </c>
      <c r="AG140" s="368">
        <v>102</v>
      </c>
      <c r="AH140" s="29">
        <v>0.81</v>
      </c>
    </row>
    <row r="141" spans="17:34" ht="15" thickBot="1" x14ac:dyDescent="0.35">
      <c r="Q141" s="13">
        <v>133</v>
      </c>
      <c r="R141" s="208" t="s">
        <v>631</v>
      </c>
      <c r="S141" s="262">
        <v>46277</v>
      </c>
      <c r="T141" s="6">
        <v>0.504</v>
      </c>
      <c r="U141" s="6"/>
      <c r="V141" s="6"/>
      <c r="AD141" s="13">
        <v>151</v>
      </c>
      <c r="AE141" s="1">
        <v>0.61299999999999999</v>
      </c>
      <c r="AG141" s="370">
        <v>103</v>
      </c>
      <c r="AH141" s="29">
        <v>0.81</v>
      </c>
    </row>
    <row r="142" spans="17:34" x14ac:dyDescent="0.3">
      <c r="Q142" s="13">
        <v>134</v>
      </c>
      <c r="R142" s="208" t="s">
        <v>396</v>
      </c>
      <c r="S142" s="262">
        <v>46277</v>
      </c>
      <c r="T142" s="6">
        <v>0.39300000000000002</v>
      </c>
      <c r="U142" s="6"/>
      <c r="V142" s="6"/>
      <c r="AD142" s="13">
        <v>152</v>
      </c>
      <c r="AE142" s="12">
        <v>0.61599999999999999</v>
      </c>
      <c r="AG142" s="368">
        <v>104</v>
      </c>
      <c r="AH142" s="29">
        <v>0.81</v>
      </c>
    </row>
    <row r="143" spans="17:34" x14ac:dyDescent="0.3">
      <c r="Q143" s="13">
        <v>135</v>
      </c>
      <c r="R143" s="208" t="s">
        <v>398</v>
      </c>
      <c r="S143" s="262">
        <v>46277</v>
      </c>
      <c r="T143" s="6">
        <v>0.46200000000000002</v>
      </c>
      <c r="U143" s="6"/>
      <c r="V143" s="6"/>
      <c r="AD143" s="13">
        <v>153</v>
      </c>
      <c r="AE143" s="12">
        <v>0.622</v>
      </c>
      <c r="AG143" s="368">
        <v>105</v>
      </c>
      <c r="AH143" s="29">
        <v>0.81</v>
      </c>
    </row>
    <row r="144" spans="17:34" x14ac:dyDescent="0.3">
      <c r="Q144" s="13">
        <v>136</v>
      </c>
      <c r="R144" s="208" t="s">
        <v>400</v>
      </c>
      <c r="S144" s="262">
        <v>46277</v>
      </c>
      <c r="T144" s="6">
        <v>0.70299999999999996</v>
      </c>
      <c r="U144" s="6"/>
      <c r="V144" s="6"/>
      <c r="AD144" s="13">
        <v>154</v>
      </c>
      <c r="AE144" s="12">
        <v>0.625</v>
      </c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13">
        <v>137</v>
      </c>
      <c r="R145" s="208" t="s">
        <v>402</v>
      </c>
      <c r="S145" s="262">
        <v>46277</v>
      </c>
      <c r="T145" s="6">
        <v>0.753</v>
      </c>
      <c r="U145" s="6"/>
      <c r="V145" s="6"/>
      <c r="AD145" s="13">
        <v>155</v>
      </c>
      <c r="AE145" s="12">
        <v>0.63200000000000001</v>
      </c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13">
        <v>138</v>
      </c>
      <c r="R146" s="208" t="s">
        <v>383</v>
      </c>
      <c r="S146" s="262">
        <v>46277</v>
      </c>
      <c r="T146" s="6">
        <v>0.92600000000000005</v>
      </c>
      <c r="U146" s="6"/>
      <c r="V146" s="6"/>
      <c r="AD146" s="13">
        <v>156</v>
      </c>
      <c r="AE146" s="12">
        <v>0.63500000000000001</v>
      </c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13">
        <v>139</v>
      </c>
      <c r="R147" s="208" t="s">
        <v>403</v>
      </c>
      <c r="S147" s="262">
        <v>46277</v>
      </c>
      <c r="T147" s="6">
        <v>0.33</v>
      </c>
      <c r="U147" s="6"/>
      <c r="V147" s="6"/>
      <c r="AD147" s="13">
        <v>157</v>
      </c>
      <c r="AE147" s="12">
        <v>0.63500000000000001</v>
      </c>
      <c r="AG147" s="368">
        <v>109</v>
      </c>
      <c r="AH147" s="29">
        <v>0.81</v>
      </c>
    </row>
    <row r="148" spans="2:34" x14ac:dyDescent="0.3">
      <c r="Q148" s="13">
        <v>140</v>
      </c>
      <c r="R148" s="208" t="s">
        <v>630</v>
      </c>
      <c r="S148" s="262">
        <v>46278</v>
      </c>
      <c r="T148" s="6">
        <v>1.4</v>
      </c>
      <c r="U148" s="6"/>
      <c r="V148" s="6"/>
      <c r="AD148" s="13">
        <v>158</v>
      </c>
      <c r="AE148" s="12">
        <v>0.63700000000000001</v>
      </c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13">
        <v>141</v>
      </c>
      <c r="R149" s="208" t="s">
        <v>383</v>
      </c>
      <c r="S149" s="262">
        <v>46278</v>
      </c>
      <c r="T149" s="6">
        <v>1.139</v>
      </c>
      <c r="U149" s="6"/>
      <c r="V149" s="6"/>
      <c r="AD149" s="13">
        <v>159</v>
      </c>
      <c r="AE149" s="12">
        <v>0.64500000000000002</v>
      </c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13">
        <v>142</v>
      </c>
      <c r="R150" s="208" t="s">
        <v>390</v>
      </c>
      <c r="S150" s="262">
        <v>46284</v>
      </c>
      <c r="T150" s="6">
        <v>0.36399999999999999</v>
      </c>
      <c r="U150" s="6"/>
      <c r="V150" s="6"/>
      <c r="AD150" s="13">
        <v>160</v>
      </c>
      <c r="AE150" s="12">
        <v>0.65100000000000002</v>
      </c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13">
        <v>143</v>
      </c>
      <c r="R151" s="208" t="s">
        <v>392</v>
      </c>
      <c r="S151" s="262">
        <v>46284</v>
      </c>
      <c r="T151" s="6">
        <v>0.34200000000000003</v>
      </c>
      <c r="U151" s="6"/>
      <c r="V151" s="6"/>
      <c r="AD151" s="13">
        <v>161</v>
      </c>
      <c r="AE151" s="12">
        <v>0.65600000000000003</v>
      </c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13">
        <v>144</v>
      </c>
      <c r="R152" s="6" t="s">
        <v>394</v>
      </c>
      <c r="S152" s="262">
        <v>46284</v>
      </c>
      <c r="T152" s="933">
        <v>0.36699999999999999</v>
      </c>
      <c r="U152" s="6"/>
      <c r="V152" s="6"/>
      <c r="AD152" s="13">
        <v>162</v>
      </c>
      <c r="AE152" s="12">
        <v>0.66200000000000003</v>
      </c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13">
        <v>145</v>
      </c>
      <c r="R153" s="6" t="s">
        <v>631</v>
      </c>
      <c r="S153" s="262">
        <v>46284</v>
      </c>
      <c r="T153" s="6">
        <v>0.68400000000000005</v>
      </c>
      <c r="U153" s="6"/>
      <c r="V153" s="6"/>
      <c r="AD153" s="13">
        <v>163</v>
      </c>
      <c r="AE153" s="12">
        <v>0.66300000000000003</v>
      </c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13">
        <v>146</v>
      </c>
      <c r="R154" s="208" t="s">
        <v>396</v>
      </c>
      <c r="S154" s="262">
        <v>46284</v>
      </c>
      <c r="T154" s="6">
        <v>0.35599999999999998</v>
      </c>
      <c r="U154" s="6"/>
      <c r="V154" s="6"/>
      <c r="AD154" s="13">
        <v>164</v>
      </c>
      <c r="AE154" s="12">
        <v>0.67300000000000004</v>
      </c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13">
        <v>147</v>
      </c>
      <c r="R155" s="208" t="s">
        <v>398</v>
      </c>
      <c r="S155" s="262">
        <v>46284</v>
      </c>
      <c r="T155" s="6">
        <v>0.52500000000000002</v>
      </c>
      <c r="U155" s="6"/>
      <c r="V155" s="6"/>
      <c r="AD155" s="13">
        <v>165</v>
      </c>
      <c r="AE155" s="12">
        <v>0.67500000000000004</v>
      </c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13">
        <v>148</v>
      </c>
      <c r="R156" s="208" t="s">
        <v>400</v>
      </c>
      <c r="S156" s="262">
        <v>46284</v>
      </c>
      <c r="T156" s="6">
        <v>0.82299999999999995</v>
      </c>
      <c r="U156" s="6"/>
      <c r="V156" s="6"/>
      <c r="AD156" s="13">
        <v>166</v>
      </c>
      <c r="AE156" s="12">
        <v>0.67700000000000005</v>
      </c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13">
        <v>149</v>
      </c>
      <c r="R157" s="208" t="s">
        <v>668</v>
      </c>
      <c r="S157" s="262">
        <v>46284</v>
      </c>
      <c r="T157" s="6">
        <v>0.72699999999999998</v>
      </c>
      <c r="U157" s="6"/>
      <c r="V157" s="6"/>
      <c r="AD157" s="13">
        <v>167</v>
      </c>
      <c r="AE157" s="12">
        <v>0.68100000000000005</v>
      </c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13">
        <v>150</v>
      </c>
      <c r="R158" s="208" t="s">
        <v>669</v>
      </c>
      <c r="S158" s="262">
        <v>46284</v>
      </c>
      <c r="T158" s="6">
        <v>1.0780000000000001</v>
      </c>
      <c r="U158" s="6"/>
      <c r="V158" s="6"/>
      <c r="AD158" s="13">
        <v>168</v>
      </c>
      <c r="AE158" s="12">
        <v>0.68400000000000005</v>
      </c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13">
        <v>151</v>
      </c>
      <c r="R159" s="208" t="s">
        <v>670</v>
      </c>
      <c r="S159" s="262">
        <v>46284</v>
      </c>
      <c r="T159" s="6">
        <v>0.872</v>
      </c>
      <c r="U159" s="6"/>
      <c r="V159" s="6"/>
      <c r="AD159" s="13">
        <v>169</v>
      </c>
      <c r="AE159" s="12">
        <v>0.68799999999999994</v>
      </c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20">
        <f>SUM(M150:M158)/SUM(L150:L158)</f>
        <v>0.39855071315372431</v>
      </c>
      <c r="Q160" s="13">
        <v>152</v>
      </c>
      <c r="R160" s="208" t="s">
        <v>671</v>
      </c>
      <c r="S160" s="262">
        <v>46284</v>
      </c>
      <c r="T160" s="933">
        <v>0.24399999999999999</v>
      </c>
      <c r="U160" s="6"/>
      <c r="V160" s="6"/>
      <c r="AD160" s="13">
        <v>170</v>
      </c>
      <c r="AE160" s="12">
        <v>0.69499999999999995</v>
      </c>
      <c r="AG160" s="368">
        <v>122</v>
      </c>
      <c r="AH160" s="29">
        <v>0.81</v>
      </c>
    </row>
    <row r="161" spans="17:34" ht="15" thickBot="1" x14ac:dyDescent="0.35">
      <c r="Q161" s="13">
        <v>153</v>
      </c>
      <c r="R161" s="208" t="s">
        <v>672</v>
      </c>
      <c r="S161" s="262">
        <v>46285</v>
      </c>
      <c r="T161" s="6">
        <v>0.42799999999999999</v>
      </c>
      <c r="U161" s="6"/>
      <c r="V161" s="6"/>
      <c r="AD161" s="13">
        <v>171</v>
      </c>
      <c r="AE161" s="12">
        <v>0.69599999999999995</v>
      </c>
      <c r="AG161" s="370">
        <v>123</v>
      </c>
      <c r="AH161" s="29">
        <v>0.81</v>
      </c>
    </row>
    <row r="162" spans="17:34" x14ac:dyDescent="0.3">
      <c r="Q162" s="13">
        <v>154</v>
      </c>
      <c r="R162" s="6" t="s">
        <v>673</v>
      </c>
      <c r="S162" s="262">
        <v>46285</v>
      </c>
      <c r="T162" s="6">
        <v>0.88100000000000001</v>
      </c>
      <c r="U162" s="6"/>
      <c r="V162" s="6"/>
      <c r="AD162" s="13">
        <v>172</v>
      </c>
      <c r="AE162" s="12">
        <v>0.69699999999999995</v>
      </c>
      <c r="AG162" s="368">
        <v>124</v>
      </c>
      <c r="AH162" s="29">
        <v>0.81</v>
      </c>
    </row>
    <row r="163" spans="17:34" x14ac:dyDescent="0.3">
      <c r="Q163" s="13">
        <v>155</v>
      </c>
      <c r="R163" s="6" t="s">
        <v>674</v>
      </c>
      <c r="S163" s="262">
        <v>46285</v>
      </c>
      <c r="T163" s="6">
        <v>0.4</v>
      </c>
      <c r="U163" s="6"/>
      <c r="V163" s="6"/>
      <c r="AD163" s="13">
        <v>173</v>
      </c>
      <c r="AE163" s="12">
        <v>0.70199999999999996</v>
      </c>
      <c r="AG163" s="368">
        <v>125</v>
      </c>
      <c r="AH163" s="29">
        <v>0.81</v>
      </c>
    </row>
    <row r="164" spans="17:34" x14ac:dyDescent="0.3">
      <c r="Q164" s="13">
        <v>156</v>
      </c>
      <c r="R164" s="6" t="s">
        <v>675</v>
      </c>
      <c r="S164" s="262">
        <v>46285</v>
      </c>
      <c r="T164" s="6">
        <v>0.58399999999999996</v>
      </c>
      <c r="U164" s="6"/>
      <c r="V164" s="6"/>
      <c r="AD164" s="13">
        <v>174</v>
      </c>
      <c r="AE164" s="12">
        <v>0.70299999999999996</v>
      </c>
      <c r="AG164" s="368">
        <v>126</v>
      </c>
      <c r="AH164" s="29">
        <v>0.81</v>
      </c>
    </row>
    <row r="165" spans="17:34" ht="15" thickBot="1" x14ac:dyDescent="0.35">
      <c r="Q165" s="13">
        <v>157</v>
      </c>
      <c r="R165" s="6" t="s">
        <v>676</v>
      </c>
      <c r="S165" s="262">
        <v>46285</v>
      </c>
      <c r="T165" s="6">
        <v>0.501</v>
      </c>
      <c r="U165" s="6"/>
      <c r="V165" s="6"/>
      <c r="AD165" s="13">
        <v>175</v>
      </c>
      <c r="AE165" s="12">
        <v>0.70699999999999996</v>
      </c>
      <c r="AG165" s="370">
        <v>127</v>
      </c>
      <c r="AH165" s="29">
        <v>0.81</v>
      </c>
    </row>
    <row r="166" spans="17:34" x14ac:dyDescent="0.3">
      <c r="Q166" s="13">
        <v>158</v>
      </c>
      <c r="R166" s="6" t="s">
        <v>677</v>
      </c>
      <c r="S166" s="262">
        <v>46285</v>
      </c>
      <c r="T166" s="6">
        <v>0.78500000000000003</v>
      </c>
      <c r="U166" s="6"/>
      <c r="V166" s="6"/>
      <c r="AD166" s="13">
        <v>176</v>
      </c>
      <c r="AE166" s="12">
        <v>0.71799999999999997</v>
      </c>
      <c r="AG166" s="368">
        <v>128</v>
      </c>
      <c r="AH166" s="29">
        <v>0.81</v>
      </c>
    </row>
    <row r="167" spans="17:34" x14ac:dyDescent="0.3">
      <c r="Q167" s="13">
        <v>159</v>
      </c>
      <c r="R167" s="6" t="s">
        <v>630</v>
      </c>
      <c r="S167" s="262">
        <v>46285</v>
      </c>
      <c r="T167" s="6">
        <v>0.81599999999999995</v>
      </c>
      <c r="U167" s="6"/>
      <c r="V167" s="6"/>
      <c r="AD167" s="13">
        <v>177</v>
      </c>
      <c r="AE167" s="12">
        <v>0.72399999999999998</v>
      </c>
      <c r="AG167" s="368">
        <v>129</v>
      </c>
      <c r="AH167" s="29">
        <v>0.81</v>
      </c>
    </row>
    <row r="168" spans="17:34" x14ac:dyDescent="0.3">
      <c r="Q168" s="13">
        <v>160</v>
      </c>
      <c r="R168" s="6" t="s">
        <v>388</v>
      </c>
      <c r="S168" s="262">
        <v>46285</v>
      </c>
      <c r="T168" s="6">
        <v>0.82599999999999996</v>
      </c>
      <c r="U168" s="6"/>
      <c r="V168" s="6"/>
      <c r="AD168" s="13">
        <v>178</v>
      </c>
      <c r="AE168" s="12">
        <v>0.72699999999999998</v>
      </c>
      <c r="AG168" s="368">
        <v>130</v>
      </c>
      <c r="AH168" s="29">
        <v>0.81</v>
      </c>
    </row>
    <row r="169" spans="17:34" ht="15" thickBot="1" x14ac:dyDescent="0.35">
      <c r="Q169" s="13">
        <v>161</v>
      </c>
      <c r="R169" s="6" t="s">
        <v>390</v>
      </c>
      <c r="S169" s="262">
        <v>46285</v>
      </c>
      <c r="T169" s="6">
        <v>0.63700000000000001</v>
      </c>
      <c r="U169" s="6"/>
      <c r="V169" s="6"/>
      <c r="AD169" s="13">
        <v>179</v>
      </c>
      <c r="AE169" s="12">
        <v>0.73199999999999998</v>
      </c>
      <c r="AG169" s="370">
        <v>131</v>
      </c>
      <c r="AH169" s="29">
        <v>0.81</v>
      </c>
    </row>
    <row r="170" spans="17:34" x14ac:dyDescent="0.3">
      <c r="Q170" s="13">
        <v>162</v>
      </c>
      <c r="R170" s="6" t="s">
        <v>392</v>
      </c>
      <c r="S170" s="262">
        <v>46285</v>
      </c>
      <c r="T170" s="6">
        <v>0.59099999999999997</v>
      </c>
      <c r="U170" s="6"/>
      <c r="V170" s="6"/>
      <c r="AD170" s="13">
        <v>180</v>
      </c>
      <c r="AE170" s="12">
        <v>0.73199999999999998</v>
      </c>
      <c r="AG170" s="368">
        <v>132</v>
      </c>
      <c r="AH170" s="29">
        <v>0.81</v>
      </c>
    </row>
    <row r="171" spans="17:34" x14ac:dyDescent="0.3">
      <c r="Q171" s="13">
        <v>163</v>
      </c>
      <c r="R171" s="6" t="s">
        <v>394</v>
      </c>
      <c r="S171" s="262">
        <v>46285</v>
      </c>
      <c r="T171" s="6">
        <v>0.54200000000000004</v>
      </c>
      <c r="U171" s="6"/>
      <c r="V171" s="6"/>
      <c r="AD171" s="13">
        <v>181</v>
      </c>
      <c r="AE171" s="12">
        <v>0.73299999999999998</v>
      </c>
      <c r="AG171" s="368">
        <v>133</v>
      </c>
      <c r="AH171" s="29">
        <v>0.81</v>
      </c>
    </row>
    <row r="172" spans="17:34" x14ac:dyDescent="0.3">
      <c r="Q172" s="13">
        <v>164</v>
      </c>
      <c r="R172" s="6" t="s">
        <v>631</v>
      </c>
      <c r="S172" s="262">
        <v>46285</v>
      </c>
      <c r="T172" s="6">
        <v>0.755</v>
      </c>
      <c r="U172" s="6"/>
      <c r="V172" s="6"/>
      <c r="AD172" s="13">
        <v>182</v>
      </c>
      <c r="AE172" s="12">
        <v>0.73499999999999999</v>
      </c>
    </row>
    <row r="173" spans="17:34" x14ac:dyDescent="0.3">
      <c r="Q173" s="13">
        <v>165</v>
      </c>
      <c r="R173" s="208" t="s">
        <v>671</v>
      </c>
      <c r="S173" s="262">
        <v>46285</v>
      </c>
      <c r="T173" s="6">
        <v>1.1060000000000001</v>
      </c>
      <c r="U173" s="6"/>
      <c r="V173" s="6"/>
      <c r="AD173" s="13">
        <v>183</v>
      </c>
      <c r="AE173" s="12">
        <v>0.73499999999999999</v>
      </c>
    </row>
    <row r="174" spans="17:34" x14ac:dyDescent="0.3">
      <c r="Q174" s="13">
        <v>166</v>
      </c>
      <c r="R174" s="208" t="s">
        <v>743</v>
      </c>
      <c r="S174" s="262">
        <v>46285</v>
      </c>
      <c r="T174" s="6">
        <v>1.097</v>
      </c>
      <c r="U174" s="6"/>
      <c r="V174" s="6"/>
      <c r="AD174" s="13">
        <v>184</v>
      </c>
      <c r="AE174" s="12">
        <v>0.74199999999999999</v>
      </c>
    </row>
    <row r="175" spans="17:34" x14ac:dyDescent="0.3">
      <c r="Q175" s="13">
        <v>167</v>
      </c>
      <c r="R175" s="208" t="s">
        <v>744</v>
      </c>
      <c r="S175" s="262">
        <v>46286</v>
      </c>
      <c r="T175" s="6">
        <v>0.77700000000000002</v>
      </c>
      <c r="U175" s="6"/>
      <c r="V175" s="6"/>
      <c r="AD175" s="13">
        <v>185</v>
      </c>
      <c r="AE175" s="12">
        <v>0.74399999999999999</v>
      </c>
    </row>
    <row r="176" spans="17:34" x14ac:dyDescent="0.3">
      <c r="Q176" s="13">
        <v>168</v>
      </c>
      <c r="R176" s="208" t="s">
        <v>673</v>
      </c>
      <c r="S176" s="262">
        <v>46286</v>
      </c>
      <c r="T176" s="6">
        <v>1.2330000000000001</v>
      </c>
      <c r="U176" s="6"/>
      <c r="V176" s="6"/>
      <c r="AD176" s="13">
        <v>186</v>
      </c>
      <c r="AE176" s="12">
        <v>0.749</v>
      </c>
    </row>
    <row r="177" spans="17:31" x14ac:dyDescent="0.3">
      <c r="Q177" s="13">
        <v>169</v>
      </c>
      <c r="R177" s="6" t="s">
        <v>674</v>
      </c>
      <c r="S177" s="262">
        <v>46286</v>
      </c>
      <c r="T177" s="6">
        <v>1.0569999999999999</v>
      </c>
      <c r="U177" s="6"/>
      <c r="V177" s="6"/>
      <c r="AD177" s="13">
        <v>187</v>
      </c>
      <c r="AE177" s="12">
        <v>0.751</v>
      </c>
    </row>
    <row r="178" spans="17:31" x14ac:dyDescent="0.3">
      <c r="Q178" s="13">
        <v>170</v>
      </c>
      <c r="R178" s="6" t="s">
        <v>675</v>
      </c>
      <c r="S178" s="262">
        <v>46286</v>
      </c>
      <c r="T178" s="6">
        <v>0.59299999999999997</v>
      </c>
      <c r="U178" s="6"/>
      <c r="V178" s="6"/>
      <c r="AD178" s="13">
        <v>188</v>
      </c>
      <c r="AE178" s="12">
        <v>0.753</v>
      </c>
    </row>
    <row r="179" spans="17:31" x14ac:dyDescent="0.3">
      <c r="Q179" s="13">
        <v>171</v>
      </c>
      <c r="R179" s="208" t="s">
        <v>676</v>
      </c>
      <c r="S179" s="262">
        <v>46286</v>
      </c>
      <c r="T179" s="6">
        <v>1.234</v>
      </c>
      <c r="U179" s="6"/>
      <c r="V179" s="6"/>
      <c r="AD179" s="13">
        <v>189</v>
      </c>
      <c r="AE179" s="12">
        <v>0.755</v>
      </c>
    </row>
    <row r="180" spans="17:31" x14ac:dyDescent="0.3">
      <c r="Q180" s="13">
        <v>172</v>
      </c>
      <c r="R180" s="208" t="s">
        <v>390</v>
      </c>
      <c r="S180" s="262">
        <v>46286</v>
      </c>
      <c r="T180" s="6">
        <v>0.46899999999999997</v>
      </c>
      <c r="U180" s="6"/>
      <c r="V180" s="6"/>
      <c r="AD180" s="13">
        <v>190</v>
      </c>
      <c r="AE180" s="12">
        <v>0.76500000000000001</v>
      </c>
    </row>
    <row r="181" spans="17:31" x14ac:dyDescent="0.3">
      <c r="Q181" s="13">
        <v>173</v>
      </c>
      <c r="R181" s="208" t="s">
        <v>392</v>
      </c>
      <c r="S181" s="262">
        <v>46286</v>
      </c>
      <c r="T181" s="6">
        <v>0.52300000000000002</v>
      </c>
      <c r="U181" s="6"/>
      <c r="V181" s="6"/>
      <c r="AD181" s="13">
        <v>191</v>
      </c>
      <c r="AE181" s="12">
        <v>0.77700000000000002</v>
      </c>
    </row>
    <row r="182" spans="17:31" x14ac:dyDescent="0.3">
      <c r="Q182" s="13">
        <v>174</v>
      </c>
      <c r="R182" s="208" t="s">
        <v>394</v>
      </c>
      <c r="S182" s="262">
        <v>46286</v>
      </c>
      <c r="T182" s="6">
        <v>1.629</v>
      </c>
      <c r="U182" s="6"/>
      <c r="V182" s="6"/>
      <c r="AD182" s="13">
        <v>192</v>
      </c>
      <c r="AE182" s="12">
        <v>0.78200000000000003</v>
      </c>
    </row>
    <row r="183" spans="17:31" x14ac:dyDescent="0.3">
      <c r="Q183" s="13">
        <v>175</v>
      </c>
      <c r="R183" s="208" t="s">
        <v>396</v>
      </c>
      <c r="S183" s="262">
        <v>46286</v>
      </c>
      <c r="T183" s="6">
        <v>0.50800000000000001</v>
      </c>
      <c r="U183" s="6"/>
      <c r="V183" s="6"/>
      <c r="AD183" s="13">
        <v>193</v>
      </c>
      <c r="AE183" s="12">
        <v>0.78200000000000003</v>
      </c>
    </row>
    <row r="184" spans="17:31" x14ac:dyDescent="0.3">
      <c r="Q184" s="13">
        <v>176</v>
      </c>
      <c r="R184" s="208" t="s">
        <v>398</v>
      </c>
      <c r="S184" s="262">
        <v>46286</v>
      </c>
      <c r="T184" s="6">
        <v>0.51300000000000001</v>
      </c>
      <c r="U184" s="6"/>
      <c r="V184" s="6"/>
      <c r="AD184" s="13">
        <v>194</v>
      </c>
      <c r="AE184" s="12">
        <v>0.78500000000000003</v>
      </c>
    </row>
    <row r="185" spans="17:31" x14ac:dyDescent="0.3">
      <c r="Q185" s="13">
        <v>177</v>
      </c>
      <c r="R185" s="208" t="s">
        <v>400</v>
      </c>
      <c r="S185" s="262">
        <v>46286</v>
      </c>
      <c r="T185" s="6">
        <v>0.996</v>
      </c>
      <c r="U185" s="6"/>
      <c r="V185" s="6"/>
      <c r="AD185" s="13">
        <v>195</v>
      </c>
      <c r="AE185" s="12">
        <v>0.78800000000000003</v>
      </c>
    </row>
    <row r="186" spans="17:31" x14ac:dyDescent="0.3">
      <c r="Q186" s="13">
        <v>178</v>
      </c>
      <c r="R186" s="208" t="s">
        <v>402</v>
      </c>
      <c r="S186" s="262">
        <v>46286</v>
      </c>
      <c r="T186" s="6">
        <v>0.57499999999999996</v>
      </c>
      <c r="U186" s="6"/>
      <c r="V186" s="6"/>
      <c r="AD186" s="13">
        <v>196</v>
      </c>
      <c r="AE186" s="12">
        <v>0.79</v>
      </c>
    </row>
    <row r="187" spans="17:31" x14ac:dyDescent="0.3">
      <c r="Q187" s="13">
        <v>179</v>
      </c>
      <c r="R187" s="208" t="s">
        <v>383</v>
      </c>
      <c r="S187" s="262">
        <v>46286</v>
      </c>
      <c r="T187" s="6">
        <v>0.51</v>
      </c>
      <c r="U187" s="6"/>
      <c r="V187" s="6"/>
      <c r="AD187" s="13">
        <v>197</v>
      </c>
      <c r="AE187" s="12">
        <v>0.79400000000000004</v>
      </c>
    </row>
    <row r="188" spans="17:31" x14ac:dyDescent="0.3">
      <c r="Q188" s="13">
        <v>180</v>
      </c>
      <c r="R188" s="208" t="s">
        <v>403</v>
      </c>
      <c r="S188" s="262">
        <v>46286</v>
      </c>
      <c r="T188" s="6">
        <v>1.131</v>
      </c>
      <c r="U188" s="6"/>
      <c r="V188" s="6"/>
      <c r="AD188" s="13">
        <v>198</v>
      </c>
      <c r="AE188" s="12">
        <v>0.79700000000000004</v>
      </c>
    </row>
    <row r="189" spans="17:31" x14ac:dyDescent="0.3">
      <c r="Q189" s="13">
        <v>181</v>
      </c>
      <c r="R189" s="208" t="s">
        <v>405</v>
      </c>
      <c r="S189" s="262">
        <v>46286</v>
      </c>
      <c r="T189" s="6">
        <v>0.63500000000000001</v>
      </c>
      <c r="U189" s="6"/>
      <c r="V189" s="6"/>
      <c r="AD189" s="13">
        <v>199</v>
      </c>
      <c r="AE189" s="12">
        <v>0.80200000000000005</v>
      </c>
    </row>
    <row r="190" spans="17:31" x14ac:dyDescent="0.3">
      <c r="Q190" s="13">
        <v>182</v>
      </c>
      <c r="R190" s="208" t="s">
        <v>394</v>
      </c>
      <c r="S190" s="262">
        <v>46287</v>
      </c>
      <c r="T190" s="6">
        <v>1.0980000000000001</v>
      </c>
      <c r="U190" s="6"/>
      <c r="V190" s="6"/>
      <c r="AD190" s="13">
        <v>200</v>
      </c>
      <c r="AE190" s="12">
        <v>0.81</v>
      </c>
    </row>
    <row r="191" spans="17:31" x14ac:dyDescent="0.3">
      <c r="Q191" s="13">
        <v>183</v>
      </c>
      <c r="R191" s="208" t="s">
        <v>396</v>
      </c>
      <c r="S191" s="262">
        <v>46287</v>
      </c>
      <c r="T191" s="6">
        <v>1.464</v>
      </c>
      <c r="U191" s="6"/>
      <c r="V191" s="6"/>
      <c r="AD191" s="13">
        <v>201</v>
      </c>
      <c r="AE191" s="12">
        <v>0.81299999999999994</v>
      </c>
    </row>
    <row r="192" spans="17:31" x14ac:dyDescent="0.3">
      <c r="Q192" s="13">
        <v>184</v>
      </c>
      <c r="R192" s="208" t="s">
        <v>398</v>
      </c>
      <c r="S192" s="262">
        <v>46287</v>
      </c>
      <c r="T192" s="6">
        <v>0.90800000000000003</v>
      </c>
      <c r="U192" s="6"/>
      <c r="V192" s="6"/>
      <c r="AD192" s="13">
        <v>202</v>
      </c>
      <c r="AE192" s="12">
        <v>0.81599999999999995</v>
      </c>
    </row>
    <row r="193" spans="17:31" x14ac:dyDescent="0.3">
      <c r="Q193" s="13">
        <v>185</v>
      </c>
      <c r="R193" s="208" t="s">
        <v>400</v>
      </c>
      <c r="S193" s="262">
        <v>46287</v>
      </c>
      <c r="T193" s="6">
        <v>1.379</v>
      </c>
      <c r="U193" s="6"/>
      <c r="V193" s="6"/>
      <c r="AD193" s="13">
        <v>203</v>
      </c>
      <c r="AE193" s="12">
        <v>0.81599999999999995</v>
      </c>
    </row>
    <row r="194" spans="17:31" x14ac:dyDescent="0.3">
      <c r="Q194" s="13">
        <v>186</v>
      </c>
      <c r="R194" s="208" t="s">
        <v>398</v>
      </c>
      <c r="S194" s="262">
        <v>46288</v>
      </c>
      <c r="T194" s="6">
        <v>0.88</v>
      </c>
      <c r="U194" s="6"/>
      <c r="V194" s="6"/>
      <c r="AD194" s="13">
        <v>204</v>
      </c>
      <c r="AE194" s="12">
        <v>0.82299999999999995</v>
      </c>
    </row>
    <row r="195" spans="17:31" x14ac:dyDescent="0.3">
      <c r="Q195" s="13">
        <v>187</v>
      </c>
      <c r="R195" s="208" t="s">
        <v>400</v>
      </c>
      <c r="S195" s="262">
        <v>46288</v>
      </c>
      <c r="T195" s="6">
        <v>0.50900000000000001</v>
      </c>
      <c r="U195" s="6"/>
      <c r="V195" s="6"/>
      <c r="AD195" s="13">
        <v>205</v>
      </c>
      <c r="AE195" s="12">
        <v>0.82599999999999996</v>
      </c>
    </row>
    <row r="196" spans="17:31" x14ac:dyDescent="0.3">
      <c r="Q196" s="13">
        <v>188</v>
      </c>
      <c r="R196" s="208" t="s">
        <v>402</v>
      </c>
      <c r="S196" s="262">
        <v>46288</v>
      </c>
      <c r="T196" s="6">
        <v>0.38800000000000001</v>
      </c>
      <c r="U196" s="6"/>
      <c r="V196" s="6"/>
      <c r="AD196" s="13">
        <v>206</v>
      </c>
      <c r="AE196" s="12">
        <v>0.83099999999999996</v>
      </c>
    </row>
    <row r="197" spans="17:31" x14ac:dyDescent="0.3">
      <c r="Q197" s="13">
        <v>189</v>
      </c>
      <c r="R197" s="208" t="s">
        <v>383</v>
      </c>
      <c r="S197" s="262">
        <v>46288</v>
      </c>
      <c r="T197" s="6">
        <v>0.32700000000000001</v>
      </c>
      <c r="U197" s="6"/>
      <c r="V197" s="6"/>
      <c r="AD197" s="13">
        <v>207</v>
      </c>
      <c r="AE197" s="12">
        <v>0.83499999999999996</v>
      </c>
    </row>
    <row r="198" spans="17:31" x14ac:dyDescent="0.3">
      <c r="Q198" s="13">
        <v>190</v>
      </c>
      <c r="R198" s="208" t="s">
        <v>668</v>
      </c>
      <c r="S198" s="262">
        <v>46288</v>
      </c>
      <c r="T198" s="6">
        <v>0.47699999999999998</v>
      </c>
      <c r="U198" s="6"/>
      <c r="V198" s="6"/>
      <c r="AD198" s="13">
        <v>208</v>
      </c>
      <c r="AE198" s="1">
        <v>0.83599999999999997</v>
      </c>
    </row>
    <row r="199" spans="17:31" x14ac:dyDescent="0.3">
      <c r="Q199" s="13">
        <v>191</v>
      </c>
      <c r="R199" s="208" t="s">
        <v>669</v>
      </c>
      <c r="S199" s="262">
        <v>46288</v>
      </c>
      <c r="T199" s="6">
        <v>0.34200000000000003</v>
      </c>
      <c r="U199" s="6"/>
      <c r="V199" s="6"/>
      <c r="AD199" s="13">
        <v>209</v>
      </c>
      <c r="AE199" s="12">
        <v>0.83899999999999997</v>
      </c>
    </row>
    <row r="200" spans="17:31" x14ac:dyDescent="0.3">
      <c r="Q200" s="13">
        <v>192</v>
      </c>
      <c r="R200" s="208" t="s">
        <v>670</v>
      </c>
      <c r="S200" s="262">
        <v>46288</v>
      </c>
      <c r="T200" s="6">
        <v>0.67500000000000004</v>
      </c>
      <c r="U200" s="6"/>
      <c r="V200" s="6"/>
      <c r="AD200" s="13">
        <v>210</v>
      </c>
      <c r="AE200" s="12">
        <v>0.84599999999999997</v>
      </c>
    </row>
    <row r="201" spans="17:31" x14ac:dyDescent="0.3">
      <c r="Q201" s="13">
        <v>193</v>
      </c>
      <c r="R201" s="208" t="s">
        <v>671</v>
      </c>
      <c r="S201" s="262">
        <v>46288</v>
      </c>
      <c r="T201" s="6">
        <v>0.30199999999999999</v>
      </c>
      <c r="U201" s="6"/>
      <c r="V201" s="6"/>
      <c r="AD201" s="13">
        <v>211</v>
      </c>
      <c r="AE201" s="12">
        <v>0.84699999999999998</v>
      </c>
    </row>
    <row r="202" spans="17:31" x14ac:dyDescent="0.3">
      <c r="Q202" s="13">
        <v>194</v>
      </c>
      <c r="R202" s="208" t="s">
        <v>672</v>
      </c>
      <c r="S202" s="262">
        <v>46289</v>
      </c>
      <c r="T202" s="6">
        <v>0.97899999999999998</v>
      </c>
      <c r="U202" s="6"/>
      <c r="V202" s="6"/>
      <c r="AD202" s="13">
        <v>212</v>
      </c>
      <c r="AE202" s="12">
        <v>0.86299999999999999</v>
      </c>
    </row>
    <row r="203" spans="17:31" x14ac:dyDescent="0.3">
      <c r="Q203" s="13">
        <v>195</v>
      </c>
      <c r="R203" s="6" t="s">
        <v>673</v>
      </c>
      <c r="S203" s="262">
        <v>46289</v>
      </c>
      <c r="T203" s="6">
        <v>2.2559999999999998</v>
      </c>
      <c r="U203" s="6"/>
      <c r="V203" s="6"/>
      <c r="AD203" s="13">
        <v>213</v>
      </c>
      <c r="AE203" s="12">
        <v>0.872</v>
      </c>
    </row>
    <row r="204" spans="17:31" x14ac:dyDescent="0.3">
      <c r="Q204" s="13">
        <v>196</v>
      </c>
      <c r="R204" s="6" t="s">
        <v>674</v>
      </c>
      <c r="S204" s="262">
        <v>46289</v>
      </c>
      <c r="T204" s="6">
        <v>0.83099999999999996</v>
      </c>
      <c r="U204" s="6"/>
      <c r="V204" s="6"/>
      <c r="AD204" s="13">
        <v>214</v>
      </c>
      <c r="AE204" s="12">
        <v>0.873</v>
      </c>
    </row>
    <row r="205" spans="17:31" x14ac:dyDescent="0.3">
      <c r="Q205" s="13">
        <v>197</v>
      </c>
      <c r="R205" s="6" t="s">
        <v>675</v>
      </c>
      <c r="S205" s="262">
        <v>46289</v>
      </c>
      <c r="T205" s="6">
        <v>0.84599999999999997</v>
      </c>
      <c r="U205" s="6"/>
      <c r="V205" s="6"/>
      <c r="AD205" s="13">
        <v>215</v>
      </c>
      <c r="AE205" s="12">
        <v>0.88</v>
      </c>
    </row>
    <row r="206" spans="17:31" x14ac:dyDescent="0.3">
      <c r="Q206" s="13">
        <v>198</v>
      </c>
      <c r="R206" s="6" t="s">
        <v>400</v>
      </c>
      <c r="S206" s="262">
        <v>46289</v>
      </c>
      <c r="T206" s="6">
        <v>0.27900000000000003</v>
      </c>
      <c r="U206" s="6"/>
      <c r="V206" s="6"/>
      <c r="AD206" s="13">
        <v>216</v>
      </c>
      <c r="AE206" s="12">
        <v>0.88100000000000001</v>
      </c>
    </row>
    <row r="207" spans="17:31" x14ac:dyDescent="0.3">
      <c r="Q207" s="13">
        <v>199</v>
      </c>
      <c r="R207" s="6" t="s">
        <v>402</v>
      </c>
      <c r="S207" s="262">
        <v>46289</v>
      </c>
      <c r="T207" s="6">
        <v>0.20799999999999999</v>
      </c>
      <c r="U207" s="6"/>
      <c r="V207" s="6"/>
      <c r="AD207" s="13">
        <v>217</v>
      </c>
      <c r="AE207" s="12">
        <v>0.90500000000000003</v>
      </c>
    </row>
    <row r="208" spans="17:31" x14ac:dyDescent="0.3">
      <c r="Q208" s="13">
        <v>200</v>
      </c>
      <c r="R208" s="6" t="s">
        <v>383</v>
      </c>
      <c r="S208" s="262">
        <v>46289</v>
      </c>
      <c r="T208" s="6">
        <v>0.61</v>
      </c>
      <c r="U208" s="6"/>
      <c r="V208" s="6"/>
      <c r="AD208" s="13">
        <v>218</v>
      </c>
      <c r="AE208" s="12">
        <v>0.90800000000000003</v>
      </c>
    </row>
    <row r="209" spans="17:31" x14ac:dyDescent="0.3">
      <c r="Q209" s="13">
        <v>201</v>
      </c>
      <c r="R209" s="6" t="s">
        <v>403</v>
      </c>
      <c r="S209" s="262">
        <v>46289</v>
      </c>
      <c r="T209" s="6">
        <v>1.2190000000000001</v>
      </c>
      <c r="U209" s="6"/>
      <c r="V209" s="6"/>
      <c r="AD209" s="13">
        <v>219</v>
      </c>
      <c r="AE209" s="12">
        <v>0.91200000000000003</v>
      </c>
    </row>
    <row r="210" spans="17:31" x14ac:dyDescent="0.3">
      <c r="Q210" s="13">
        <v>202</v>
      </c>
      <c r="R210" s="208" t="s">
        <v>405</v>
      </c>
      <c r="S210" s="262">
        <v>46289</v>
      </c>
      <c r="T210" s="6">
        <v>0.57199999999999995</v>
      </c>
      <c r="U210" s="6"/>
      <c r="V210" s="6"/>
      <c r="AD210" s="13">
        <v>220</v>
      </c>
      <c r="AE210" s="1">
        <v>0.91700000000000004</v>
      </c>
    </row>
    <row r="211" spans="17:31" x14ac:dyDescent="0.3">
      <c r="Q211" s="13">
        <v>203</v>
      </c>
      <c r="R211" s="208" t="s">
        <v>668</v>
      </c>
      <c r="S211" s="262">
        <v>46289</v>
      </c>
      <c r="T211" s="6">
        <v>0.59299999999999997</v>
      </c>
      <c r="U211" s="6"/>
      <c r="V211" s="6"/>
      <c r="AD211" s="13">
        <v>221</v>
      </c>
      <c r="AE211" s="12">
        <v>0.92400000000000004</v>
      </c>
    </row>
    <row r="212" spans="17:31" x14ac:dyDescent="0.3">
      <c r="Q212" s="13">
        <v>204</v>
      </c>
      <c r="R212" s="208" t="s">
        <v>669</v>
      </c>
      <c r="S212" s="262">
        <v>46289</v>
      </c>
      <c r="T212" s="6">
        <v>0.51400000000000001</v>
      </c>
      <c r="U212" s="6"/>
      <c r="V212" s="6"/>
      <c r="AD212" s="13">
        <v>222</v>
      </c>
      <c r="AE212" s="12">
        <v>0.92600000000000005</v>
      </c>
    </row>
    <row r="213" spans="17:31" x14ac:dyDescent="0.3">
      <c r="Q213" s="13">
        <v>205</v>
      </c>
      <c r="R213" s="6" t="s">
        <v>670</v>
      </c>
      <c r="S213" s="262">
        <v>46289</v>
      </c>
      <c r="T213" s="6">
        <v>0.48799999999999999</v>
      </c>
      <c r="U213" s="6"/>
      <c r="V213" s="6"/>
      <c r="AD213" s="13">
        <v>223</v>
      </c>
      <c r="AE213" s="12">
        <v>0.94399999999999995</v>
      </c>
    </row>
    <row r="214" spans="17:31" x14ac:dyDescent="0.3">
      <c r="Q214" s="13">
        <v>206</v>
      </c>
      <c r="R214" s="6" t="s">
        <v>671</v>
      </c>
      <c r="S214" s="262">
        <v>46289</v>
      </c>
      <c r="T214" s="6">
        <v>0.51700000000000002</v>
      </c>
      <c r="U214" s="6"/>
      <c r="V214" s="6"/>
      <c r="AD214" s="13">
        <v>224</v>
      </c>
      <c r="AE214" s="12">
        <v>0.95</v>
      </c>
    </row>
    <row r="215" spans="17:31" x14ac:dyDescent="0.3">
      <c r="Q215" s="13">
        <v>207</v>
      </c>
      <c r="R215" s="208" t="s">
        <v>672</v>
      </c>
      <c r="S215" s="262">
        <v>46289</v>
      </c>
      <c r="T215" s="6">
        <v>0.71799999999999997</v>
      </c>
      <c r="U215" s="6"/>
      <c r="V215" s="6"/>
      <c r="AD215" s="13">
        <v>225</v>
      </c>
      <c r="AE215" s="12">
        <v>0.96199999999999997</v>
      </c>
    </row>
    <row r="216" spans="17:31" x14ac:dyDescent="0.3">
      <c r="Q216" s="13">
        <v>208</v>
      </c>
      <c r="R216" s="6" t="s">
        <v>388</v>
      </c>
      <c r="S216" s="262">
        <v>46290</v>
      </c>
      <c r="T216" s="6">
        <v>0.48399999999999999</v>
      </c>
      <c r="U216" s="6"/>
      <c r="V216" s="6"/>
      <c r="AD216" s="13">
        <v>226</v>
      </c>
      <c r="AE216" s="12">
        <v>0.96699999999999997</v>
      </c>
    </row>
    <row r="217" spans="17:31" x14ac:dyDescent="0.3">
      <c r="Q217" s="13">
        <v>209</v>
      </c>
      <c r="R217" s="6" t="s">
        <v>390</v>
      </c>
      <c r="S217" s="262">
        <v>46290</v>
      </c>
      <c r="T217" s="6">
        <v>0.24299999999999999</v>
      </c>
      <c r="U217" s="6"/>
      <c r="V217" s="6"/>
      <c r="AD217" s="13">
        <v>227</v>
      </c>
      <c r="AE217" s="12">
        <v>0.97099999999999997</v>
      </c>
    </row>
    <row r="218" spans="17:31" x14ac:dyDescent="0.3">
      <c r="Q218" s="13">
        <v>210</v>
      </c>
      <c r="R218" s="6" t="s">
        <v>392</v>
      </c>
      <c r="S218" s="262">
        <v>46290</v>
      </c>
      <c r="T218" s="6">
        <v>0.625</v>
      </c>
      <c r="U218" s="6"/>
      <c r="V218" s="6"/>
      <c r="AD218" s="13">
        <v>228</v>
      </c>
      <c r="AE218" s="12">
        <v>0.97899999999999998</v>
      </c>
    </row>
    <row r="219" spans="17:31" x14ac:dyDescent="0.3">
      <c r="Q219" s="13">
        <v>211</v>
      </c>
      <c r="R219" s="6" t="s">
        <v>394</v>
      </c>
      <c r="S219" s="262">
        <v>46290</v>
      </c>
      <c r="T219" s="6">
        <v>0.41699999999999998</v>
      </c>
      <c r="U219" s="6"/>
      <c r="V219" s="6"/>
      <c r="AD219" s="13">
        <v>229</v>
      </c>
      <c r="AE219" s="12">
        <v>0.98199999999999998</v>
      </c>
    </row>
    <row r="220" spans="17:31" x14ac:dyDescent="0.3">
      <c r="Q220" s="13">
        <v>212</v>
      </c>
      <c r="R220" s="208" t="s">
        <v>396</v>
      </c>
      <c r="S220" s="262">
        <v>46290</v>
      </c>
      <c r="T220" s="6">
        <v>0.35299999999999998</v>
      </c>
      <c r="U220" s="6"/>
      <c r="V220" s="6"/>
      <c r="AD220" s="13">
        <v>230</v>
      </c>
      <c r="AE220" s="1">
        <v>0.98599999999999999</v>
      </c>
    </row>
    <row r="221" spans="17:31" x14ac:dyDescent="0.3">
      <c r="Q221" s="13">
        <v>213</v>
      </c>
      <c r="R221" s="208" t="s">
        <v>398</v>
      </c>
      <c r="S221" s="262">
        <v>46290</v>
      </c>
      <c r="T221" s="6">
        <v>0.46</v>
      </c>
      <c r="U221" s="6"/>
      <c r="V221" s="6"/>
      <c r="AD221" s="13">
        <v>231</v>
      </c>
      <c r="AE221" s="12">
        <v>0.99399999999999999</v>
      </c>
    </row>
    <row r="222" spans="17:31" x14ac:dyDescent="0.3">
      <c r="Q222" s="13">
        <v>214</v>
      </c>
      <c r="R222" s="208" t="s">
        <v>400</v>
      </c>
      <c r="S222" s="262">
        <v>46290</v>
      </c>
      <c r="T222" s="6">
        <v>0.16200000000000001</v>
      </c>
      <c r="U222" s="6"/>
      <c r="V222" s="6"/>
      <c r="AD222" s="13">
        <v>232</v>
      </c>
      <c r="AE222" s="12">
        <v>0.996</v>
      </c>
    </row>
    <row r="223" spans="17:31" x14ac:dyDescent="0.3">
      <c r="Q223" s="13">
        <v>215</v>
      </c>
      <c r="R223" s="208" t="s">
        <v>402</v>
      </c>
      <c r="S223" s="262">
        <v>46290</v>
      </c>
      <c r="T223" s="6">
        <v>0.373</v>
      </c>
      <c r="U223" s="6"/>
      <c r="V223" s="6"/>
      <c r="AD223" s="13">
        <v>233</v>
      </c>
      <c r="AE223" s="12">
        <v>1.01</v>
      </c>
    </row>
    <row r="224" spans="17:31" x14ac:dyDescent="0.3">
      <c r="Q224" s="13">
        <v>216</v>
      </c>
      <c r="R224" s="208" t="s">
        <v>383</v>
      </c>
      <c r="S224" s="262">
        <v>46290</v>
      </c>
      <c r="T224" s="6">
        <v>0.92400000000000004</v>
      </c>
      <c r="U224" s="6"/>
      <c r="V224" s="6"/>
      <c r="AD224" s="13">
        <v>234</v>
      </c>
      <c r="AE224" s="12">
        <v>1.0349999999999999</v>
      </c>
    </row>
    <row r="225" spans="17:31" x14ac:dyDescent="0.3">
      <c r="Q225" s="13">
        <v>217</v>
      </c>
      <c r="R225" s="208" t="s">
        <v>403</v>
      </c>
      <c r="S225" s="262">
        <v>46290</v>
      </c>
      <c r="T225" s="6">
        <v>0.45700000000000002</v>
      </c>
      <c r="U225" s="6"/>
      <c r="V225" s="6"/>
      <c r="AD225" s="13">
        <v>235</v>
      </c>
      <c r="AE225" s="12">
        <v>1.0409999999999999</v>
      </c>
    </row>
    <row r="226" spans="17:31" x14ac:dyDescent="0.3">
      <c r="Q226" s="13">
        <v>218</v>
      </c>
      <c r="R226" s="208" t="s">
        <v>405</v>
      </c>
      <c r="S226" s="262">
        <v>46290</v>
      </c>
      <c r="T226" s="6">
        <v>0.309</v>
      </c>
      <c r="U226" s="6"/>
      <c r="V226" s="6"/>
      <c r="AD226" s="13">
        <v>236</v>
      </c>
      <c r="AE226" s="12">
        <v>1.042</v>
      </c>
    </row>
    <row r="227" spans="17:31" x14ac:dyDescent="0.3">
      <c r="Q227" s="13">
        <v>219</v>
      </c>
      <c r="R227" s="208" t="s">
        <v>669</v>
      </c>
      <c r="S227" s="262">
        <v>46290</v>
      </c>
      <c r="T227" s="6">
        <v>0.69499999999999995</v>
      </c>
      <c r="U227" s="6"/>
      <c r="V227" s="6"/>
      <c r="AD227" s="13">
        <v>237</v>
      </c>
      <c r="AE227" s="12">
        <v>1.0429999999999999</v>
      </c>
    </row>
    <row r="228" spans="17:31" x14ac:dyDescent="0.3">
      <c r="Q228" s="13">
        <v>220</v>
      </c>
      <c r="R228" s="208" t="s">
        <v>670</v>
      </c>
      <c r="S228" s="262">
        <v>46290</v>
      </c>
      <c r="T228" s="6">
        <v>0.34300000000000003</v>
      </c>
      <c r="U228" s="6"/>
      <c r="V228" s="6"/>
      <c r="AD228" s="13">
        <v>238</v>
      </c>
      <c r="AE228" s="1">
        <v>1.044</v>
      </c>
    </row>
    <row r="229" spans="17:31" x14ac:dyDescent="0.3">
      <c r="Q229" s="13">
        <v>221</v>
      </c>
      <c r="R229" s="208" t="s">
        <v>668</v>
      </c>
      <c r="S229" s="262">
        <v>46291</v>
      </c>
      <c r="T229" s="6">
        <v>0.51900000000000002</v>
      </c>
      <c r="U229" s="6"/>
      <c r="V229" s="6"/>
      <c r="AD229" s="13">
        <v>239</v>
      </c>
      <c r="AE229" s="12">
        <v>1.0569999999999999</v>
      </c>
    </row>
    <row r="230" spans="17:31" x14ac:dyDescent="0.3">
      <c r="Q230" s="13">
        <v>222</v>
      </c>
      <c r="R230" s="208" t="s">
        <v>669</v>
      </c>
      <c r="S230" s="262">
        <v>46291</v>
      </c>
      <c r="T230" s="6">
        <v>0.374</v>
      </c>
      <c r="U230" s="6"/>
      <c r="V230" s="6"/>
      <c r="AD230" s="13">
        <v>240</v>
      </c>
      <c r="AE230" s="12">
        <v>1.0609999999999999</v>
      </c>
    </row>
    <row r="231" spans="17:31" x14ac:dyDescent="0.3">
      <c r="Q231" s="13">
        <v>223</v>
      </c>
      <c r="R231" s="6" t="s">
        <v>670</v>
      </c>
      <c r="S231" s="262">
        <v>46291</v>
      </c>
      <c r="T231" s="6">
        <v>0.379</v>
      </c>
      <c r="U231" s="6"/>
      <c r="V231" s="6"/>
      <c r="AD231" s="13">
        <v>241</v>
      </c>
      <c r="AE231" s="12">
        <v>1.077</v>
      </c>
    </row>
    <row r="232" spans="17:31" x14ac:dyDescent="0.3">
      <c r="Q232" s="13">
        <v>224</v>
      </c>
      <c r="R232" s="6" t="s">
        <v>673</v>
      </c>
      <c r="S232" s="262">
        <v>46292</v>
      </c>
      <c r="T232" s="6">
        <v>0.40600000000000003</v>
      </c>
      <c r="U232" s="6"/>
      <c r="V232" s="6"/>
      <c r="AD232" s="13">
        <v>242</v>
      </c>
      <c r="AE232" s="12">
        <v>1.0780000000000001</v>
      </c>
    </row>
    <row r="233" spans="17:31" x14ac:dyDescent="0.3">
      <c r="Q233" s="13">
        <v>225</v>
      </c>
      <c r="R233" s="208" t="s">
        <v>674</v>
      </c>
      <c r="S233" s="262">
        <v>46292</v>
      </c>
      <c r="T233" s="6">
        <v>1.425</v>
      </c>
      <c r="U233" s="6"/>
      <c r="V233" s="6"/>
      <c r="AD233" s="13">
        <v>243</v>
      </c>
      <c r="AE233" s="12">
        <v>1.0880000000000001</v>
      </c>
    </row>
    <row r="234" spans="17:31" x14ac:dyDescent="0.3">
      <c r="Q234" s="13">
        <v>226</v>
      </c>
      <c r="R234" s="6" t="s">
        <v>388</v>
      </c>
      <c r="S234" s="262">
        <v>46292</v>
      </c>
      <c r="T234" s="6">
        <v>0.48</v>
      </c>
      <c r="U234" s="6"/>
      <c r="V234" s="6"/>
      <c r="AD234" s="13">
        <v>244</v>
      </c>
      <c r="AE234" s="12">
        <v>1.097</v>
      </c>
    </row>
    <row r="235" spans="17:31" x14ac:dyDescent="0.3">
      <c r="Q235" s="13">
        <v>227</v>
      </c>
      <c r="R235" s="6" t="s">
        <v>390</v>
      </c>
      <c r="S235" s="262">
        <v>46292</v>
      </c>
      <c r="T235" s="6">
        <v>0.23</v>
      </c>
      <c r="U235" s="6"/>
      <c r="V235" s="6"/>
      <c r="AD235" s="13">
        <v>245</v>
      </c>
      <c r="AE235" s="12">
        <v>1.0980000000000001</v>
      </c>
    </row>
    <row r="236" spans="17:31" x14ac:dyDescent="0.3">
      <c r="Q236" s="13">
        <v>228</v>
      </c>
      <c r="R236" s="6" t="s">
        <v>392</v>
      </c>
      <c r="S236" s="262">
        <v>46292</v>
      </c>
      <c r="T236" s="6">
        <v>0.313</v>
      </c>
      <c r="U236" s="6"/>
      <c r="V236" s="6"/>
      <c r="AD236" s="13">
        <v>246</v>
      </c>
      <c r="AE236" s="1">
        <v>1.1000000000000001</v>
      </c>
    </row>
    <row r="237" spans="17:31" x14ac:dyDescent="0.3">
      <c r="Q237" s="13">
        <v>229</v>
      </c>
      <c r="R237" s="6" t="s">
        <v>394</v>
      </c>
      <c r="S237" s="262">
        <v>46292</v>
      </c>
      <c r="T237" s="6">
        <v>0.53</v>
      </c>
      <c r="U237" s="6"/>
      <c r="V237" s="6"/>
      <c r="AD237" s="13">
        <v>247</v>
      </c>
      <c r="AE237" s="12">
        <v>1.1060000000000001</v>
      </c>
    </row>
    <row r="238" spans="17:31" x14ac:dyDescent="0.3">
      <c r="Q238" s="13">
        <v>230</v>
      </c>
      <c r="R238" s="208" t="s">
        <v>400</v>
      </c>
      <c r="S238" s="262">
        <v>46292</v>
      </c>
      <c r="T238" s="6">
        <v>0.622</v>
      </c>
      <c r="U238" s="6"/>
      <c r="V238" s="6"/>
      <c r="AD238" s="13">
        <v>248</v>
      </c>
      <c r="AE238" s="1">
        <v>1.125</v>
      </c>
    </row>
    <row r="239" spans="17:31" x14ac:dyDescent="0.3">
      <c r="Q239" s="13">
        <v>231</v>
      </c>
      <c r="R239" s="208" t="s">
        <v>402</v>
      </c>
      <c r="S239" s="262">
        <v>46292</v>
      </c>
      <c r="T239" s="6">
        <v>0.72399999999999998</v>
      </c>
      <c r="U239" s="6"/>
      <c r="V239" s="6"/>
      <c r="AD239" s="13">
        <v>249</v>
      </c>
      <c r="AE239" s="12">
        <v>1.131</v>
      </c>
    </row>
    <row r="240" spans="17:31" x14ac:dyDescent="0.3">
      <c r="Q240" s="13">
        <v>232</v>
      </c>
      <c r="R240" s="208" t="s">
        <v>383</v>
      </c>
      <c r="S240" s="262">
        <v>46292</v>
      </c>
      <c r="T240" s="6">
        <v>1.042</v>
      </c>
      <c r="U240" s="6"/>
      <c r="V240" s="6"/>
      <c r="AD240" s="13">
        <v>250</v>
      </c>
      <c r="AE240" s="12">
        <v>1.139</v>
      </c>
    </row>
    <row r="241" spans="17:31" x14ac:dyDescent="0.3">
      <c r="Q241" s="13">
        <v>233</v>
      </c>
      <c r="R241" s="208" t="s">
        <v>405</v>
      </c>
      <c r="S241" s="262">
        <v>46296</v>
      </c>
      <c r="T241" s="6">
        <v>0.95</v>
      </c>
      <c r="U241" s="6"/>
      <c r="V241" s="6"/>
      <c r="AD241" s="13">
        <v>251</v>
      </c>
      <c r="AE241" s="12">
        <v>1.141</v>
      </c>
    </row>
    <row r="242" spans="17:31" x14ac:dyDescent="0.3">
      <c r="Q242" s="13">
        <v>234</v>
      </c>
      <c r="R242" s="208" t="s">
        <v>668</v>
      </c>
      <c r="S242" s="262">
        <v>46296</v>
      </c>
      <c r="T242" s="6">
        <v>0.69699999999999995</v>
      </c>
      <c r="U242" s="6"/>
      <c r="V242" s="6"/>
      <c r="AD242" s="13">
        <v>252</v>
      </c>
      <c r="AE242" s="12">
        <v>1.147</v>
      </c>
    </row>
    <row r="243" spans="17:31" x14ac:dyDescent="0.3">
      <c r="Q243" s="13">
        <v>235</v>
      </c>
      <c r="R243" s="208" t="s">
        <v>669</v>
      </c>
      <c r="S243" s="262">
        <v>46296</v>
      </c>
      <c r="T243" s="6">
        <v>0.40400000000000003</v>
      </c>
      <c r="U243" s="6"/>
      <c r="V243" s="6"/>
      <c r="AD243" s="13">
        <v>253</v>
      </c>
      <c r="AE243" s="1">
        <v>1.2170000000000001</v>
      </c>
    </row>
    <row r="244" spans="17:31" x14ac:dyDescent="0.3">
      <c r="Q244" s="13">
        <v>236</v>
      </c>
      <c r="R244" s="208" t="s">
        <v>670</v>
      </c>
      <c r="S244" s="262">
        <v>46296</v>
      </c>
      <c r="T244" s="6">
        <v>0.96699999999999997</v>
      </c>
      <c r="U244" s="6"/>
      <c r="V244" s="6"/>
      <c r="AD244" s="13">
        <v>254</v>
      </c>
      <c r="AE244" s="12">
        <v>1.2190000000000001</v>
      </c>
    </row>
    <row r="245" spans="17:31" x14ac:dyDescent="0.3">
      <c r="Q245" s="13">
        <v>237</v>
      </c>
      <c r="R245" s="6" t="s">
        <v>671</v>
      </c>
      <c r="S245" s="62">
        <v>46296</v>
      </c>
      <c r="T245" s="6">
        <v>1.141</v>
      </c>
      <c r="U245" s="6"/>
      <c r="V245" s="6"/>
      <c r="AD245" s="13">
        <v>255</v>
      </c>
      <c r="AE245" s="12">
        <v>1.2270000000000001</v>
      </c>
    </row>
    <row r="246" spans="17:31" x14ac:dyDescent="0.3">
      <c r="Q246" s="13">
        <v>238</v>
      </c>
      <c r="R246" s="208" t="s">
        <v>672</v>
      </c>
      <c r="S246" s="62">
        <v>46297</v>
      </c>
      <c r="T246" s="6">
        <v>1.7989999999999999</v>
      </c>
      <c r="U246" s="6"/>
      <c r="V246" s="6"/>
      <c r="AD246" s="13">
        <v>256</v>
      </c>
      <c r="AE246" s="12">
        <v>1.2330000000000001</v>
      </c>
    </row>
    <row r="247" spans="17:31" x14ac:dyDescent="0.3">
      <c r="Q247" s="13">
        <v>239</v>
      </c>
      <c r="R247" s="6" t="s">
        <v>744</v>
      </c>
      <c r="S247" s="62">
        <v>46297</v>
      </c>
      <c r="T247" s="6">
        <v>2.262</v>
      </c>
      <c r="U247" s="6"/>
      <c r="V247" s="6"/>
      <c r="AD247" s="13">
        <v>257</v>
      </c>
      <c r="AE247" s="12">
        <v>1.234</v>
      </c>
    </row>
    <row r="248" spans="17:31" x14ac:dyDescent="0.3">
      <c r="Q248" s="13">
        <v>240</v>
      </c>
      <c r="R248" s="6" t="s">
        <v>674</v>
      </c>
      <c r="S248" s="62">
        <v>46297</v>
      </c>
      <c r="T248" s="6">
        <v>2.0390000000000001</v>
      </c>
      <c r="U248" s="6"/>
      <c r="V248" s="6"/>
      <c r="AD248" s="13">
        <v>258</v>
      </c>
      <c r="AE248" s="12">
        <v>1.2350000000000001</v>
      </c>
    </row>
    <row r="249" spans="17:31" x14ac:dyDescent="0.3">
      <c r="Q249" s="13">
        <v>241</v>
      </c>
      <c r="R249" s="6" t="s">
        <v>675</v>
      </c>
      <c r="S249" s="62">
        <v>46297</v>
      </c>
      <c r="T249" s="6">
        <v>0.873</v>
      </c>
      <c r="U249" s="6"/>
      <c r="V249" s="6"/>
      <c r="AD249" s="13">
        <v>259</v>
      </c>
      <c r="AE249" s="12">
        <v>1.2390000000000001</v>
      </c>
    </row>
    <row r="250" spans="17:31" x14ac:dyDescent="0.3">
      <c r="Q250" s="13">
        <v>242</v>
      </c>
      <c r="R250" s="6" t="s">
        <v>668</v>
      </c>
      <c r="S250" s="62">
        <v>46297</v>
      </c>
      <c r="T250" s="6">
        <v>0.27300000000000002</v>
      </c>
      <c r="U250" s="6"/>
      <c r="V250" s="6"/>
      <c r="AD250" s="13">
        <v>260</v>
      </c>
      <c r="AE250" s="12">
        <v>1.25</v>
      </c>
    </row>
    <row r="251" spans="17:31" x14ac:dyDescent="0.3">
      <c r="Q251" s="13">
        <v>243</v>
      </c>
      <c r="R251" s="6" t="s">
        <v>669</v>
      </c>
      <c r="S251" s="62">
        <v>46297</v>
      </c>
      <c r="T251" s="6">
        <v>0.39700000000000002</v>
      </c>
      <c r="U251" s="6"/>
      <c r="V251" s="6"/>
      <c r="AD251" s="13">
        <v>261</v>
      </c>
      <c r="AE251" s="12">
        <v>1.2789999999999999</v>
      </c>
    </row>
    <row r="252" spans="17:31" x14ac:dyDescent="0.3">
      <c r="Q252" s="13">
        <v>244</v>
      </c>
      <c r="R252" s="6" t="s">
        <v>670</v>
      </c>
      <c r="S252" s="62">
        <v>46297</v>
      </c>
      <c r="T252" s="6">
        <v>0.14000000000000001</v>
      </c>
      <c r="U252" s="6"/>
      <c r="V252" s="6"/>
      <c r="AD252" s="13">
        <v>262</v>
      </c>
      <c r="AE252" s="12">
        <v>1.2929999999999999</v>
      </c>
    </row>
    <row r="253" spans="17:31" x14ac:dyDescent="0.3">
      <c r="Q253" s="13">
        <v>245</v>
      </c>
      <c r="R253" s="6" t="s">
        <v>671</v>
      </c>
      <c r="S253" s="62">
        <v>46297</v>
      </c>
      <c r="T253" s="6">
        <v>2.2789999999999999</v>
      </c>
      <c r="U253" s="6"/>
      <c r="V253" s="6"/>
      <c r="AD253" s="13">
        <v>263</v>
      </c>
      <c r="AE253" s="1">
        <v>1.2949999999999999</v>
      </c>
    </row>
    <row r="254" spans="17:31" x14ac:dyDescent="0.3">
      <c r="Q254" s="13">
        <v>246</v>
      </c>
      <c r="R254" s="6" t="s">
        <v>744</v>
      </c>
      <c r="S254" s="62">
        <v>46298</v>
      </c>
      <c r="T254" s="6">
        <v>0.20699999999999999</v>
      </c>
      <c r="U254" s="6"/>
      <c r="V254" s="6"/>
      <c r="AD254" s="13">
        <v>264</v>
      </c>
      <c r="AE254" s="1">
        <v>1.3080000000000001</v>
      </c>
    </row>
    <row r="255" spans="17:31" x14ac:dyDescent="0.3">
      <c r="Q255" s="13">
        <v>247</v>
      </c>
      <c r="R255" s="6" t="s">
        <v>673</v>
      </c>
      <c r="S255" s="62">
        <v>46298</v>
      </c>
      <c r="T255" s="6">
        <v>0.17799999999999999</v>
      </c>
      <c r="U255" s="6"/>
      <c r="V255" s="6"/>
      <c r="AD255" s="13">
        <v>265</v>
      </c>
      <c r="AE255" s="12">
        <v>1.3220000000000001</v>
      </c>
    </row>
    <row r="256" spans="17:31" x14ac:dyDescent="0.3">
      <c r="Q256" s="13">
        <v>248</v>
      </c>
      <c r="R256" s="6" t="s">
        <v>674</v>
      </c>
      <c r="S256" s="62">
        <v>46298</v>
      </c>
      <c r="T256" s="239">
        <v>0.73199999999999998</v>
      </c>
      <c r="U256" s="6"/>
      <c r="V256" s="6"/>
      <c r="AD256" s="13">
        <v>266</v>
      </c>
      <c r="AE256" s="1">
        <v>1.3280000000000001</v>
      </c>
    </row>
    <row r="257" spans="13:31" x14ac:dyDescent="0.3">
      <c r="Q257" s="13">
        <v>249</v>
      </c>
      <c r="R257" s="6" t="s">
        <v>676</v>
      </c>
      <c r="S257" s="62">
        <v>46298</v>
      </c>
      <c r="T257" s="6">
        <v>0.60099999999999998</v>
      </c>
      <c r="U257" s="6"/>
      <c r="V257" s="6"/>
      <c r="AD257" s="13">
        <v>267</v>
      </c>
      <c r="AE257" s="12">
        <v>1.379</v>
      </c>
    </row>
    <row r="258" spans="13:31" x14ac:dyDescent="0.3">
      <c r="Q258" s="13">
        <v>250</v>
      </c>
      <c r="R258" s="6" t="s">
        <v>677</v>
      </c>
      <c r="S258" s="62">
        <v>46298</v>
      </c>
      <c r="T258" s="6">
        <v>1.2789999999999999</v>
      </c>
      <c r="U258" s="6"/>
      <c r="V258" s="6"/>
      <c r="AD258" s="13">
        <v>268</v>
      </c>
      <c r="AE258" s="12">
        <v>1.3919999999999999</v>
      </c>
    </row>
    <row r="259" spans="13:31" x14ac:dyDescent="0.3">
      <c r="Q259" s="13">
        <v>251</v>
      </c>
      <c r="R259" s="6" t="s">
        <v>631</v>
      </c>
      <c r="S259" s="62">
        <v>46298</v>
      </c>
      <c r="T259" s="6">
        <v>0.25700000000000001</v>
      </c>
      <c r="U259" s="6"/>
      <c r="V259" s="6"/>
      <c r="AD259" s="13">
        <v>269</v>
      </c>
      <c r="AE259" s="12">
        <v>1.4</v>
      </c>
    </row>
    <row r="260" spans="13:31" x14ac:dyDescent="0.3">
      <c r="Q260" s="13">
        <v>252</v>
      </c>
      <c r="R260" s="6" t="s">
        <v>668</v>
      </c>
      <c r="S260" s="62">
        <v>46298</v>
      </c>
      <c r="T260" s="6">
        <v>0.67700000000000005</v>
      </c>
      <c r="U260" s="6"/>
      <c r="V260" s="6"/>
      <c r="AD260" s="13">
        <v>270</v>
      </c>
      <c r="AE260" s="12">
        <v>1.425</v>
      </c>
    </row>
    <row r="261" spans="13:31" x14ac:dyDescent="0.3">
      <c r="M261"/>
      <c r="Q261" s="13">
        <v>253</v>
      </c>
      <c r="R261" s="208" t="s">
        <v>669</v>
      </c>
      <c r="S261" s="62">
        <v>46298</v>
      </c>
      <c r="T261" s="6"/>
      <c r="U261" s="6"/>
      <c r="V261" s="6"/>
      <c r="AD261" s="13">
        <v>271</v>
      </c>
      <c r="AE261" s="12">
        <v>1.464</v>
      </c>
    </row>
    <row r="262" spans="13:31" x14ac:dyDescent="0.3">
      <c r="M262" s="1"/>
      <c r="Q262" s="13">
        <v>254</v>
      </c>
      <c r="R262" s="208" t="s">
        <v>670</v>
      </c>
      <c r="S262" s="62">
        <v>46298</v>
      </c>
      <c r="T262" s="6">
        <v>0.45</v>
      </c>
      <c r="U262" s="6"/>
      <c r="V262" s="6"/>
      <c r="AD262" s="13">
        <v>272</v>
      </c>
      <c r="AE262" s="12">
        <v>1.47</v>
      </c>
    </row>
    <row r="263" spans="13:31" x14ac:dyDescent="0.3">
      <c r="M263" s="1"/>
      <c r="Q263" s="13">
        <v>255</v>
      </c>
      <c r="R263" s="208" t="s">
        <v>671</v>
      </c>
      <c r="S263" s="62">
        <v>46298</v>
      </c>
      <c r="T263" s="6">
        <v>0.29799999999999999</v>
      </c>
      <c r="U263" s="6"/>
      <c r="V263" s="6"/>
      <c r="AE263" s="12">
        <v>1.552</v>
      </c>
    </row>
    <row r="264" spans="13:31" x14ac:dyDescent="0.3">
      <c r="M264" s="1"/>
      <c r="Q264" s="13">
        <v>256</v>
      </c>
      <c r="R264" s="6" t="s">
        <v>672</v>
      </c>
      <c r="S264" s="62">
        <v>46299</v>
      </c>
      <c r="T264" s="6">
        <v>0.78200000000000003</v>
      </c>
      <c r="U264" s="6"/>
      <c r="V264" s="6"/>
      <c r="AE264" s="12">
        <v>1.583</v>
      </c>
    </row>
    <row r="265" spans="13:31" x14ac:dyDescent="0.3">
      <c r="M265" s="1"/>
      <c r="Q265" s="13">
        <v>257</v>
      </c>
      <c r="R265" s="6" t="s">
        <v>744</v>
      </c>
      <c r="S265" s="62">
        <v>46299</v>
      </c>
      <c r="T265" s="6">
        <v>0.83499999999999996</v>
      </c>
      <c r="U265" s="6"/>
      <c r="V265" s="6"/>
      <c r="AE265" s="12">
        <v>1.59</v>
      </c>
    </row>
    <row r="266" spans="13:31" x14ac:dyDescent="0.3">
      <c r="M266" s="1"/>
      <c r="Q266" s="13">
        <v>258</v>
      </c>
      <c r="R266" s="6" t="s">
        <v>673</v>
      </c>
      <c r="S266" s="62">
        <v>46299</v>
      </c>
      <c r="T266" s="6">
        <v>0.251</v>
      </c>
      <c r="U266" s="6"/>
      <c r="V266" s="6"/>
      <c r="AE266" s="12">
        <v>1.629</v>
      </c>
    </row>
    <row r="267" spans="13:31" x14ac:dyDescent="0.3">
      <c r="M267"/>
      <c r="Q267" s="13">
        <v>259</v>
      </c>
      <c r="R267" s="6" t="s">
        <v>674</v>
      </c>
      <c r="S267" s="62">
        <v>46299</v>
      </c>
      <c r="T267" s="6">
        <v>0.74199999999999999</v>
      </c>
      <c r="U267" s="6"/>
      <c r="V267" s="6"/>
      <c r="AE267" s="12">
        <v>1.635</v>
      </c>
    </row>
    <row r="268" spans="13:31" x14ac:dyDescent="0.3">
      <c r="Q268" s="13">
        <v>260</v>
      </c>
      <c r="R268" s="6" t="s">
        <v>675</v>
      </c>
      <c r="S268" s="62">
        <v>46299</v>
      </c>
      <c r="T268" s="6">
        <v>0.99399999999999999</v>
      </c>
      <c r="U268" s="6"/>
      <c r="V268" s="6"/>
      <c r="AE268" s="1">
        <v>1.718</v>
      </c>
    </row>
    <row r="269" spans="13:31" x14ac:dyDescent="0.3">
      <c r="Q269" s="13">
        <v>261</v>
      </c>
      <c r="R269" s="6" t="s">
        <v>676</v>
      </c>
      <c r="S269" s="62">
        <v>46299</v>
      </c>
      <c r="T269" s="6">
        <v>0.24</v>
      </c>
      <c r="U269" s="6"/>
      <c r="V269" s="6"/>
      <c r="AE269" s="1">
        <v>1.7190000000000001</v>
      </c>
    </row>
    <row r="270" spans="13:31" x14ac:dyDescent="0.3">
      <c r="Q270" s="13">
        <v>262</v>
      </c>
      <c r="R270" s="6" t="s">
        <v>677</v>
      </c>
      <c r="S270" s="62">
        <v>46299</v>
      </c>
      <c r="T270" s="6">
        <v>0.56999999999999995</v>
      </c>
      <c r="U270" s="6"/>
      <c r="V270" s="6"/>
      <c r="AE270" s="12">
        <v>1.7509999999999999</v>
      </c>
    </row>
    <row r="271" spans="13:31" x14ac:dyDescent="0.3">
      <c r="Q271" s="13">
        <v>263</v>
      </c>
      <c r="R271" s="6" t="s">
        <v>630</v>
      </c>
      <c r="S271" s="62">
        <v>46299</v>
      </c>
      <c r="T271" s="6">
        <v>1.2270000000000001</v>
      </c>
      <c r="U271" s="6"/>
      <c r="V271" s="6"/>
      <c r="AE271" s="12">
        <v>1.7989999999999999</v>
      </c>
    </row>
    <row r="272" spans="13:31" x14ac:dyDescent="0.3">
      <c r="Q272" s="13">
        <v>264</v>
      </c>
      <c r="R272" s="6" t="s">
        <v>388</v>
      </c>
      <c r="S272" s="62">
        <v>46299</v>
      </c>
      <c r="T272" s="6">
        <v>0.50600000000000001</v>
      </c>
      <c r="U272" s="6"/>
      <c r="V272" s="6"/>
      <c r="AE272" s="12">
        <v>1.8</v>
      </c>
    </row>
    <row r="273" spans="17:31" x14ac:dyDescent="0.3">
      <c r="Q273" s="13">
        <v>265</v>
      </c>
      <c r="R273" s="6" t="s">
        <v>390</v>
      </c>
      <c r="S273" s="62">
        <v>46299</v>
      </c>
      <c r="T273" s="6"/>
      <c r="U273" s="6"/>
      <c r="V273" s="6"/>
      <c r="AE273" s="12">
        <v>1.8220000000000001</v>
      </c>
    </row>
    <row r="274" spans="17:31" x14ac:dyDescent="0.3">
      <c r="Q274" s="13">
        <v>266</v>
      </c>
      <c r="R274" s="6" t="s">
        <v>392</v>
      </c>
      <c r="S274" s="62">
        <v>46299</v>
      </c>
      <c r="T274" s="6">
        <v>0.52300000000000002</v>
      </c>
      <c r="U274" s="6"/>
      <c r="V274" s="6"/>
      <c r="AE274" s="12">
        <v>1.8380000000000001</v>
      </c>
    </row>
    <row r="275" spans="17:31" x14ac:dyDescent="0.3">
      <c r="Q275" s="13">
        <v>267</v>
      </c>
      <c r="R275" s="6" t="s">
        <v>744</v>
      </c>
      <c r="S275" s="62">
        <v>46301</v>
      </c>
      <c r="T275" s="6">
        <v>0.73499999999999999</v>
      </c>
      <c r="U275" s="6"/>
      <c r="V275" s="6"/>
      <c r="AE275" s="12">
        <v>1.9410000000000001</v>
      </c>
    </row>
    <row r="276" spans="17:31" x14ac:dyDescent="0.3">
      <c r="Q276" s="13">
        <v>268</v>
      </c>
      <c r="R276" s="6" t="s">
        <v>673</v>
      </c>
      <c r="S276" s="62">
        <v>46301</v>
      </c>
      <c r="T276" s="6">
        <v>0.78200000000000003</v>
      </c>
      <c r="U276" s="6"/>
      <c r="V276" s="6"/>
      <c r="AE276" s="12">
        <v>1.9630000000000001</v>
      </c>
    </row>
    <row r="277" spans="17:31" x14ac:dyDescent="0.3">
      <c r="Q277" s="13">
        <v>269</v>
      </c>
      <c r="R277" s="208" t="s">
        <v>674</v>
      </c>
      <c r="S277" s="62">
        <v>46301</v>
      </c>
      <c r="T277" s="6">
        <v>0.73299999999999998</v>
      </c>
      <c r="U277" s="6"/>
      <c r="V277" s="6"/>
      <c r="AE277" s="12">
        <v>2.0110000000000001</v>
      </c>
    </row>
    <row r="278" spans="17:31" x14ac:dyDescent="0.3">
      <c r="Q278" s="13">
        <v>270</v>
      </c>
      <c r="R278" s="208" t="s">
        <v>675</v>
      </c>
      <c r="S278" s="62">
        <v>46301</v>
      </c>
      <c r="T278" s="6">
        <v>0.749</v>
      </c>
      <c r="U278" s="6"/>
      <c r="V278" s="6"/>
      <c r="AE278" s="12">
        <v>2.028</v>
      </c>
    </row>
    <row r="279" spans="17:31" x14ac:dyDescent="0.3">
      <c r="Q279" s="13">
        <v>271</v>
      </c>
      <c r="R279" s="6" t="s">
        <v>668</v>
      </c>
      <c r="S279" s="62">
        <v>46302</v>
      </c>
      <c r="T279" s="6">
        <v>0.49399999999999999</v>
      </c>
      <c r="U279" s="6"/>
      <c r="V279" s="6"/>
      <c r="AE279" s="12">
        <v>2.0390000000000001</v>
      </c>
    </row>
    <row r="280" spans="17:31" x14ac:dyDescent="0.3">
      <c r="Q280" s="13">
        <v>272</v>
      </c>
      <c r="R280" s="6" t="s">
        <v>669</v>
      </c>
      <c r="S280" s="62">
        <v>46302</v>
      </c>
      <c r="T280" s="6">
        <v>0.68799999999999994</v>
      </c>
      <c r="U280" s="6"/>
      <c r="V280" s="6"/>
      <c r="AE280" s="12">
        <v>2.0979999999999999</v>
      </c>
    </row>
    <row r="281" spans="17:31" x14ac:dyDescent="0.3">
      <c r="Q281" s="13">
        <v>273</v>
      </c>
      <c r="R281" s="6" t="s">
        <v>670</v>
      </c>
      <c r="S281" s="62">
        <v>46302</v>
      </c>
      <c r="T281" s="6">
        <v>0.48099999999999998</v>
      </c>
      <c r="U281" s="6"/>
      <c r="V281" s="6"/>
      <c r="AE281" s="12">
        <v>2.2559999999999998</v>
      </c>
    </row>
    <row r="282" spans="17:31" x14ac:dyDescent="0.3">
      <c r="Q282" s="13">
        <v>274</v>
      </c>
      <c r="R282" s="6" t="s">
        <v>671</v>
      </c>
      <c r="S282" s="62">
        <v>46302</v>
      </c>
      <c r="T282" s="6">
        <v>0.60299999999999998</v>
      </c>
      <c r="U282" s="6"/>
      <c r="V282" s="6"/>
      <c r="AE282" s="12">
        <v>2.262</v>
      </c>
    </row>
    <row r="283" spans="17:31" x14ac:dyDescent="0.3">
      <c r="Q283" s="13">
        <v>275</v>
      </c>
      <c r="R283" s="6" t="s">
        <v>672</v>
      </c>
      <c r="S283" s="62">
        <v>46303</v>
      </c>
      <c r="T283" s="6">
        <v>0.41799999999999998</v>
      </c>
      <c r="U283" s="6"/>
      <c r="V283" s="6"/>
      <c r="AE283" s="12">
        <v>2.2789999999999999</v>
      </c>
    </row>
    <row r="284" spans="17:31" x14ac:dyDescent="0.3">
      <c r="Q284" s="13">
        <v>276</v>
      </c>
      <c r="R284" s="6" t="s">
        <v>673</v>
      </c>
      <c r="S284" s="62">
        <v>46303</v>
      </c>
      <c r="T284" s="6">
        <v>1.7509999999999999</v>
      </c>
      <c r="U284" s="6"/>
      <c r="V284" s="6"/>
      <c r="AE284" s="12">
        <v>2.5209999999999999</v>
      </c>
    </row>
    <row r="285" spans="17:31" x14ac:dyDescent="0.3">
      <c r="Q285" s="13">
        <v>277</v>
      </c>
      <c r="R285" s="6" t="s">
        <v>674</v>
      </c>
      <c r="S285" s="62">
        <v>46303</v>
      </c>
      <c r="T285" s="6">
        <v>0.65600000000000003</v>
      </c>
      <c r="U285" s="6"/>
      <c r="V285" s="6"/>
      <c r="AE285" s="12">
        <v>2.72</v>
      </c>
    </row>
    <row r="286" spans="17:31" x14ac:dyDescent="0.3">
      <c r="Q286" s="13">
        <v>278</v>
      </c>
      <c r="R286" s="6" t="s">
        <v>675</v>
      </c>
      <c r="S286" s="62">
        <v>46303</v>
      </c>
      <c r="T286" s="6">
        <v>0.58199999999999996</v>
      </c>
      <c r="U286" s="6"/>
      <c r="V286" s="6"/>
      <c r="AE286" s="12">
        <v>3.032</v>
      </c>
    </row>
    <row r="287" spans="17:31" x14ac:dyDescent="0.3">
      <c r="Q287" s="13">
        <v>279</v>
      </c>
      <c r="R287" s="6" t="s">
        <v>676</v>
      </c>
      <c r="S287" s="62">
        <v>46303</v>
      </c>
      <c r="T287" s="6">
        <v>0.64500000000000002</v>
      </c>
      <c r="U287" s="6"/>
      <c r="V287" s="6"/>
      <c r="AE287" s="12">
        <v>3.2160000000000002</v>
      </c>
    </row>
    <row r="288" spans="17:31" x14ac:dyDescent="0.3">
      <c r="Q288" s="13">
        <v>280</v>
      </c>
      <c r="R288" s="6" t="s">
        <v>677</v>
      </c>
      <c r="S288" s="62">
        <v>46303</v>
      </c>
      <c r="T288" s="6">
        <v>0.97099999999999997</v>
      </c>
      <c r="U288" s="6"/>
      <c r="V288" s="6"/>
      <c r="AE288" s="12">
        <v>3.2330000000000001</v>
      </c>
    </row>
    <row r="289" spans="17:31" x14ac:dyDescent="0.3">
      <c r="Q289" s="13">
        <v>281</v>
      </c>
      <c r="R289" s="6" t="s">
        <v>390</v>
      </c>
      <c r="S289" s="62">
        <v>46303</v>
      </c>
      <c r="T289" s="6">
        <v>1.8</v>
      </c>
      <c r="U289" s="6"/>
      <c r="V289" s="6"/>
      <c r="AE289" s="12">
        <v>3.8769999999999998</v>
      </c>
    </row>
    <row r="290" spans="17:31" x14ac:dyDescent="0.3">
      <c r="Q290" s="13">
        <v>282</v>
      </c>
      <c r="R290" s="6" t="s">
        <v>392</v>
      </c>
      <c r="S290" s="62">
        <v>46303</v>
      </c>
      <c r="T290" s="6">
        <v>0.79400000000000004</v>
      </c>
      <c r="U290" s="6"/>
      <c r="V290" s="6"/>
      <c r="AE290" s="12">
        <v>4.383</v>
      </c>
    </row>
    <row r="291" spans="17:31" x14ac:dyDescent="0.3">
      <c r="Q291" s="13">
        <v>283</v>
      </c>
      <c r="R291" s="6" t="s">
        <v>396</v>
      </c>
      <c r="S291" s="62">
        <v>46303</v>
      </c>
      <c r="T291" s="6">
        <v>0.68100000000000005</v>
      </c>
      <c r="U291" s="6"/>
      <c r="V291" s="6"/>
    </row>
    <row r="292" spans="17:31" x14ac:dyDescent="0.3">
      <c r="Q292" s="13">
        <v>284</v>
      </c>
      <c r="R292" s="6" t="s">
        <v>398</v>
      </c>
      <c r="S292" s="62">
        <v>46303</v>
      </c>
      <c r="T292" s="6"/>
      <c r="U292" s="6"/>
      <c r="V292" s="6"/>
    </row>
    <row r="293" spans="17:31" x14ac:dyDescent="0.3">
      <c r="Q293" s="13">
        <v>285</v>
      </c>
      <c r="R293" s="208" t="s">
        <v>400</v>
      </c>
      <c r="S293" s="62">
        <v>46303</v>
      </c>
      <c r="T293" s="6">
        <v>0.59099999999999997</v>
      </c>
      <c r="U293" s="6"/>
      <c r="V293" s="6"/>
    </row>
    <row r="294" spans="17:31" x14ac:dyDescent="0.3">
      <c r="Q294" s="13">
        <v>286</v>
      </c>
      <c r="R294" s="208" t="s">
        <v>669</v>
      </c>
      <c r="S294" s="62">
        <v>46303</v>
      </c>
      <c r="T294" s="6">
        <v>0.249</v>
      </c>
      <c r="U294" s="6"/>
      <c r="V294" s="6"/>
    </row>
    <row r="295" spans="17:31" x14ac:dyDescent="0.3">
      <c r="Q295" s="13">
        <v>287</v>
      </c>
      <c r="R295" s="208" t="s">
        <v>670</v>
      </c>
      <c r="S295" s="62">
        <v>46303</v>
      </c>
      <c r="T295" s="6">
        <v>0.29399999999999998</v>
      </c>
      <c r="U295" s="6"/>
      <c r="V295" s="6"/>
    </row>
    <row r="296" spans="17:31" x14ac:dyDescent="0.3">
      <c r="Q296" s="13">
        <v>288</v>
      </c>
      <c r="R296" s="208" t="s">
        <v>671</v>
      </c>
      <c r="S296" s="62">
        <v>46303</v>
      </c>
      <c r="T296" s="6">
        <v>0.21099999999999999</v>
      </c>
      <c r="U296" s="6"/>
      <c r="V296" s="6"/>
    </row>
    <row r="297" spans="17:31" x14ac:dyDescent="0.3">
      <c r="Q297" s="13">
        <v>289</v>
      </c>
      <c r="R297" s="208" t="s">
        <v>673</v>
      </c>
      <c r="S297" s="62">
        <v>46304</v>
      </c>
      <c r="T297" s="6">
        <v>9.2999999999999999E-2</v>
      </c>
      <c r="U297" s="6"/>
      <c r="V297" s="6"/>
    </row>
    <row r="298" spans="17:31" x14ac:dyDescent="0.3">
      <c r="Q298" s="13">
        <v>290</v>
      </c>
      <c r="R298" s="6" t="s">
        <v>674</v>
      </c>
      <c r="S298" s="62">
        <v>46304</v>
      </c>
      <c r="T298" s="6">
        <v>0.36</v>
      </c>
      <c r="U298" s="6"/>
      <c r="V298" s="6"/>
    </row>
    <row r="299" spans="17:31" x14ac:dyDescent="0.3">
      <c r="Q299" s="13">
        <v>291</v>
      </c>
      <c r="R299" s="6" t="s">
        <v>675</v>
      </c>
      <c r="S299" s="62">
        <v>46304</v>
      </c>
      <c r="T299" s="6">
        <v>1.0609999999999999</v>
      </c>
      <c r="U299" s="6"/>
      <c r="V299" s="6"/>
    </row>
    <row r="300" spans="17:31" x14ac:dyDescent="0.3">
      <c r="Q300" s="13">
        <v>292</v>
      </c>
      <c r="R300" s="6" t="s">
        <v>676</v>
      </c>
      <c r="S300" s="62">
        <v>46304</v>
      </c>
      <c r="T300" s="6">
        <v>0.81</v>
      </c>
      <c r="U300" s="6"/>
      <c r="V300" s="6"/>
    </row>
    <row r="301" spans="17:31" x14ac:dyDescent="0.3">
      <c r="Q301" s="13">
        <v>293</v>
      </c>
      <c r="R301" s="6" t="s">
        <v>677</v>
      </c>
      <c r="S301" s="62">
        <v>46304</v>
      </c>
      <c r="T301" s="6">
        <v>1.01</v>
      </c>
      <c r="U301" s="6"/>
      <c r="V301" s="6"/>
    </row>
    <row r="302" spans="17:31" x14ac:dyDescent="0.3">
      <c r="Q302" s="13">
        <v>302</v>
      </c>
      <c r="R302" s="6"/>
      <c r="S302" s="62"/>
      <c r="T302" s="6"/>
      <c r="U302" s="6"/>
      <c r="V302" s="6"/>
    </row>
    <row r="303" spans="17:31" x14ac:dyDescent="0.3">
      <c r="Q303" s="13">
        <v>303</v>
      </c>
      <c r="R303" s="6"/>
      <c r="S303" s="62"/>
      <c r="T303" s="6"/>
      <c r="U303" s="6"/>
      <c r="V303" s="6"/>
    </row>
    <row r="304" spans="17:31" x14ac:dyDescent="0.3">
      <c r="Q304" s="13">
        <v>304</v>
      </c>
      <c r="R304" s="6"/>
      <c r="S304" s="62"/>
      <c r="T304" s="6"/>
      <c r="U304" s="6"/>
      <c r="V304" s="6"/>
    </row>
    <row r="305" spans="17:22" x14ac:dyDescent="0.3">
      <c r="Q305" s="13">
        <v>305</v>
      </c>
      <c r="R305" s="6"/>
      <c r="S305" s="62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596">
    <sortCondition ref="AE1:AE596"/>
  </sortState>
  <mergeCells count="5">
    <mergeCell ref="B2:M2"/>
    <mergeCell ref="B3:M3"/>
    <mergeCell ref="Q7:V7"/>
    <mergeCell ref="AG38:AL38"/>
    <mergeCell ref="B110:J111"/>
  </mergeCells>
  <phoneticPr fontId="103" type="noConversion"/>
  <conditionalFormatting sqref="T1:T1048576">
    <cfRule type="cellIs" dxfId="7" priority="1" operator="lessThan">
      <formula>1</formula>
    </cfRule>
    <cfRule type="cellIs" dxfId="6" priority="2" operator="greaterThan">
      <formula>2.5</formula>
    </cfRule>
  </conditionalFormatting>
  <conditionalFormatting sqref="AE1:AE107 AE132:AE1048576">
    <cfRule type="cellIs" dxfId="5" priority="6" operator="lessThan">
      <formula>0.85</formula>
    </cfRule>
    <cfRule type="cellIs" dxfId="4" priority="8" operator="lessThan">
      <formula>0.756</formula>
    </cfRule>
    <cfRule type="cellIs" dxfId="3" priority="9" operator="lessThan">
      <formula>0.6</formula>
    </cfRule>
    <cfRule type="cellIs" dxfId="2" priority="10" operator="lessThan">
      <formula>0.3</formula>
    </cfRule>
  </conditionalFormatting>
  <conditionalFormatting sqref="AE1:AE1048576">
    <cfRule type="cellIs" dxfId="1" priority="3" operator="lessThan">
      <formula>0.81</formula>
    </cfRule>
    <cfRule type="cellIs" dxfId="0" priority="4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713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713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714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716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716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723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5"/>
    </row>
    <row r="28" spans="1:9" x14ac:dyDescent="0.3">
      <c r="B28" s="6"/>
      <c r="C28" s="6"/>
      <c r="D28" s="6" t="s">
        <v>730</v>
      </c>
      <c r="E28" s="6" t="s">
        <v>734</v>
      </c>
      <c r="F28" s="1126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opLeftCell="E1" zoomScale="70" zoomScaleNormal="70" workbookViewId="0">
      <pane ySplit="4" topLeftCell="A112" activePane="bottomLeft" state="frozen"/>
      <selection pane="bottomLeft" activeCell="AD121" sqref="AD12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70" t="s">
        <v>32</v>
      </c>
      <c r="I2" s="1570"/>
      <c r="J2" s="1570"/>
      <c r="K2" s="1570"/>
    </row>
    <row r="3" spans="1:92" ht="15" thickBot="1" x14ac:dyDescent="0.35"/>
    <row r="4" spans="1:92" ht="29.4" thickBot="1" x14ac:dyDescent="0.35">
      <c r="A4" s="585" t="s">
        <v>543</v>
      </c>
      <c r="B4" s="1679" t="s">
        <v>0</v>
      </c>
      <c r="C4" s="1680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5" t="s">
        <v>582</v>
      </c>
      <c r="AB4" s="922" t="s">
        <v>511</v>
      </c>
      <c r="AC4" s="721" t="s">
        <v>579</v>
      </c>
    </row>
    <row r="5" spans="1:92" ht="30.6" customHeight="1" thickBot="1" x14ac:dyDescent="0.35">
      <c r="A5" s="1668">
        <v>1</v>
      </c>
      <c r="B5" s="1524">
        <v>46265</v>
      </c>
      <c r="C5" s="1524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46">
        <f>SUM(M5:M6)</f>
        <v>95.90021999999999</v>
      </c>
      <c r="O5" s="553">
        <f t="shared" ref="O5:O11" si="1">M5/((720-R5)/60)</f>
        <v>2.8865657961661344</v>
      </c>
      <c r="P5" s="1646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56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34" t="s">
        <v>38</v>
      </c>
      <c r="AH5" s="1635"/>
      <c r="AI5" s="1635"/>
      <c r="AJ5" s="1636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668"/>
      <c r="B6" s="1524"/>
      <c r="C6" s="1524"/>
      <c r="D6" s="741" t="s">
        <v>440</v>
      </c>
      <c r="E6" s="741" t="s">
        <v>438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46"/>
      <c r="O6" s="553">
        <f t="shared" si="1"/>
        <v>5.4819764049999984</v>
      </c>
      <c r="P6" s="1646"/>
      <c r="Q6" s="553">
        <f t="shared" si="2"/>
        <v>720</v>
      </c>
      <c r="R6" s="553">
        <f>'Milling Down Time Hours'!G6</f>
        <v>0</v>
      </c>
      <c r="S6" s="1656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668"/>
      <c r="B7" s="1524">
        <v>46266</v>
      </c>
      <c r="C7" s="1524"/>
      <c r="D7" s="741" t="s">
        <v>439</v>
      </c>
      <c r="E7" s="741" t="s">
        <v>438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46">
        <f>SUM(M7:M8)</f>
        <v>196.41338000000002</v>
      </c>
      <c r="O7" s="553">
        <f t="shared" si="1"/>
        <v>6.5721821250000003</v>
      </c>
      <c r="P7" s="1646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56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68"/>
      <c r="B8" s="1524"/>
      <c r="C8" s="1524"/>
      <c r="D8" s="742" t="s">
        <v>440</v>
      </c>
      <c r="E8" s="742" t="s">
        <v>441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46"/>
      <c r="O8" s="553">
        <f t="shared" si="1"/>
        <v>10.78414628440367</v>
      </c>
      <c r="P8" s="1646"/>
      <c r="Q8" s="553">
        <f t="shared" si="2"/>
        <v>654</v>
      </c>
      <c r="R8" s="553">
        <f>'Milling Down Time Hours'!G8</f>
        <v>66</v>
      </c>
      <c r="S8" s="1656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71">
        <v>2</v>
      </c>
      <c r="B9" s="1526">
        <v>46267</v>
      </c>
      <c r="C9" s="1526"/>
      <c r="D9" s="743" t="s">
        <v>439</v>
      </c>
      <c r="E9" s="743" t="s">
        <v>444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72">
        <f>SUM(M9:M10)</f>
        <v>209.804</v>
      </c>
      <c r="O9" s="485">
        <f t="shared" si="1"/>
        <v>10.565099999999999</v>
      </c>
      <c r="P9" s="1672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51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71"/>
      <c r="B10" s="1526"/>
      <c r="C10" s="1526"/>
      <c r="D10" s="743" t="s">
        <v>443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72"/>
      <c r="O10" s="485">
        <f t="shared" si="1"/>
        <v>8.6794166666666666</v>
      </c>
      <c r="P10" s="1672"/>
      <c r="Q10" s="485">
        <f t="shared" si="2"/>
        <v>720</v>
      </c>
      <c r="R10" s="931">
        <f>'Milling Down Time Hours'!G10</f>
        <v>0</v>
      </c>
      <c r="S10" s="1651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71"/>
      <c r="B11" s="1526">
        <v>46268</v>
      </c>
      <c r="C11" s="1526"/>
      <c r="D11" s="743" t="s">
        <v>439</v>
      </c>
      <c r="E11" s="744" t="s">
        <v>470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72">
        <f>SUM(M11:M12)</f>
        <v>90.338150000000013</v>
      </c>
      <c r="O11" s="485">
        <f t="shared" si="1"/>
        <v>7.5281791666666678</v>
      </c>
      <c r="P11" s="1672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51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0.36326831063673182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71"/>
      <c r="B12" s="1533"/>
      <c r="C12" s="1533"/>
      <c r="D12" s="787" t="s">
        <v>443</v>
      </c>
      <c r="E12" s="788" t="s">
        <v>466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65"/>
      <c r="O12" s="554"/>
      <c r="P12" s="1665"/>
      <c r="Q12" s="554">
        <f t="shared" si="2"/>
        <v>660</v>
      </c>
      <c r="R12" s="957">
        <f>'Milling Down Time Hours'!G12</f>
        <v>60.000000000000007</v>
      </c>
      <c r="S12" s="1643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448.6363636363638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87"/>
      <c r="B13" s="1676">
        <v>46269</v>
      </c>
      <c r="C13" s="1549"/>
      <c r="D13" s="1685" t="s">
        <v>483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674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786.36363636363626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687"/>
      <c r="B14" s="1677"/>
      <c r="C14" s="1535"/>
      <c r="D14" s="1686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675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667">
        <v>46270</v>
      </c>
      <c r="C15" s="1667"/>
      <c r="D15" s="790"/>
      <c r="E15" s="790" t="s">
        <v>484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68">
        <v>3</v>
      </c>
      <c r="B16" s="1524">
        <v>46270</v>
      </c>
      <c r="C16" s="1524"/>
      <c r="D16" s="544" t="s">
        <v>440</v>
      </c>
      <c r="E16" s="570" t="s">
        <v>485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56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68"/>
      <c r="B17" s="1524">
        <v>46271</v>
      </c>
      <c r="C17" s="1524"/>
      <c r="D17" s="599" t="s">
        <v>440</v>
      </c>
      <c r="E17" s="599" t="s">
        <v>505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46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69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68"/>
      <c r="B18" s="1524"/>
      <c r="C18" s="1524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46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69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68"/>
      <c r="B19" s="1524">
        <v>46272</v>
      </c>
      <c r="C19" s="1524"/>
      <c r="D19" s="599" t="s">
        <v>169</v>
      </c>
      <c r="E19" s="746" t="s">
        <v>517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70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69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71">
        <v>4</v>
      </c>
      <c r="B20" s="1526">
        <v>46272</v>
      </c>
      <c r="C20" s="1526"/>
      <c r="D20" s="548" t="s">
        <v>508</v>
      </c>
      <c r="E20" s="623" t="s">
        <v>548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47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5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71"/>
      <c r="B21" s="1526">
        <v>46273</v>
      </c>
      <c r="C21" s="1526"/>
      <c r="D21" s="549" t="s">
        <v>169</v>
      </c>
      <c r="E21" s="549" t="s">
        <v>518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72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5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71"/>
      <c r="B22" s="1526"/>
      <c r="C22" s="1526"/>
      <c r="D22" s="747" t="s">
        <v>522</v>
      </c>
      <c r="E22" s="748" t="s">
        <v>528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673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5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71"/>
      <c r="B23" s="1526">
        <v>46274</v>
      </c>
      <c r="C23" s="1526"/>
      <c r="D23" s="748" t="s">
        <v>169</v>
      </c>
      <c r="E23" s="749" t="s">
        <v>520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5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37">
        <v>46274</v>
      </c>
      <c r="C24" s="1537"/>
      <c r="D24" s="750" t="s">
        <v>522</v>
      </c>
      <c r="E24" s="751" t="s">
        <v>547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68">
        <v>5</v>
      </c>
      <c r="B25" s="1524">
        <v>46275</v>
      </c>
      <c r="C25" s="1524"/>
      <c r="D25" s="575" t="s">
        <v>169</v>
      </c>
      <c r="E25" s="576" t="s">
        <v>521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46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56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68"/>
      <c r="B26" s="1524"/>
      <c r="C26" s="1524"/>
      <c r="D26" s="577" t="s">
        <v>540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47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5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68"/>
      <c r="B27" s="1524">
        <v>46276</v>
      </c>
      <c r="C27" s="1524"/>
      <c r="D27" s="577" t="s">
        <v>539</v>
      </c>
      <c r="E27" s="838" t="s">
        <v>553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46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5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26">
        <v>46276</v>
      </c>
      <c r="C28" s="1526"/>
      <c r="D28" s="786" t="s">
        <v>539</v>
      </c>
      <c r="E28" s="969" t="s">
        <v>581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46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51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71">
        <v>6</v>
      </c>
      <c r="B29" s="1526">
        <v>46276</v>
      </c>
      <c r="C29" s="1526"/>
      <c r="D29" s="487" t="s">
        <v>549</v>
      </c>
      <c r="E29" s="837" t="s">
        <v>546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51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71"/>
      <c r="B30" s="1526">
        <v>46277</v>
      </c>
      <c r="C30" s="1526"/>
      <c r="D30" s="623" t="s">
        <v>550</v>
      </c>
      <c r="E30" s="752" t="s">
        <v>551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72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51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71"/>
      <c r="B31" s="1526"/>
      <c r="C31" s="1526"/>
      <c r="D31" s="753" t="s">
        <v>569</v>
      </c>
      <c r="E31" s="753" t="s">
        <v>570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72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51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81"/>
      <c r="B32" s="1537">
        <v>46278</v>
      </c>
      <c r="C32" s="1537"/>
      <c r="D32" s="754" t="s">
        <v>571</v>
      </c>
      <c r="E32" s="754" t="s">
        <v>570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82"/>
      <c r="B33" s="1537">
        <v>46278</v>
      </c>
      <c r="C33" s="1537"/>
      <c r="D33" s="754" t="s">
        <v>571</v>
      </c>
      <c r="E33" s="754" t="s">
        <v>570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661">
        <v>46279</v>
      </c>
      <c r="C34" s="1662"/>
      <c r="D34" s="754" t="s">
        <v>571</v>
      </c>
      <c r="E34" s="754" t="s">
        <v>570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84">
        <v>7</v>
      </c>
      <c r="B35" s="1663">
        <v>46279</v>
      </c>
      <c r="C35" s="1664"/>
      <c r="D35" s="755" t="s">
        <v>169</v>
      </c>
      <c r="E35" s="756" t="s">
        <v>580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48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84"/>
      <c r="B36" s="1657">
        <v>46280</v>
      </c>
      <c r="C36" s="1658"/>
      <c r="D36" s="816" t="s">
        <v>522</v>
      </c>
      <c r="E36" s="816" t="s">
        <v>589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46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49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84"/>
      <c r="B37" s="1659"/>
      <c r="C37" s="1660"/>
      <c r="D37" s="769" t="s">
        <v>515</v>
      </c>
      <c r="E37" s="836" t="s">
        <v>629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46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50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83">
        <v>8</v>
      </c>
      <c r="B38" s="1652">
        <v>46281</v>
      </c>
      <c r="C38" s="1653"/>
      <c r="D38" s="487" t="s">
        <v>625</v>
      </c>
      <c r="E38" s="826" t="s">
        <v>591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43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43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83"/>
      <c r="B39" s="1654"/>
      <c r="C39" s="1655"/>
      <c r="D39" s="826" t="s">
        <v>597</v>
      </c>
      <c r="E39" s="826" t="s">
        <v>598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45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44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83"/>
      <c r="B40" s="1652">
        <v>46282</v>
      </c>
      <c r="C40" s="1653"/>
      <c r="D40" s="487" t="s">
        <v>625</v>
      </c>
      <c r="E40" s="918" t="s">
        <v>626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65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44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83"/>
      <c r="B41" s="1654"/>
      <c r="C41" s="1655"/>
      <c r="D41" s="943" t="s">
        <v>597</v>
      </c>
      <c r="E41" s="956" t="s">
        <v>640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666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45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78">
        <v>9</v>
      </c>
      <c r="B42" s="1606">
        <v>46283</v>
      </c>
      <c r="C42" s="1607"/>
      <c r="D42" s="667" t="s">
        <v>645</v>
      </c>
      <c r="E42" s="667" t="s">
        <v>644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01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01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78"/>
      <c r="B43" s="1608"/>
      <c r="C43" s="1609"/>
      <c r="D43" s="983" t="s">
        <v>597</v>
      </c>
      <c r="E43" s="973" t="s">
        <v>643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33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599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78"/>
      <c r="B44" s="1606">
        <v>46284</v>
      </c>
      <c r="C44" s="1607"/>
      <c r="D44" s="667" t="s">
        <v>645</v>
      </c>
      <c r="E44" s="667" t="s">
        <v>643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01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599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78"/>
      <c r="B45" s="1608"/>
      <c r="C45" s="1609"/>
      <c r="D45" s="983" t="s">
        <v>646</v>
      </c>
      <c r="E45" s="1035" t="s">
        <v>655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33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600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596">
        <v>10</v>
      </c>
      <c r="B46" s="1579">
        <v>46285</v>
      </c>
      <c r="C46" s="1580"/>
      <c r="D46" s="451" t="s">
        <v>507</v>
      </c>
      <c r="E46" s="451" t="s">
        <v>654</v>
      </c>
      <c r="F46" s="1030" t="s">
        <v>12</v>
      </c>
      <c r="G46" s="450" t="s">
        <v>683</v>
      </c>
      <c r="H46" s="931" t="s">
        <v>684</v>
      </c>
      <c r="I46" s="931" t="s">
        <v>685</v>
      </c>
      <c r="J46" s="1079" t="s">
        <v>686</v>
      </c>
      <c r="K46" s="450" t="s">
        <v>687</v>
      </c>
      <c r="L46" s="934" t="s">
        <v>688</v>
      </c>
      <c r="M46" s="1031" t="s">
        <v>689</v>
      </c>
      <c r="N46" s="1082" t="s">
        <v>692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596"/>
      <c r="B47" s="1581"/>
      <c r="C47" s="1582"/>
      <c r="D47" s="1054" t="s">
        <v>508</v>
      </c>
      <c r="E47" s="1054" t="s">
        <v>654</v>
      </c>
      <c r="F47" s="944" t="s">
        <v>13</v>
      </c>
      <c r="G47" s="931" t="s">
        <v>678</v>
      </c>
      <c r="H47" s="931" t="s">
        <v>678</v>
      </c>
      <c r="I47" s="931" t="s">
        <v>678</v>
      </c>
      <c r="J47" s="931" t="s">
        <v>678</v>
      </c>
      <c r="K47" s="931" t="s">
        <v>678</v>
      </c>
      <c r="L47" s="931" t="s">
        <v>678</v>
      </c>
      <c r="M47" s="931" t="s">
        <v>678</v>
      </c>
      <c r="N47" s="931" t="s">
        <v>678</v>
      </c>
      <c r="O47" s="931" t="s">
        <v>678</v>
      </c>
      <c r="P47" s="931" t="s">
        <v>678</v>
      </c>
      <c r="Q47" s="931" t="s">
        <v>678</v>
      </c>
      <c r="R47" s="931" t="s">
        <v>678</v>
      </c>
      <c r="S47" s="931" t="s">
        <v>678</v>
      </c>
      <c r="T47" s="931" t="s">
        <v>678</v>
      </c>
      <c r="U47" s="931" t="s">
        <v>678</v>
      </c>
      <c r="V47" s="931" t="s">
        <v>678</v>
      </c>
      <c r="W47" s="931" t="s">
        <v>678</v>
      </c>
      <c r="X47" s="931" t="s">
        <v>678</v>
      </c>
      <c r="Y47" s="931" t="s">
        <v>678</v>
      </c>
      <c r="Z47" s="931" t="s">
        <v>678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596"/>
      <c r="B48" s="1579">
        <v>46286</v>
      </c>
      <c r="C48" s="1580"/>
      <c r="D48" s="451" t="s">
        <v>507</v>
      </c>
      <c r="E48" s="451" t="s">
        <v>662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573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573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596"/>
      <c r="B49" s="1581"/>
      <c r="C49" s="1582"/>
      <c r="D49" s="1072" t="s">
        <v>540</v>
      </c>
      <c r="E49" s="1078" t="s">
        <v>680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11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574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596"/>
      <c r="B50" s="1579">
        <v>46287</v>
      </c>
      <c r="C50" s="1580"/>
      <c r="D50" s="451" t="s">
        <v>681</v>
      </c>
      <c r="E50" s="451" t="s">
        <v>682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573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574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596"/>
      <c r="B51" s="1581"/>
      <c r="C51" s="1582"/>
      <c r="D51" s="1085" t="s">
        <v>508</v>
      </c>
      <c r="E51" s="1085" t="s">
        <v>696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11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574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596"/>
      <c r="B52" s="1579">
        <v>46288</v>
      </c>
      <c r="C52" s="1580"/>
      <c r="D52" s="451" t="s">
        <v>507</v>
      </c>
      <c r="E52" s="451" t="s">
        <v>698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573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574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596"/>
      <c r="B53" s="1581"/>
      <c r="C53" s="1582"/>
      <c r="D53" s="1097" t="s">
        <v>508</v>
      </c>
      <c r="E53" s="1101" t="s">
        <v>701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11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574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583">
        <v>46289</v>
      </c>
      <c r="C54" s="1584"/>
      <c r="D54" s="451" t="s">
        <v>507</v>
      </c>
      <c r="E54" s="451" t="s">
        <v>702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573">
        <f>SUM(M54:M56)</f>
        <v>299.60957198599993</v>
      </c>
      <c r="O54" s="1573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575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688"/>
      <c r="C55" s="1689"/>
      <c r="D55" s="667" t="s">
        <v>507</v>
      </c>
      <c r="E55" s="667" t="s">
        <v>747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574"/>
      <c r="O55" s="1574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78">
        <v>11</v>
      </c>
      <c r="B56" s="1585"/>
      <c r="C56" s="1586"/>
      <c r="D56" s="1113" t="s">
        <v>540</v>
      </c>
      <c r="E56" s="1119" t="s">
        <v>706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11"/>
      <c r="O56" s="1575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01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78"/>
      <c r="B57" s="1606">
        <v>46290</v>
      </c>
      <c r="C57" s="1607"/>
      <c r="D57" s="667" t="s">
        <v>681</v>
      </c>
      <c r="E57" s="667" t="s">
        <v>707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01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599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78"/>
      <c r="B58" s="1608"/>
      <c r="C58" s="1609"/>
      <c r="D58" s="1113" t="s">
        <v>540</v>
      </c>
      <c r="E58" s="1133" t="s">
        <v>745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33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600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596">
        <v>12</v>
      </c>
      <c r="B59" s="1579">
        <v>46291</v>
      </c>
      <c r="C59" s="1580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596"/>
      <c r="B60" s="1581"/>
      <c r="C60" s="1582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596"/>
      <c r="B61" s="1579">
        <v>46292</v>
      </c>
      <c r="C61" s="1580"/>
      <c r="D61" s="451" t="s">
        <v>507</v>
      </c>
      <c r="E61" s="451" t="s">
        <v>752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573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26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596"/>
      <c r="B62" s="1581"/>
      <c r="C62" s="1582"/>
      <c r="D62" s="1163" t="s">
        <v>507</v>
      </c>
      <c r="E62" s="1163" t="s">
        <v>753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11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27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596"/>
      <c r="B63" s="1579">
        <v>46293</v>
      </c>
      <c r="C63" s="1580"/>
      <c r="D63" s="451" t="s">
        <v>540</v>
      </c>
      <c r="E63" s="451" t="s">
        <v>754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573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27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596"/>
      <c r="B64" s="1581"/>
      <c r="C64" s="1582"/>
      <c r="D64" s="1164" t="s">
        <v>755</v>
      </c>
      <c r="E64" s="1164" t="s">
        <v>754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11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27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606">
        <v>46294</v>
      </c>
      <c r="C65" s="1607"/>
      <c r="D65" s="451" t="s">
        <v>541</v>
      </c>
      <c r="E65" s="451" t="s">
        <v>759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01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28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608"/>
      <c r="C66" s="1609"/>
      <c r="D66" s="966"/>
      <c r="E66" s="1180" t="s">
        <v>765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600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583">
        <v>46295</v>
      </c>
      <c r="C67" s="1584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585"/>
      <c r="C68" s="1586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31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583">
        <v>46296</v>
      </c>
      <c r="C69" s="1584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32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585"/>
      <c r="C70" s="1586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31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583">
        <v>46297</v>
      </c>
      <c r="C71" s="1584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32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585"/>
      <c r="C72" s="1586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31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583">
        <v>46298</v>
      </c>
      <c r="C73" s="1584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32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585"/>
      <c r="C74" s="1586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597">
        <v>13</v>
      </c>
      <c r="B75" s="1606">
        <v>46299</v>
      </c>
      <c r="C75" s="1607"/>
      <c r="D75" s="667" t="s">
        <v>794</v>
      </c>
      <c r="E75" s="1598" t="s">
        <v>765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01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01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597"/>
      <c r="B76" s="1608"/>
      <c r="C76" s="1609"/>
      <c r="D76" s="667" t="s">
        <v>794</v>
      </c>
      <c r="E76" s="1599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600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599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597"/>
      <c r="B77" s="1606">
        <v>46300</v>
      </c>
      <c r="C77" s="1607"/>
      <c r="D77" s="667" t="s">
        <v>794</v>
      </c>
      <c r="E77" s="1599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01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599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597"/>
      <c r="B78" s="1608"/>
      <c r="C78" s="1609"/>
      <c r="D78" s="667" t="s">
        <v>794</v>
      </c>
      <c r="E78" s="1600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600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600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596">
        <v>14</v>
      </c>
      <c r="B79" s="1579">
        <v>46301</v>
      </c>
      <c r="C79" s="1580"/>
      <c r="D79" s="451" t="s">
        <v>794</v>
      </c>
      <c r="E79" s="1623" t="s">
        <v>781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573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596"/>
      <c r="B80" s="1637"/>
      <c r="C80" s="1638"/>
      <c r="D80" s="451" t="s">
        <v>794</v>
      </c>
      <c r="E80" s="1610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si="67"/>
        <v>0</v>
      </c>
      <c r="N80" s="1610"/>
      <c r="O80" s="1134"/>
      <c r="P80" s="1574">
        <f>'Milling Down Time Hours'!Q43</f>
        <v>23.5</v>
      </c>
      <c r="Q80" s="1195"/>
      <c r="R80" s="1574">
        <f>'Milling Down Time Hours'!L85</f>
        <v>0.8965277777777777</v>
      </c>
      <c r="S80" s="451"/>
      <c r="T80" s="1639">
        <v>0.35699999999999998</v>
      </c>
      <c r="U80" s="1639">
        <v>1.056</v>
      </c>
      <c r="V80" s="1641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596"/>
      <c r="B81" s="1637"/>
      <c r="C81" s="1638"/>
      <c r="D81" s="451" t="s">
        <v>794</v>
      </c>
      <c r="E81" s="1610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610"/>
      <c r="O81" s="1134"/>
      <c r="P81" s="1619"/>
      <c r="Q81" s="1201"/>
      <c r="R81" s="1619"/>
      <c r="S81" s="451"/>
      <c r="T81" s="1640"/>
      <c r="U81" s="1640"/>
      <c r="V81" s="1642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596"/>
      <c r="B82" s="1637"/>
      <c r="C82" s="1638"/>
      <c r="D82" s="451" t="s">
        <v>794</v>
      </c>
      <c r="E82" s="1610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610"/>
      <c r="O82" s="1134"/>
      <c r="P82" s="1618">
        <f>'Milling Down Time Hours'!M87</f>
        <v>0</v>
      </c>
      <c r="Q82" s="1204"/>
      <c r="R82" s="1618">
        <f>'Milling Down Time Hours'!L87</f>
        <v>0.7090277777777777</v>
      </c>
      <c r="S82" s="451"/>
      <c r="T82" s="1616" t="e">
        <f>SUM(#REF!)</f>
        <v>#REF!</v>
      </c>
      <c r="U82" s="1616" t="e">
        <f t="shared" ref="U82:V82" si="68">SUM(T82:T84)</f>
        <v>#REF!</v>
      </c>
      <c r="V82" s="1614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596"/>
      <c r="B83" s="1637"/>
      <c r="C83" s="1638"/>
      <c r="D83" s="451" t="s">
        <v>794</v>
      </c>
      <c r="E83" s="1610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610"/>
      <c r="O83" s="1134"/>
      <c r="P83" s="1619"/>
      <c r="Q83" s="1201"/>
      <c r="R83" s="1619"/>
      <c r="S83" s="451"/>
      <c r="T83" s="1617"/>
      <c r="U83" s="1617"/>
      <c r="V83" s="1615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596"/>
      <c r="B84" s="1637"/>
      <c r="C84" s="1638"/>
      <c r="D84" s="451" t="s">
        <v>794</v>
      </c>
      <c r="E84" s="1610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610"/>
      <c r="O84" s="1134"/>
      <c r="P84" s="1618">
        <f>'Milling Down Time Hours'!M89</f>
        <v>0</v>
      </c>
      <c r="Q84" s="1204"/>
      <c r="R84" s="1618">
        <f>'Milling Down Time Hours'!L89</f>
        <v>1</v>
      </c>
      <c r="S84" s="451"/>
      <c r="T84" s="1616" t="e">
        <f>SUM(#REF!)</f>
        <v>#REF!</v>
      </c>
      <c r="U84" s="1616" t="e">
        <f t="shared" ref="U84:V84" si="69">SUM(T84:T86)</f>
        <v>#REF!</v>
      </c>
      <c r="V84" s="1614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596"/>
      <c r="B85" s="1637"/>
      <c r="C85" s="1638"/>
      <c r="D85" s="451" t="s">
        <v>794</v>
      </c>
      <c r="E85" s="1610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610"/>
      <c r="O85" s="1134"/>
      <c r="P85" s="1619"/>
      <c r="Q85" s="1201"/>
      <c r="R85" s="1619"/>
      <c r="S85" s="451"/>
      <c r="T85" s="1617"/>
      <c r="U85" s="1617"/>
      <c r="V85" s="1615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596"/>
      <c r="B86" s="1637"/>
      <c r="C86" s="1638"/>
      <c r="D86" s="451" t="s">
        <v>794</v>
      </c>
      <c r="E86" s="1610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610"/>
      <c r="O86" s="1134"/>
      <c r="P86" s="1618">
        <f>'Milling Down Time Hours'!M91</f>
        <v>0</v>
      </c>
      <c r="Q86" s="1204"/>
      <c r="R86" s="1618">
        <f>'Milling Down Time Hours'!L91</f>
        <v>0.73611111111111116</v>
      </c>
      <c r="S86" s="451"/>
      <c r="T86" s="1616" t="e">
        <f>SUM(#REF!)</f>
        <v>#REF!</v>
      </c>
      <c r="U86" s="1616" t="e">
        <f t="shared" ref="U86:V86" si="70">SUM(T86:T88)</f>
        <v>#REF!</v>
      </c>
      <c r="V86" s="1614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596"/>
      <c r="B87" s="1637"/>
      <c r="C87" s="1638"/>
      <c r="D87" s="451" t="s">
        <v>794</v>
      </c>
      <c r="E87" s="1610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610"/>
      <c r="O87" s="1134"/>
      <c r="P87" s="1619"/>
      <c r="Q87" s="1201"/>
      <c r="R87" s="1619"/>
      <c r="S87" s="451"/>
      <c r="T87" s="1617"/>
      <c r="U87" s="1617"/>
      <c r="V87" s="1615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596"/>
      <c r="B88" s="1637"/>
      <c r="C88" s="1638"/>
      <c r="D88" s="451" t="s">
        <v>794</v>
      </c>
      <c r="E88" s="1610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610"/>
      <c r="O88" s="1134"/>
      <c r="P88" s="1618">
        <f>'Milling Down Time Hours'!M93</f>
        <v>0</v>
      </c>
      <c r="Q88" s="1204"/>
      <c r="R88" s="1618">
        <f>'Milling Down Time Hours'!L93</f>
        <v>1</v>
      </c>
      <c r="S88" s="451"/>
      <c r="T88" s="1616" t="e">
        <f>SUM(#REF!)</f>
        <v>#REF!</v>
      </c>
      <c r="U88" s="1616" t="e">
        <f t="shared" ref="U88:V88" si="71">SUM(T88:T90)</f>
        <v>#REF!</v>
      </c>
      <c r="V88" s="1614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596"/>
      <c r="B89" s="1637"/>
      <c r="C89" s="1638"/>
      <c r="D89" s="451" t="s">
        <v>794</v>
      </c>
      <c r="E89" s="1610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610"/>
      <c r="O89" s="1134"/>
      <c r="P89" s="1619"/>
      <c r="Q89" s="1201"/>
      <c r="R89" s="1619"/>
      <c r="S89" s="451"/>
      <c r="T89" s="1617"/>
      <c r="U89" s="1617"/>
      <c r="V89" s="1615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596"/>
      <c r="B90" s="1637"/>
      <c r="C90" s="1638"/>
      <c r="D90" s="451" t="s">
        <v>794</v>
      </c>
      <c r="E90" s="1610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610"/>
      <c r="O90" s="1134"/>
      <c r="P90" s="1618">
        <f>'Milling Down Time Hours'!M95</f>
        <v>0</v>
      </c>
      <c r="Q90" s="1204"/>
      <c r="R90" s="1618">
        <f>'Milling Down Time Hours'!L95</f>
        <v>1</v>
      </c>
      <c r="S90" s="451"/>
      <c r="T90" s="1616" t="e">
        <f>SUM(#REF!)</f>
        <v>#REF!</v>
      </c>
      <c r="U90" s="1616" t="e">
        <f t="shared" ref="U90:V90" si="72">SUM(T90:T92)</f>
        <v>#REF!</v>
      </c>
      <c r="V90" s="1614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596"/>
      <c r="B91" s="1637"/>
      <c r="C91" s="1638"/>
      <c r="D91" s="451" t="s">
        <v>794</v>
      </c>
      <c r="E91" s="1610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610"/>
      <c r="O91" s="1134"/>
      <c r="P91" s="1619"/>
      <c r="Q91" s="1201"/>
      <c r="R91" s="1619"/>
      <c r="S91" s="451"/>
      <c r="T91" s="1617"/>
      <c r="U91" s="1617"/>
      <c r="V91" s="1615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596"/>
      <c r="B92" s="1637"/>
      <c r="C92" s="1638"/>
      <c r="D92" s="451" t="s">
        <v>794</v>
      </c>
      <c r="E92" s="1610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610"/>
      <c r="O92" s="1134"/>
      <c r="P92" s="1618">
        <f>'Milling Down Time Hours'!M97</f>
        <v>0</v>
      </c>
      <c r="Q92" s="1204"/>
      <c r="R92" s="1618">
        <f>'Milling Down Time Hours'!L97</f>
        <v>1</v>
      </c>
      <c r="S92" s="451"/>
      <c r="T92" s="1616" t="e">
        <f>SUM(#REF!)</f>
        <v>#REF!</v>
      </c>
      <c r="U92" s="1616" t="e">
        <f t="shared" ref="U92:V92" si="73">SUM(T92:T94)</f>
        <v>#REF!</v>
      </c>
      <c r="V92" s="1614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596"/>
      <c r="B93" s="1637"/>
      <c r="C93" s="1638"/>
      <c r="D93" s="451" t="s">
        <v>794</v>
      </c>
      <c r="E93" s="1610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610"/>
      <c r="O93" s="1134"/>
      <c r="P93" s="1619"/>
      <c r="Q93" s="1201"/>
      <c r="R93" s="1619"/>
      <c r="S93" s="451"/>
      <c r="T93" s="1617"/>
      <c r="U93" s="1617"/>
      <c r="V93" s="1615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596"/>
      <c r="B94" s="1637"/>
      <c r="C94" s="1638"/>
      <c r="D94" s="451" t="s">
        <v>794</v>
      </c>
      <c r="E94" s="1610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610"/>
      <c r="O94" s="1134"/>
      <c r="P94" s="1618">
        <f>'Milling Down Time Hours'!M99</f>
        <v>0</v>
      </c>
      <c r="Q94" s="1204"/>
      <c r="R94" s="1618">
        <f>'Milling Down Time Hours'!L99</f>
        <v>1</v>
      </c>
      <c r="S94" s="451"/>
      <c r="T94" s="1616" t="e">
        <f>SUM(#REF!)</f>
        <v>#REF!</v>
      </c>
      <c r="U94" s="1616" t="e">
        <f t="shared" ref="U94:V94" si="74">SUM(T94:T96)</f>
        <v>#REF!</v>
      </c>
      <c r="V94" s="1614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596"/>
      <c r="B95" s="1637"/>
      <c r="C95" s="1638"/>
      <c r="D95" s="451" t="s">
        <v>794</v>
      </c>
      <c r="E95" s="1610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610"/>
      <c r="O95" s="1134"/>
      <c r="P95" s="1619"/>
      <c r="Q95" s="1201"/>
      <c r="R95" s="1619"/>
      <c r="S95" s="451"/>
      <c r="T95" s="1617"/>
      <c r="U95" s="1617"/>
      <c r="V95" s="1615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596"/>
      <c r="B96" s="1637"/>
      <c r="C96" s="1638"/>
      <c r="D96" s="451" t="s">
        <v>794</v>
      </c>
      <c r="E96" s="1610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610"/>
      <c r="O96" s="1134"/>
      <c r="P96" s="1618">
        <f>'Milling Down Time Hours'!M101</f>
        <v>0</v>
      </c>
      <c r="Q96" s="1204"/>
      <c r="R96" s="1618">
        <f>'Milling Down Time Hours'!L101</f>
        <v>0</v>
      </c>
      <c r="S96" s="451"/>
      <c r="T96" s="1616" t="e">
        <f>SUM(#REF!)</f>
        <v>#REF!</v>
      </c>
      <c r="U96" s="1616" t="e">
        <f>SUM(T96:T127)</f>
        <v>#REF!</v>
      </c>
      <c r="V96" s="1614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596"/>
      <c r="B97" s="1637"/>
      <c r="C97" s="1638"/>
      <c r="D97" s="451" t="s">
        <v>794</v>
      </c>
      <c r="E97" s="1610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610"/>
      <c r="O97" s="1207"/>
      <c r="P97" s="1574"/>
      <c r="Q97" s="1195"/>
      <c r="R97" s="1575"/>
      <c r="S97" s="1205"/>
      <c r="T97" s="1629"/>
      <c r="U97" s="1629"/>
      <c r="V97" s="1630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596"/>
      <c r="B98" s="1581"/>
      <c r="C98" s="1582"/>
      <c r="D98" s="451" t="s">
        <v>794</v>
      </c>
      <c r="E98" s="1611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611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573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596"/>
      <c r="B99" s="1579">
        <v>46302</v>
      </c>
      <c r="C99" s="1580"/>
      <c r="D99" s="451" t="s">
        <v>794</v>
      </c>
      <c r="E99" s="1623" t="s">
        <v>787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573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610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596"/>
      <c r="B100" s="1581"/>
      <c r="C100" s="1582"/>
      <c r="D100" s="451" t="s">
        <v>794</v>
      </c>
      <c r="E100" s="1611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575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610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596"/>
      <c r="B101" s="1624">
        <v>46303</v>
      </c>
      <c r="C101" s="1625"/>
      <c r="D101" s="451" t="s">
        <v>794</v>
      </c>
      <c r="E101" s="451" t="s">
        <v>788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573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11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597">
        <v>15</v>
      </c>
      <c r="B102" s="1602">
        <v>46303</v>
      </c>
      <c r="C102" s="1603"/>
      <c r="D102" s="667" t="s">
        <v>794</v>
      </c>
      <c r="E102" s="667" t="s">
        <v>789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575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612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597"/>
      <c r="B103" s="1602">
        <v>46304</v>
      </c>
      <c r="C103" s="1603"/>
      <c r="D103" s="667" t="s">
        <v>794</v>
      </c>
      <c r="E103" s="667" t="s">
        <v>789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612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22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597"/>
      <c r="B104" s="1604"/>
      <c r="C104" s="1605"/>
      <c r="D104" s="667" t="s">
        <v>794</v>
      </c>
      <c r="E104" s="667" t="s">
        <v>795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613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22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583">
        <v>46305</v>
      </c>
      <c r="C105" s="1584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612">
        <f>SUM(M105:M106)</f>
        <v>68.344232784000013</v>
      </c>
      <c r="O105" s="154"/>
      <c r="P105" s="154"/>
      <c r="Q105" s="154"/>
      <c r="R105" s="154"/>
      <c r="S105" s="161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596">
        <v>16</v>
      </c>
      <c r="B106" s="1579">
        <v>46305</v>
      </c>
      <c r="C106" s="1580"/>
      <c r="D106" s="451" t="s">
        <v>794</v>
      </c>
      <c r="E106" s="451" t="s">
        <v>796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61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573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596"/>
      <c r="B107" s="1579">
        <v>46306</v>
      </c>
      <c r="C107" s="1580"/>
      <c r="D107" s="451" t="s">
        <v>794</v>
      </c>
      <c r="E107" s="451" t="s">
        <v>796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573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574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596"/>
      <c r="B108" s="1581"/>
      <c r="C108" s="1582"/>
      <c r="D108" s="451" t="s">
        <v>794</v>
      </c>
      <c r="E108" s="451" t="s">
        <v>796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575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574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596"/>
      <c r="B109" s="1579">
        <v>46307</v>
      </c>
      <c r="C109" s="1580"/>
      <c r="D109" s="451" t="s">
        <v>625</v>
      </c>
      <c r="E109" s="451" t="s">
        <v>801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573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575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577">
        <v>17</v>
      </c>
      <c r="B110" s="1587">
        <v>46307</v>
      </c>
      <c r="C110" s="1588"/>
      <c r="D110" s="1247" t="s">
        <v>794</v>
      </c>
      <c r="E110" s="1247" t="s">
        <v>802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575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20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578"/>
      <c r="B111" s="1587">
        <v>46308</v>
      </c>
      <c r="C111" s="1588"/>
      <c r="D111" s="1247" t="s">
        <v>794</v>
      </c>
      <c r="E111" s="1247" t="s">
        <v>814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573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21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576">
        <v>18</v>
      </c>
      <c r="B112" s="1579">
        <v>46308</v>
      </c>
      <c r="C112" s="1580"/>
      <c r="D112" s="451" t="s">
        <v>794</v>
      </c>
      <c r="E112" s="451" t="s">
        <v>815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575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573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576"/>
      <c r="B113" s="1579">
        <v>46309</v>
      </c>
      <c r="C113" s="1580"/>
      <c r="D113" s="451" t="s">
        <v>794</v>
      </c>
      <c r="E113" s="451" t="s">
        <v>818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573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574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1248"/>
    </row>
    <row r="114" spans="1:30" ht="15" thickBot="1" x14ac:dyDescent="0.35">
      <c r="A114" s="1576"/>
      <c r="B114" s="1581"/>
      <c r="C114" s="1582"/>
      <c r="D114" s="451" t="s">
        <v>794</v>
      </c>
      <c r="E114" s="451" t="s">
        <v>820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575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575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1248"/>
    </row>
    <row r="115" spans="1:30" ht="15" customHeight="1" thickBot="1" x14ac:dyDescent="0.35">
      <c r="A115" s="1594">
        <v>19</v>
      </c>
      <c r="B115" s="1587">
        <v>46310</v>
      </c>
      <c r="C115" s="1588"/>
      <c r="D115" s="1247" t="s">
        <v>794</v>
      </c>
      <c r="E115" s="1247" t="s">
        <v>822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591">
        <f>SUM(M115:M116)</f>
        <v>221.92203470399997</v>
      </c>
      <c r="O115" s="1250">
        <f t="shared" si="133"/>
        <v>9.1645142219999993</v>
      </c>
      <c r="P115" s="1250">
        <f>Q115/60</f>
        <v>12</v>
      </c>
      <c r="Q115" s="1250">
        <f>(720-R115)</f>
        <v>720</v>
      </c>
      <c r="R115" s="1250">
        <f>'Milling Down Time Hours'!G95</f>
        <v>0</v>
      </c>
      <c r="S115" s="1591">
        <f>SUM(M115:M117)</f>
        <v>338.65842009599987</v>
      </c>
      <c r="T115" s="1250"/>
      <c r="U115" s="1250"/>
      <c r="V115" s="1252"/>
      <c r="W115" s="1253"/>
      <c r="X115" s="1250"/>
      <c r="Y115" s="1250"/>
      <c r="Z115" s="1254">
        <v>3.9</v>
      </c>
      <c r="AA115" s="446">
        <f>1.2*8.1</f>
        <v>9.7199999999999989</v>
      </c>
      <c r="AB115" s="1248"/>
    </row>
    <row r="116" spans="1:30" ht="15" customHeight="1" thickBot="1" x14ac:dyDescent="0.35">
      <c r="A116" s="1594"/>
      <c r="B116" s="1589"/>
      <c r="C116" s="1590"/>
      <c r="D116" s="1247" t="s">
        <v>794</v>
      </c>
      <c r="E116" s="1247" t="s">
        <v>824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>H116/P116</f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592"/>
      <c r="O116" s="1250">
        <f t="shared" si="133"/>
        <v>9.3289886699999993</v>
      </c>
      <c r="P116" s="1250">
        <f>Q116/60</f>
        <v>12</v>
      </c>
      <c r="Q116" s="1250">
        <f>(720-R116)</f>
        <v>720</v>
      </c>
      <c r="R116" s="1250">
        <f>'Milling Down Time Hours'!G96</f>
        <v>0</v>
      </c>
      <c r="S116" s="1593"/>
      <c r="T116" s="1279">
        <f>AVERAGE('LF Ball Mill'!F214:F216)</f>
        <v>0.28733333333333333</v>
      </c>
      <c r="U116" s="1279">
        <f>AVERAGE('LF Ball Mill'!G214:G216)</f>
        <v>0.4466666666666666</v>
      </c>
      <c r="V116" s="1279">
        <f>AVERAGE('LF Ball Mill'!H214:H216)</f>
        <v>13.12</v>
      </c>
      <c r="W116" s="1253">
        <f>T116*M116</f>
        <v>32.166352934159995</v>
      </c>
      <c r="X116" s="1250">
        <f>M116*U116</f>
        <v>50.003379271199982</v>
      </c>
      <c r="Y116" s="1250">
        <f>M116*V116</f>
        <v>1468.7559762047997</v>
      </c>
      <c r="Z116" s="1254">
        <v>7.2</v>
      </c>
      <c r="AA116" s="446"/>
      <c r="AB116" s="1248"/>
    </row>
    <row r="117" spans="1:30" ht="15" thickBot="1" x14ac:dyDescent="0.35">
      <c r="A117" s="1594"/>
      <c r="B117" s="1587">
        <v>46311</v>
      </c>
      <c r="C117" s="1588"/>
      <c r="D117" s="1247" t="s">
        <v>794</v>
      </c>
      <c r="E117" s="1247" t="s">
        <v>844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>H117/P117</f>
        <v>17.97492999999999</v>
      </c>
      <c r="J117" s="1250">
        <f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591">
        <f>SUM(M117:M118)</f>
        <v>319.81872284999986</v>
      </c>
      <c r="O117" s="1250">
        <f t="shared" ref="O117" si="145">M117/P117</f>
        <v>9.7280321159999925</v>
      </c>
      <c r="P117" s="1250">
        <f>Q117/60</f>
        <v>12</v>
      </c>
      <c r="Q117" s="1250">
        <f>(720-R117)</f>
        <v>720</v>
      </c>
      <c r="R117" s="1250">
        <f>'Milling Down Time Hours'!G97</f>
        <v>0</v>
      </c>
      <c r="S117" s="1592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/>
      <c r="X117" s="1250"/>
      <c r="Y117" s="1250"/>
      <c r="Z117" s="1254">
        <f>(1.2*8)</f>
        <v>9.6</v>
      </c>
      <c r="AA117" s="446"/>
      <c r="AB117" s="1248"/>
    </row>
    <row r="118" spans="1:30" ht="15" thickBot="1" x14ac:dyDescent="0.35">
      <c r="A118" s="1595">
        <v>20</v>
      </c>
      <c r="B118" s="1579">
        <v>46311</v>
      </c>
      <c r="C118" s="1580"/>
      <c r="D118" s="451" t="s">
        <v>794</v>
      </c>
      <c r="E118" s="451" t="s">
        <v>861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>H118/P118</f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H118*K118*G118</f>
        <v>203.08233745799996</v>
      </c>
      <c r="N118" s="1592"/>
      <c r="O118" s="931">
        <f t="shared" ref="O118" si="146">M118/P118</f>
        <v>16.923528121499995</v>
      </c>
      <c r="P118" s="931">
        <f>Q118/60</f>
        <v>12</v>
      </c>
      <c r="Q118" s="931">
        <f>(720-R118)</f>
        <v>720</v>
      </c>
      <c r="R118" s="931">
        <f>'Milling Down Time Hours'!G98</f>
        <v>0</v>
      </c>
      <c r="S118" s="1573">
        <f>SUM(M118:M120)</f>
        <v>435.16380259799985</v>
      </c>
      <c r="T118" s="931"/>
      <c r="U118" s="931"/>
      <c r="V118" s="939"/>
      <c r="W118" s="976">
        <f t="shared" ref="W118" si="147">T118*M118</f>
        <v>0</v>
      </c>
      <c r="X118" s="931">
        <f t="shared" ref="X118" si="148">M118*U118</f>
        <v>0</v>
      </c>
      <c r="Y118" s="931">
        <f t="shared" ref="Y118" si="149">M118*V118</f>
        <v>0</v>
      </c>
      <c r="Z118" s="977">
        <v>5.8</v>
      </c>
      <c r="AA118" s="446"/>
      <c r="AB118" s="1248"/>
    </row>
    <row r="119" spans="1:30" ht="15" thickBot="1" x14ac:dyDescent="0.35">
      <c r="A119" s="1595"/>
      <c r="B119" s="1579">
        <v>46312</v>
      </c>
      <c r="C119" s="1580"/>
      <c r="D119" s="451" t="s">
        <v>794</v>
      </c>
      <c r="E119" s="451" t="s">
        <v>862</v>
      </c>
      <c r="F119" s="1030" t="s">
        <v>12</v>
      </c>
      <c r="G119" s="934">
        <v>0.35</v>
      </c>
      <c r="H119" s="673">
        <f>J119-'Au Cal Leaching Tank'!$T$27</f>
        <v>539.09747999999979</v>
      </c>
      <c r="I119" s="931">
        <f>H119/P119</f>
        <v>44.92478999999998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H119*K119*G119</f>
        <v>232.08146513999986</v>
      </c>
      <c r="N119" s="1573">
        <f>SUM(M119:M120)</f>
        <v>232.08146513999986</v>
      </c>
      <c r="O119" s="931">
        <f t="shared" ref="O119" si="150">M119/P119</f>
        <v>19.340122094999987</v>
      </c>
      <c r="P119" s="931">
        <f>Q119/60</f>
        <v>12</v>
      </c>
      <c r="Q119" s="931">
        <f>(720-R119)</f>
        <v>720</v>
      </c>
      <c r="R119" s="931">
        <f>'Milling Down Time Hours'!G99</f>
        <v>0</v>
      </c>
      <c r="S119" s="1574"/>
      <c r="T119" s="931"/>
      <c r="U119" s="931"/>
      <c r="V119" s="939"/>
      <c r="W119" s="976"/>
      <c r="X119" s="931"/>
      <c r="Y119" s="931"/>
      <c r="Z119" s="977">
        <f>(1.2*6)</f>
        <v>7.1999999999999993</v>
      </c>
      <c r="AA119" s="446"/>
      <c r="AB119" s="1248"/>
    </row>
    <row r="120" spans="1:30" ht="15" thickBot="1" x14ac:dyDescent="0.35">
      <c r="A120" s="1595"/>
      <c r="B120" s="1581"/>
      <c r="C120" s="1582"/>
      <c r="D120" s="451"/>
      <c r="E120" s="451"/>
      <c r="F120" s="944" t="s">
        <v>13</v>
      </c>
      <c r="G120" s="450"/>
      <c r="H120" s="451"/>
      <c r="I120" s="450"/>
      <c r="J120" s="931">
        <f t="shared" ref="J120:J121" si="151">3.14*Z120*((10.7/2)^2)</f>
        <v>907.73396499999978</v>
      </c>
      <c r="K120" s="450"/>
      <c r="L120" s="450"/>
      <c r="M120" s="1031">
        <f t="shared" ref="M120" si="152">H120*K120*G120</f>
        <v>0</v>
      </c>
      <c r="N120" s="1575"/>
      <c r="O120" s="871"/>
      <c r="P120" s="154"/>
      <c r="Q120" s="154"/>
      <c r="R120" s="154"/>
      <c r="S120" s="1575"/>
      <c r="T120" s="154"/>
      <c r="U120" s="154"/>
      <c r="V120" s="418"/>
      <c r="W120" s="159">
        <f t="shared" ref="W120" si="153">T120*M120</f>
        <v>0</v>
      </c>
      <c r="X120" s="154">
        <f t="shared" ref="X120" si="154">M120*U120</f>
        <v>0</v>
      </c>
      <c r="Y120" s="154">
        <f t="shared" ref="Y120" si="155">M120*V120</f>
        <v>0</v>
      </c>
      <c r="Z120" s="745">
        <v>10.1</v>
      </c>
      <c r="AA120" s="446"/>
      <c r="AB120" s="1248"/>
      <c r="AD120" s="1">
        <f>1.2*8</f>
        <v>9.6</v>
      </c>
    </row>
    <row r="121" spans="1:30" ht="15" thickBot="1" x14ac:dyDescent="0.35">
      <c r="B121" s="1583">
        <v>46313</v>
      </c>
      <c r="C121" s="1584"/>
      <c r="D121" s="13"/>
      <c r="E121" s="13"/>
      <c r="F121" s="914" t="s">
        <v>12</v>
      </c>
      <c r="G121" s="879"/>
      <c r="H121" s="13"/>
      <c r="I121" s="233"/>
      <c r="J121" s="931">
        <f t="shared" si="151"/>
        <v>0</v>
      </c>
      <c r="K121" s="233"/>
      <c r="L121" s="879"/>
      <c r="M121" s="882"/>
      <c r="N121" s="879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48"/>
    </row>
    <row r="122" spans="1:30" ht="15" thickBot="1" x14ac:dyDescent="0.35">
      <c r="B122" s="1585"/>
      <c r="C122" s="1586"/>
      <c r="D122" s="13"/>
      <c r="E122" s="13"/>
      <c r="F122" s="905" t="s">
        <v>13</v>
      </c>
      <c r="G122" s="233"/>
      <c r="H122" s="13"/>
      <c r="I122" s="233"/>
      <c r="J122" s="154"/>
      <c r="K122" s="233"/>
      <c r="L122" s="233"/>
      <c r="M122" s="882">
        <f t="shared" ref="M122" si="156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7">T122*M122</f>
        <v>0</v>
      </c>
      <c r="X122" s="154">
        <f t="shared" ref="X122" si="158">M122*U122</f>
        <v>0</v>
      </c>
      <c r="Y122" s="154">
        <f t="shared" ref="Y122" si="159">M122*V122</f>
        <v>0</v>
      </c>
      <c r="Z122" s="745"/>
      <c r="AA122" s="446"/>
      <c r="AB122" s="1248"/>
    </row>
    <row r="123" spans="1:30" ht="15" thickBot="1" x14ac:dyDescent="0.35">
      <c r="B123" s="1583">
        <v>46314</v>
      </c>
      <c r="C123" s="1584"/>
      <c r="D123" s="13"/>
      <c r="E123" s="13"/>
      <c r="F123" s="914" t="s">
        <v>12</v>
      </c>
      <c r="G123" s="879"/>
      <c r="H123" s="13"/>
      <c r="I123" s="233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30" ht="15" thickBot="1" x14ac:dyDescent="0.35">
      <c r="B124" s="1585"/>
      <c r="C124" s="1586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0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1">T124*M124</f>
        <v>0</v>
      </c>
      <c r="X124" s="154">
        <f t="shared" ref="X124" si="162">M124*U124</f>
        <v>0</v>
      </c>
      <c r="Y124" s="154">
        <f t="shared" ref="Y124" si="163">M124*V124</f>
        <v>0</v>
      </c>
      <c r="Z124" s="745"/>
      <c r="AA124" s="446"/>
      <c r="AB124" s="1248"/>
    </row>
    <row r="125" spans="1:30" ht="15" thickBot="1" x14ac:dyDescent="0.35">
      <c r="B125" s="1583">
        <v>46315</v>
      </c>
      <c r="C125" s="1584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30" ht="15" thickBot="1" x14ac:dyDescent="0.35">
      <c r="B126" s="1585"/>
      <c r="C126" s="1586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64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5">T126*M126</f>
        <v>0</v>
      </c>
      <c r="X126" s="154">
        <f t="shared" ref="X126" si="166">M126*U126</f>
        <v>0</v>
      </c>
      <c r="Y126" s="154">
        <f t="shared" ref="Y126" si="167">M126*V126</f>
        <v>0</v>
      </c>
      <c r="Z126" s="745"/>
      <c r="AA126" s="446"/>
      <c r="AB126" s="1248"/>
    </row>
    <row r="127" spans="1:30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24.942469094639755</v>
      </c>
      <c r="J127" s="872"/>
      <c r="K127" s="872"/>
      <c r="L127" s="880">
        <f>AVERAGE(L5:L104)</f>
        <v>0.72694915254237302</v>
      </c>
      <c r="M127" s="883">
        <f>SUM(M5:M106)</f>
        <v>5137.1481005912492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13935.904166666664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30" x14ac:dyDescent="0.3">
      <c r="M128" s="884">
        <f>SUM(M75:M126)</f>
        <v>2812.5127480542496</v>
      </c>
    </row>
    <row r="129" spans="12:28" x14ac:dyDescent="0.3">
      <c r="Z129" s="584" t="s">
        <v>203</v>
      </c>
      <c r="AA129" s="1">
        <f>MIN(Z5:Z102)</f>
        <v>0</v>
      </c>
    </row>
    <row r="130" spans="12:28" x14ac:dyDescent="0.3">
      <c r="L130" s="332"/>
      <c r="M130" s="884"/>
      <c r="N130" s="332"/>
      <c r="O130" s="432"/>
      <c r="P130" s="332"/>
      <c r="Q130" s="432"/>
      <c r="R130" s="12"/>
      <c r="S130" s="1"/>
      <c r="T130" s="1">
        <v>0.52966666666666662</v>
      </c>
      <c r="W130" s="12"/>
      <c r="Y130" s="584" t="s">
        <v>202</v>
      </c>
      <c r="Z130" s="136">
        <f>MAX(Z5:Z102)</f>
        <v>11.3</v>
      </c>
      <c r="AA130" s="921"/>
      <c r="AB130" s="1"/>
    </row>
    <row r="131" spans="12:28" x14ac:dyDescent="0.3">
      <c r="L131" s="332"/>
      <c r="M131" s="432"/>
      <c r="N131" s="332"/>
      <c r="O131" s="432"/>
      <c r="P131" s="332"/>
      <c r="Q131" s="432"/>
      <c r="R131" s="12"/>
      <c r="S131" s="1"/>
      <c r="T131" s="1">
        <v>0.38100000000000001</v>
      </c>
      <c r="V131" s="29">
        <f>_xlfn.STDEV.P(T130:T151)</f>
        <v>9.7206466218263274E-2</v>
      </c>
      <c r="W131" s="12"/>
      <c r="Y131" s="584"/>
      <c r="Z131" s="1"/>
      <c r="AA131" s="921"/>
      <c r="AB131" s="1"/>
    </row>
    <row r="132" spans="12:28" x14ac:dyDescent="0.3">
      <c r="L132" s="332"/>
      <c r="M132" s="432"/>
      <c r="N132" s="332"/>
      <c r="O132" s="432"/>
      <c r="P132" s="332"/>
      <c r="Q132" s="432"/>
      <c r="R132" s="12"/>
      <c r="S132" s="1"/>
      <c r="T132" s="1">
        <v>0.64166666666666672</v>
      </c>
      <c r="W132" s="12"/>
      <c r="Y132" s="584"/>
      <c r="Z132" s="1"/>
      <c r="AA132" s="921"/>
      <c r="AB132" s="1"/>
    </row>
    <row r="133" spans="12:28" x14ac:dyDescent="0.3">
      <c r="L133" s="332"/>
      <c r="M133" s="432"/>
      <c r="N133" s="332"/>
      <c r="O133" s="432"/>
      <c r="P133" s="332">
        <v>80</v>
      </c>
      <c r="Q133" s="432"/>
      <c r="R133" s="12"/>
      <c r="S133" s="1"/>
      <c r="T133" s="1">
        <v>0.54266666666666674</v>
      </c>
      <c r="W133" s="12"/>
      <c r="Y133" s="584"/>
      <c r="Z133" s="1"/>
      <c r="AA133" s="921"/>
      <c r="AB133" s="1"/>
    </row>
    <row r="134" spans="12:28" x14ac:dyDescent="0.3">
      <c r="L134" s="332"/>
      <c r="M134" s="432"/>
      <c r="N134" s="332"/>
      <c r="O134" s="432"/>
      <c r="P134" s="332">
        <v>82</v>
      </c>
      <c r="Q134" s="432"/>
      <c r="R134" s="12"/>
      <c r="S134" s="1"/>
      <c r="T134" s="1">
        <v>0.54266666666666674</v>
      </c>
      <c r="W134" s="12"/>
      <c r="Y134" s="584"/>
      <c r="Z134" s="1"/>
      <c r="AA134" s="921"/>
      <c r="AB134" s="1"/>
    </row>
    <row r="135" spans="12:28" x14ac:dyDescent="0.3">
      <c r="L135" s="332"/>
      <c r="M135" s="432"/>
      <c r="N135" s="332"/>
      <c r="O135" s="432"/>
      <c r="P135" s="332">
        <v>84</v>
      </c>
      <c r="Q135" s="432"/>
      <c r="R135" s="12"/>
      <c r="S135" s="1"/>
      <c r="T135" s="1">
        <v>0.32100000000000001</v>
      </c>
      <c r="W135" s="12"/>
      <c r="Y135" s="584"/>
      <c r="Z135" s="1"/>
      <c r="AA135" s="921"/>
      <c r="AB135" s="1"/>
    </row>
    <row r="136" spans="12:28" x14ac:dyDescent="0.3">
      <c r="L136" s="332"/>
      <c r="M136" s="432"/>
      <c r="N136" s="332"/>
      <c r="O136" s="432"/>
      <c r="P136" s="332">
        <v>84</v>
      </c>
      <c r="Q136" s="432"/>
      <c r="R136" s="12"/>
      <c r="S136" s="1"/>
      <c r="T136" s="1">
        <v>0.47433333333333333</v>
      </c>
      <c r="W136" s="12"/>
      <c r="Y136" s="584"/>
      <c r="Z136" s="1"/>
      <c r="AA136" s="921"/>
      <c r="AB136" s="1"/>
    </row>
    <row r="137" spans="12:28" x14ac:dyDescent="0.3">
      <c r="L137" s="332"/>
      <c r="M137" s="432"/>
      <c r="N137" s="332"/>
      <c r="O137" s="432"/>
      <c r="P137" s="332">
        <v>83</v>
      </c>
      <c r="Q137" s="432"/>
      <c r="R137" s="12"/>
      <c r="S137" s="1"/>
      <c r="T137" s="1">
        <v>0.4326666666666667</v>
      </c>
      <c r="W137" s="12"/>
      <c r="Y137" s="584"/>
      <c r="Z137" s="1"/>
      <c r="AA137" s="921"/>
      <c r="AB137" s="1"/>
    </row>
    <row r="138" spans="1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0.39733333333333337</v>
      </c>
      <c r="W138" s="12"/>
      <c r="Y138" s="584"/>
      <c r="Z138" s="1"/>
      <c r="AA138" s="921"/>
      <c r="AB138" s="1"/>
    </row>
    <row r="139" spans="12:28" x14ac:dyDescent="0.3">
      <c r="L139" s="332"/>
      <c r="M139" s="432"/>
      <c r="N139" s="332"/>
      <c r="O139" s="432"/>
      <c r="P139" s="332">
        <v>86</v>
      </c>
      <c r="Q139" s="432"/>
      <c r="R139" s="12"/>
      <c r="S139" s="1"/>
      <c r="T139" s="1">
        <v>0.373</v>
      </c>
      <c r="W139" s="12"/>
      <c r="Y139" s="584"/>
      <c r="Z139" s="1"/>
      <c r="AA139" s="921"/>
      <c r="AB139" s="1"/>
    </row>
    <row r="140" spans="12:28" x14ac:dyDescent="0.3">
      <c r="L140" s="332"/>
      <c r="M140" s="432"/>
      <c r="N140" s="332"/>
      <c r="O140" s="432"/>
      <c r="P140" s="332">
        <v>83</v>
      </c>
      <c r="Q140" s="432"/>
      <c r="R140" s="12"/>
      <c r="S140" s="1"/>
      <c r="T140" s="1">
        <v>0.373</v>
      </c>
      <c r="W140" s="12"/>
      <c r="Y140" s="584"/>
      <c r="Z140" s="1"/>
      <c r="AA140" s="921"/>
      <c r="AB140" s="1"/>
    </row>
    <row r="141" spans="12:28" x14ac:dyDescent="0.3">
      <c r="L141" s="332"/>
      <c r="M141" s="432"/>
      <c r="N141" s="332"/>
      <c r="O141" s="432"/>
      <c r="P141" s="332">
        <v>82</v>
      </c>
      <c r="Q141" s="432"/>
      <c r="R141" s="12"/>
      <c r="S141" s="1"/>
      <c r="T141" s="1">
        <v>0.52566666666666673</v>
      </c>
      <c r="W141" s="12"/>
      <c r="Y141" s="584"/>
      <c r="Z141" s="1"/>
      <c r="AA141" s="921"/>
      <c r="AB141" s="1"/>
    </row>
    <row r="142" spans="1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0.41</v>
      </c>
      <c r="W142" s="12"/>
      <c r="Y142" s="584"/>
      <c r="Z142" s="1"/>
      <c r="AA142" s="921"/>
      <c r="AB142" s="1"/>
    </row>
    <row r="143" spans="12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T143" s="1">
        <v>0.65566666666666673</v>
      </c>
      <c r="W143" s="12"/>
      <c r="Y143" s="584"/>
      <c r="Z143" s="1"/>
      <c r="AA143" s="921"/>
      <c r="AB143" s="1"/>
    </row>
    <row r="144" spans="1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T144" s="1">
        <v>0.35966666666666663</v>
      </c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72</v>
      </c>
      <c r="Q145" s="432"/>
      <c r="R145" s="12"/>
      <c r="S145" s="1"/>
      <c r="T145" s="1">
        <v>0.34266666666666667</v>
      </c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82</v>
      </c>
      <c r="Q146" s="432"/>
      <c r="R146" s="12"/>
      <c r="S146" s="1"/>
      <c r="T146" s="1">
        <v>0.39900000000000002</v>
      </c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T147" s="1">
        <v>0.39900000000000002</v>
      </c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84</v>
      </c>
      <c r="Q148" s="432"/>
      <c r="R148" s="12"/>
      <c r="S148" s="1"/>
      <c r="T148" s="1">
        <v>0.35066666666666668</v>
      </c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85</v>
      </c>
      <c r="Q149" s="432"/>
      <c r="R149" s="12"/>
      <c r="S149" s="1"/>
      <c r="T149" s="1">
        <v>0.43533333333333335</v>
      </c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T150" s="1">
        <v>0.28733333333333333</v>
      </c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78</v>
      </c>
      <c r="Q151" s="432"/>
      <c r="R151" s="12"/>
      <c r="S151" s="1"/>
      <c r="T151" s="1">
        <v>0.37828571428571428</v>
      </c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72</v>
      </c>
      <c r="Q152" s="432"/>
      <c r="R152" s="12"/>
      <c r="S152" s="1"/>
      <c r="W152" s="12"/>
      <c r="Y152" s="584"/>
      <c r="Z152" s="1"/>
      <c r="AA152" s="921"/>
      <c r="AB152" s="1"/>
    </row>
    <row r="153" spans="12:28" x14ac:dyDescent="0.3">
      <c r="Q153" s="332">
        <v>72</v>
      </c>
    </row>
    <row r="154" spans="12:28" x14ac:dyDescent="0.3">
      <c r="Q154" s="332">
        <v>75</v>
      </c>
    </row>
    <row r="155" spans="12:28" x14ac:dyDescent="0.3">
      <c r="Q155" s="332">
        <v>72</v>
      </c>
    </row>
    <row r="156" spans="12:28" x14ac:dyDescent="0.3">
      <c r="Q156" s="332">
        <v>60</v>
      </c>
    </row>
  </sheetData>
  <mergeCells count="202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</mergeCells>
  <phoneticPr fontId="103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37" t="s">
        <v>270</v>
      </c>
      <c r="B3" s="1438"/>
      <c r="C3" s="1438"/>
      <c r="D3" s="1438"/>
      <c r="E3" s="1438"/>
      <c r="F3" s="1438"/>
      <c r="G3" s="1439"/>
      <c r="I3" s="1">
        <f>I2/2</f>
        <v>720</v>
      </c>
    </row>
    <row r="4" spans="1:14" ht="15" thickBot="1" x14ac:dyDescent="0.35">
      <c r="A4" s="1440" t="s">
        <v>0</v>
      </c>
      <c r="B4" s="144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690">
        <v>46268</v>
      </c>
      <c r="B5" s="1433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690">
        <v>46269</v>
      </c>
      <c r="B6" s="1433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90">
        <v>46270</v>
      </c>
      <c r="B7" s="1433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90">
        <v>46271</v>
      </c>
      <c r="B8" s="1433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90">
        <v>46272</v>
      </c>
      <c r="B9" s="1433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90">
        <v>46273</v>
      </c>
      <c r="B10" s="1433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90">
        <v>46274</v>
      </c>
      <c r="B11" s="1433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90">
        <v>46275</v>
      </c>
      <c r="B12" s="1433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90">
        <v>46276</v>
      </c>
      <c r="B13" s="1433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90">
        <v>46277</v>
      </c>
      <c r="B14" s="1433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90">
        <v>46278</v>
      </c>
      <c r="B15" s="1433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90">
        <v>46279</v>
      </c>
      <c r="B16" s="1433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90">
        <v>46280</v>
      </c>
      <c r="B17" s="1433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90">
        <v>46281</v>
      </c>
      <c r="B18" s="1433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90">
        <v>46282</v>
      </c>
      <c r="B19" s="1433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90">
        <v>46283</v>
      </c>
      <c r="B20" s="1433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90">
        <v>46284</v>
      </c>
      <c r="B21" s="1433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90">
        <v>46285</v>
      </c>
      <c r="B22" s="1433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90">
        <v>46286</v>
      </c>
      <c r="B23" s="1433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90">
        <v>46287</v>
      </c>
      <c r="B24" s="1433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90">
        <v>46288</v>
      </c>
      <c r="B25" s="1433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90">
        <v>46289</v>
      </c>
      <c r="B26" s="1433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90">
        <v>46290</v>
      </c>
      <c r="B27" s="1433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90">
        <v>46291</v>
      </c>
      <c r="B28" s="1433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90">
        <v>46292</v>
      </c>
      <c r="B29" s="1433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90">
        <v>46293</v>
      </c>
      <c r="B30" s="1433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90">
        <v>46294</v>
      </c>
      <c r="B31" s="1433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90">
        <v>46295</v>
      </c>
      <c r="B32" s="1433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90">
        <v>46296</v>
      </c>
      <c r="B33" s="1433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90">
        <v>46297</v>
      </c>
      <c r="B34" s="1433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90">
        <v>46298</v>
      </c>
      <c r="B35" s="1433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90">
        <v>46299</v>
      </c>
      <c r="B36" s="1433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90">
        <v>46300</v>
      </c>
      <c r="B37" s="1433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90">
        <v>46301</v>
      </c>
      <c r="B38" s="1433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90">
        <v>46302</v>
      </c>
      <c r="B39" s="1433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90">
        <v>46303</v>
      </c>
      <c r="B40" s="1433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90">
        <v>46304</v>
      </c>
      <c r="B41" s="1433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90">
        <v>46305</v>
      </c>
      <c r="B42" s="1433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90">
        <v>46306</v>
      </c>
      <c r="B43" s="1433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90">
        <v>46307</v>
      </c>
      <c r="B44" s="1433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90">
        <v>46308</v>
      </c>
      <c r="B45" s="1433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90">
        <v>46309</v>
      </c>
      <c r="B46" s="1433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90">
        <v>46310</v>
      </c>
      <c r="B47" s="1433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90">
        <v>46311</v>
      </c>
      <c r="B48" s="1433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90">
        <v>46312</v>
      </c>
      <c r="B49" s="1433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90">
        <v>46313</v>
      </c>
      <c r="B50" s="1433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90">
        <v>46314</v>
      </c>
      <c r="B51" s="1433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90">
        <v>46315</v>
      </c>
      <c r="B52" s="1433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90">
        <v>46316</v>
      </c>
      <c r="B53" s="1433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90">
        <v>46317</v>
      </c>
      <c r="B54" s="1433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90">
        <v>46318</v>
      </c>
      <c r="B55" s="1433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90">
        <v>46319</v>
      </c>
      <c r="B56" s="1433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90">
        <v>46320</v>
      </c>
      <c r="B57" s="1433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90">
        <v>46321</v>
      </c>
      <c r="B58" s="1433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90">
        <v>46322</v>
      </c>
      <c r="B59" s="1433"/>
      <c r="C59" s="64"/>
      <c r="D59" s="67"/>
      <c r="E59" s="67"/>
      <c r="F59" s="61">
        <f t="shared" si="5"/>
        <v>0</v>
      </c>
      <c r="G59" s="65"/>
    </row>
    <row r="60" spans="1:18" x14ac:dyDescent="0.3">
      <c r="A60" s="1690">
        <v>46323</v>
      </c>
      <c r="B60" s="1433"/>
      <c r="C60" s="64"/>
      <c r="D60" s="67"/>
      <c r="E60" s="67"/>
      <c r="F60" s="61">
        <f t="shared" si="5"/>
        <v>0</v>
      </c>
      <c r="G60" s="65"/>
    </row>
    <row r="61" spans="1:18" x14ac:dyDescent="0.3">
      <c r="A61" s="1690">
        <v>46324</v>
      </c>
      <c r="B61" s="1433"/>
      <c r="C61" s="64"/>
      <c r="D61" s="67"/>
      <c r="E61" s="67"/>
      <c r="F61" s="61">
        <f t="shared" si="5"/>
        <v>0</v>
      </c>
      <c r="G61" s="65"/>
    </row>
    <row r="62" spans="1:18" x14ac:dyDescent="0.3">
      <c r="A62" s="1690">
        <v>46325</v>
      </c>
      <c r="B62" s="1433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abSelected="1" zoomScale="73" zoomScaleNormal="100" workbookViewId="0">
      <pane xSplit="2" topLeftCell="T1" activePane="topRight" state="frozen"/>
      <selection pane="topRight" activeCell="Y27" sqref="Y27:Z2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353" t="s">
        <v>243</v>
      </c>
      <c r="F2" s="1354"/>
      <c r="G2" s="1354"/>
      <c r="H2" s="1354"/>
      <c r="I2" s="1354"/>
      <c r="J2" s="1354"/>
      <c r="K2" s="1354"/>
      <c r="L2" s="1354"/>
      <c r="M2" s="1354"/>
      <c r="N2" s="1354"/>
      <c r="O2" s="1354"/>
      <c r="P2" s="1354"/>
      <c r="Q2" s="1354"/>
      <c r="R2" s="1354"/>
      <c r="S2" s="1354"/>
      <c r="T2" s="1354"/>
      <c r="U2" s="1354"/>
      <c r="V2" s="1354"/>
      <c r="W2" s="1354"/>
      <c r="X2" s="1354"/>
      <c r="Y2" s="1354"/>
      <c r="Z2" s="1354"/>
      <c r="AA2" s="1354"/>
      <c r="AB2" s="1354"/>
      <c r="AC2" s="1354"/>
      <c r="AD2" s="1354"/>
      <c r="AE2" s="1354"/>
      <c r="AF2" s="1355"/>
    </row>
    <row r="3" spans="1:68" ht="24" thickBot="1" x14ac:dyDescent="0.5">
      <c r="E3" s="1353" t="s">
        <v>197</v>
      </c>
      <c r="F3" s="1354"/>
      <c r="G3" s="1354"/>
      <c r="H3" s="1354"/>
      <c r="I3" s="1354"/>
      <c r="J3" s="1354"/>
      <c r="K3" s="1354"/>
      <c r="L3" s="1354"/>
      <c r="M3" s="1354"/>
      <c r="N3" s="1354"/>
      <c r="O3" s="1354"/>
      <c r="P3" s="1354"/>
      <c r="Q3" s="1354"/>
      <c r="R3" s="1354"/>
      <c r="S3" s="1354"/>
      <c r="T3" s="1354"/>
      <c r="U3" s="1354"/>
      <c r="V3" s="1354"/>
      <c r="W3" s="1354"/>
      <c r="X3" s="1354"/>
      <c r="Y3" s="1354"/>
      <c r="Z3" s="1354"/>
      <c r="AA3" s="1354"/>
      <c r="AB3" s="1354"/>
      <c r="AC3" s="1354"/>
      <c r="AD3" s="1354"/>
      <c r="AE3" s="1354"/>
      <c r="AF3" s="1355"/>
      <c r="AJ3" s="136"/>
    </row>
    <row r="4" spans="1:68" ht="24" thickBot="1" x14ac:dyDescent="0.5">
      <c r="E4" s="1358" t="s">
        <v>536</v>
      </c>
      <c r="F4" s="1359"/>
      <c r="G4" s="1359"/>
      <c r="H4" s="1359"/>
      <c r="I4" s="1359"/>
      <c r="J4" s="1359"/>
      <c r="K4" s="1359"/>
      <c r="L4" s="1359"/>
      <c r="M4" s="1359"/>
      <c r="N4" s="1359"/>
      <c r="O4" s="1359"/>
      <c r="P4" s="1359"/>
      <c r="Q4" s="1359"/>
      <c r="R4" s="1359"/>
      <c r="S4" s="1359"/>
      <c r="T4" s="1359"/>
      <c r="U4" s="1359"/>
      <c r="V4" s="1359"/>
      <c r="W4" s="1359"/>
      <c r="X4" s="1359"/>
      <c r="Y4" s="1359"/>
      <c r="Z4" s="1359"/>
      <c r="AA4" s="1359"/>
      <c r="AB4" s="1359"/>
      <c r="AC4" s="1359"/>
      <c r="AD4" s="1359"/>
      <c r="AE4" s="1359"/>
      <c r="AF4" s="1360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364" t="s">
        <v>845</v>
      </c>
      <c r="G6" s="1364"/>
      <c r="H6" s="1364" t="s">
        <v>846</v>
      </c>
      <c r="I6" s="1364"/>
      <c r="O6" s="29"/>
      <c r="V6" s="2"/>
      <c r="W6" s="10"/>
      <c r="AD6" s="1107"/>
      <c r="AE6" s="1145"/>
      <c r="AG6" s="2"/>
      <c r="AI6" s="10"/>
      <c r="AL6" s="43"/>
      <c r="AO6" s="10">
        <f>SUM(AO10:AO21)</f>
        <v>387.72331697290275</v>
      </c>
      <c r="AS6" s="10"/>
    </row>
    <row r="7" spans="1:68" x14ac:dyDescent="0.3">
      <c r="B7" s="1340" t="s">
        <v>259</v>
      </c>
      <c r="C7" s="205" t="s">
        <v>325</v>
      </c>
      <c r="D7" s="205" t="s">
        <v>705</v>
      </c>
      <c r="E7" s="1340" t="s">
        <v>244</v>
      </c>
      <c r="F7" s="1340" t="s">
        <v>245</v>
      </c>
      <c r="G7" s="1340" t="s">
        <v>246</v>
      </c>
      <c r="H7" s="1340" t="s">
        <v>247</v>
      </c>
      <c r="I7" s="1340" t="s">
        <v>248</v>
      </c>
      <c r="J7" s="1356" t="s">
        <v>144</v>
      </c>
      <c r="K7" s="1361" t="s">
        <v>679</v>
      </c>
      <c r="L7" s="1361" t="s">
        <v>766</v>
      </c>
      <c r="M7" s="1340" t="s">
        <v>250</v>
      </c>
      <c r="N7" s="1348" t="s">
        <v>249</v>
      </c>
      <c r="O7" s="224" t="s">
        <v>249</v>
      </c>
      <c r="P7" s="1348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340" t="s">
        <v>251</v>
      </c>
      <c r="W7" s="205" t="s">
        <v>303</v>
      </c>
      <c r="X7" s="1340" t="s">
        <v>260</v>
      </c>
      <c r="Y7" s="1340"/>
      <c r="Z7" s="1340"/>
      <c r="AA7" s="1330" t="s">
        <v>262</v>
      </c>
      <c r="AB7" s="1330"/>
      <c r="AC7" s="1330"/>
      <c r="AD7" s="1340" t="s">
        <v>269</v>
      </c>
      <c r="AE7" s="1340" t="s">
        <v>290</v>
      </c>
      <c r="AF7" s="1330" t="s">
        <v>256</v>
      </c>
      <c r="AG7" s="1330"/>
      <c r="AH7" s="1330"/>
      <c r="AI7" s="1330"/>
      <c r="AJ7" s="1330"/>
      <c r="AK7" s="1330"/>
      <c r="AL7" s="1330" t="s">
        <v>266</v>
      </c>
      <c r="AM7" s="1330"/>
      <c r="AN7" s="1330"/>
      <c r="AO7" s="1330" t="s">
        <v>267</v>
      </c>
      <c r="AP7" s="1330"/>
      <c r="AQ7" s="1330"/>
      <c r="AR7" s="131"/>
      <c r="AS7" s="247" t="s">
        <v>330</v>
      </c>
      <c r="AT7" s="1342" t="s">
        <v>273</v>
      </c>
      <c r="AU7" s="1343"/>
      <c r="AV7" s="1344"/>
      <c r="AW7" s="1350" t="s">
        <v>300</v>
      </c>
      <c r="AX7" s="1148"/>
      <c r="AY7" s="1348" t="s">
        <v>301</v>
      </c>
      <c r="AZ7" s="1330" t="s">
        <v>660</v>
      </c>
      <c r="BA7" s="1330"/>
      <c r="BB7" s="1330"/>
      <c r="BC7" s="131" t="s">
        <v>293</v>
      </c>
      <c r="BD7" s="1330" t="s">
        <v>277</v>
      </c>
      <c r="BE7" s="1330"/>
      <c r="BF7" s="1330"/>
      <c r="BG7" s="1330" t="s">
        <v>760</v>
      </c>
      <c r="BH7" s="1330"/>
      <c r="BI7" s="1330"/>
      <c r="BJ7" s="1330" t="s">
        <v>762</v>
      </c>
      <c r="BK7" s="1330"/>
      <c r="BL7" s="1330"/>
    </row>
    <row r="8" spans="1:68" x14ac:dyDescent="0.3">
      <c r="B8" s="1340"/>
      <c r="C8" s="205" t="s">
        <v>296</v>
      </c>
      <c r="D8" s="205" t="s">
        <v>36</v>
      </c>
      <c r="E8" s="1340"/>
      <c r="F8" s="1340"/>
      <c r="G8" s="1340"/>
      <c r="H8" s="1340"/>
      <c r="I8" s="1340"/>
      <c r="J8" s="1356"/>
      <c r="K8" s="1362"/>
      <c r="L8" s="1362"/>
      <c r="M8" s="1340"/>
      <c r="N8" s="1357"/>
      <c r="O8" s="225" t="s">
        <v>316</v>
      </c>
      <c r="P8" s="1357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340"/>
      <c r="W8" s="205" t="s">
        <v>184</v>
      </c>
      <c r="X8" s="1340" t="s">
        <v>261</v>
      </c>
      <c r="Y8" s="1340"/>
      <c r="Z8" s="1340"/>
      <c r="AA8" s="1330" t="s">
        <v>465</v>
      </c>
      <c r="AB8" s="1330"/>
      <c r="AC8" s="1330"/>
      <c r="AD8" s="1340"/>
      <c r="AE8" s="1340"/>
      <c r="AF8" s="1330" t="s">
        <v>263</v>
      </c>
      <c r="AG8" s="1330"/>
      <c r="AH8" s="1330"/>
      <c r="AI8" s="1330" t="s">
        <v>264</v>
      </c>
      <c r="AJ8" s="1330"/>
      <c r="AK8" s="1330"/>
      <c r="AL8" s="1330" t="s">
        <v>265</v>
      </c>
      <c r="AM8" s="1330"/>
      <c r="AN8" s="1330"/>
      <c r="AO8" s="1330" t="s">
        <v>257</v>
      </c>
      <c r="AP8" s="1330"/>
      <c r="AQ8" s="1330"/>
      <c r="AR8" s="131" t="s">
        <v>258</v>
      </c>
      <c r="AS8" s="248" t="s">
        <v>294</v>
      </c>
      <c r="AT8" s="1345"/>
      <c r="AU8" s="1346"/>
      <c r="AV8" s="1347"/>
      <c r="AW8" s="1351"/>
      <c r="AX8" s="1149"/>
      <c r="AY8" s="1349"/>
      <c r="AZ8" s="1330" t="s">
        <v>261</v>
      </c>
      <c r="BA8" s="1330"/>
      <c r="BB8" s="1330"/>
      <c r="BC8" s="131" t="s">
        <v>294</v>
      </c>
      <c r="BD8" s="1330" t="s">
        <v>40</v>
      </c>
      <c r="BE8" s="1330"/>
      <c r="BF8" s="1330"/>
      <c r="BG8" s="1330" t="s">
        <v>761</v>
      </c>
      <c r="BH8" s="1330"/>
      <c r="BI8" s="1330"/>
      <c r="BJ8" s="1330" t="s">
        <v>40</v>
      </c>
      <c r="BK8" s="1330"/>
      <c r="BL8" s="1330"/>
    </row>
    <row r="9" spans="1:68" x14ac:dyDescent="0.3">
      <c r="B9" s="1340"/>
      <c r="C9" s="205" t="s">
        <v>297</v>
      </c>
      <c r="D9" s="205" t="s">
        <v>742</v>
      </c>
      <c r="E9" s="1340"/>
      <c r="F9" s="1340"/>
      <c r="G9" s="1340"/>
      <c r="H9" s="1340"/>
      <c r="I9" s="1340"/>
      <c r="J9" s="1356"/>
      <c r="K9" s="1363"/>
      <c r="L9" s="1363"/>
      <c r="M9" s="1340"/>
      <c r="N9" s="1349"/>
      <c r="O9" s="204" t="s">
        <v>315</v>
      </c>
      <c r="P9" s="1349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340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340"/>
      <c r="AE9" s="1340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352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5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>(K22*J22)/1000</f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6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7">AF22*$O22</f>
        <v>29.002799</v>
      </c>
      <c r="AP22" s="673">
        <f t="shared" ref="AP22:AP59" si="78">AG22*$O22</f>
        <v>103.416355</v>
      </c>
      <c r="AQ22" s="673">
        <f t="shared" ref="AQ22:AQ59" si="79">AH22*$O22</f>
        <v>4352.1530850000008</v>
      </c>
      <c r="AR22" s="673">
        <f t="shared" ref="AR22:AR59" si="80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1">BE22/$AY$22</f>
        <v>171.44582874999998</v>
      </c>
      <c r="BB22" s="673">
        <f t="shared" si="81"/>
        <v>2900.5487948505224</v>
      </c>
      <c r="BC22" s="1123">
        <v>13</v>
      </c>
      <c r="BD22" s="673">
        <f t="shared" ref="BD22:BD59" si="82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6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3">$O23*AC23</f>
        <v>4561.0843110609794</v>
      </c>
      <c r="AO23" s="39">
        <f>AF23*$O23</f>
        <v>54.760030499999999</v>
      </c>
      <c r="AP23" s="39">
        <f t="shared" si="78"/>
        <v>104.50387499999999</v>
      </c>
      <c r="AQ23" s="39">
        <f t="shared" si="79"/>
        <v>3047.3329949999998</v>
      </c>
      <c r="AR23" s="39">
        <f t="shared" si="80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4">BE23/$AY$23</f>
        <v>745.46097499999985</v>
      </c>
      <c r="BB23" s="39">
        <f t="shared" si="84"/>
        <v>1513.7513160609797</v>
      </c>
      <c r="BC23" s="935">
        <v>14</v>
      </c>
      <c r="BD23" s="39">
        <f t="shared" si="82"/>
        <v>111.64994949999999</v>
      </c>
      <c r="BE23" s="39">
        <f t="shared" si="69"/>
        <v>745.46097499999985</v>
      </c>
      <c r="BF23" s="39">
        <f t="shared" ref="BF23:BF59" si="85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>(K24*J24)/1000</f>
        <v>1.1451999999999998</v>
      </c>
      <c r="M24" s="1140">
        <v>0.35</v>
      </c>
      <c r="N24" s="673">
        <f t="shared" si="0"/>
        <v>350.71749999999997</v>
      </c>
      <c r="O24" s="673">
        <f t="shared" ref="O24:O29" si="86"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6"/>
        <v>48.211199999999991</v>
      </c>
      <c r="V24" s="673">
        <f t="shared" si="45"/>
        <v>651.3325000000001</v>
      </c>
      <c r="W24" s="673">
        <f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3"/>
        <v>2802.0647049996392</v>
      </c>
      <c r="AO24" s="673">
        <f>AF24*$O24</f>
        <v>43.424053083333334</v>
      </c>
      <c r="AP24" s="673">
        <f t="shared" si="78"/>
        <v>91.609742499999996</v>
      </c>
      <c r="AQ24" s="673">
        <f t="shared" si="79"/>
        <v>3226.5261849999993</v>
      </c>
      <c r="AR24" s="673">
        <f t="shared" si="80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2"/>
        <v>55.386788027777783</v>
      </c>
      <c r="BE24" s="673">
        <f t="shared" si="69"/>
        <v>38.472641388888874</v>
      </c>
      <c r="BF24" s="673">
        <f t="shared" si="85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 t="shared" si="86"/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6"/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7">$O25*X25</f>
        <v>149.52931023551497</v>
      </c>
      <c r="AM25" s="39">
        <f t="shared" ref="AM25" si="88">$O25*Y25</f>
        <v>146.13149744526666</v>
      </c>
      <c r="AN25" s="39">
        <f t="shared" ref="AN25" si="89">$O25*AC25</f>
        <v>4010.7627711657942</v>
      </c>
      <c r="AO25" s="39">
        <f t="shared" ref="AO25" si="90">AF25*$O25</f>
        <v>39.240905607679991</v>
      </c>
      <c r="AP25" s="39">
        <f t="shared" ref="AP25" si="91">AG25*$O25</f>
        <v>66.423407929666652</v>
      </c>
      <c r="AQ25" s="39">
        <f t="shared" ref="AQ25" si="92">AH25*$O25</f>
        <v>3914.8934735161993</v>
      </c>
      <c r="AR25" s="39">
        <f t="shared" si="80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2"/>
        <v>87.339272248934975</v>
      </c>
      <c r="BE25" s="39">
        <f t="shared" si="69"/>
        <v>79.708089515600008</v>
      </c>
      <c r="BF25" s="39">
        <f t="shared" si="85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>(K26*J26)/1000</f>
        <v>0.80259000000000003</v>
      </c>
      <c r="M26" s="1140">
        <v>0.34</v>
      </c>
      <c r="N26" s="673">
        <f>M26*J26*P26</f>
        <v>357.97239999999999</v>
      </c>
      <c r="O26" s="673">
        <f t="shared" si="86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6"/>
        <v>46.494</v>
      </c>
      <c r="V26" s="673">
        <f>IFERROR(N26*((1-M26)/M26),"")</f>
        <v>694.88759999999979</v>
      </c>
      <c r="W26" s="673">
        <f>W25+O26</f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2"/>
      <c r="AG26" s="452"/>
      <c r="AH26" s="452"/>
      <c r="AI26" s="452">
        <v>3.5000000000000003E-2</v>
      </c>
      <c r="AJ26" s="452"/>
      <c r="AK26" s="452"/>
      <c r="AL26" s="673">
        <f t="shared" ref="AL26:AL59" si="93">$O26*X26</f>
        <v>114.86977833333334</v>
      </c>
      <c r="AM26" s="673">
        <f t="shared" ref="AM26:AM59" si="94">$O26*Y26</f>
        <v>127.002092</v>
      </c>
      <c r="AN26" s="673">
        <f t="shared" ref="AN26:AN59" si="95">$O26*AC26</f>
        <v>3378.3420463509601</v>
      </c>
      <c r="AO26" s="673">
        <f t="shared" si="77"/>
        <v>0</v>
      </c>
      <c r="AP26" s="673">
        <f t="shared" si="78"/>
        <v>0</v>
      </c>
      <c r="AQ26" s="673">
        <f t="shared" si="79"/>
        <v>0</v>
      </c>
      <c r="AR26" s="673">
        <f t="shared" si="80"/>
        <v>24.321065999999995</v>
      </c>
      <c r="AS26" s="673">
        <v>17</v>
      </c>
      <c r="AT26" s="1023">
        <f t="shared" si="26"/>
        <v>0.78827271756872186</v>
      </c>
      <c r="AU26" s="1023">
        <f t="shared" si="27"/>
        <v>1</v>
      </c>
      <c r="AV26" s="1023">
        <f t="shared" si="28"/>
        <v>1</v>
      </c>
      <c r="AW26" s="1026"/>
      <c r="AX26" s="1026"/>
      <c r="AY26" s="451">
        <v>1</v>
      </c>
      <c r="AZ26" s="673">
        <f>(BD22+BD24+BD26)/AY26</f>
        <v>282.31220761111115</v>
      </c>
      <c r="BA26" s="452"/>
      <c r="BB26" s="1025"/>
      <c r="BC26" s="1123">
        <v>17</v>
      </c>
      <c r="BD26" s="673">
        <f t="shared" si="82"/>
        <v>90.548712333333356</v>
      </c>
      <c r="BE26" s="673">
        <f t="shared" si="69"/>
        <v>127.002092</v>
      </c>
      <c r="BF26" s="673">
        <f t="shared" si="85"/>
        <v>3378.3420463509601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>(K27*J27)/1000</f>
        <v>0.72375999999999996</v>
      </c>
      <c r="M27" s="40">
        <v>0.36</v>
      </c>
      <c r="N27" s="39">
        <f>M27*J27*P27</f>
        <v>389.26080000000002</v>
      </c>
      <c r="O27" s="39">
        <f t="shared" si="86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6"/>
        <v>46.494</v>
      </c>
      <c r="V27" s="39">
        <f>IFERROR(N27*((1-M27)/M27),"")</f>
        <v>692.01920000000007</v>
      </c>
      <c r="W27" s="39">
        <f>W26+O27</f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6"/>
      <c r="AG27" s="6"/>
      <c r="AH27" s="6"/>
      <c r="AI27" s="6">
        <v>8.1000000000000003E-2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6">AF27*$O27</f>
        <v>0</v>
      </c>
      <c r="AP27" s="39">
        <f t="shared" si="96"/>
        <v>0</v>
      </c>
      <c r="AQ27" s="39">
        <f t="shared" si="96"/>
        <v>0</v>
      </c>
      <c r="AR27" s="39">
        <f>IFERROR(AI27*V27,"")</f>
        <v>56.053555200000005</v>
      </c>
      <c r="AS27" s="39">
        <v>18</v>
      </c>
      <c r="AT27" s="38">
        <f t="shared" si="26"/>
        <v>0.5898124840412966</v>
      </c>
      <c r="AU27" s="38">
        <f t="shared" si="27"/>
        <v>1</v>
      </c>
      <c r="AV27" s="38">
        <f t="shared" si="28"/>
        <v>1</v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2"/>
        <v>80.599933800000002</v>
      </c>
      <c r="BE27" s="39">
        <f t="shared" si="69"/>
        <v>105.70945</v>
      </c>
      <c r="BF27" s="39">
        <f t="shared" si="85"/>
        <v>2677.8215125558199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>(K28*J28)/1000</f>
        <v>0.74217999999999995</v>
      </c>
      <c r="M28" s="1140">
        <v>0.36</v>
      </c>
      <c r="N28" s="673">
        <f>M28*J28*P28</f>
        <v>385.2432</v>
      </c>
      <c r="O28" s="673">
        <f t="shared" si="86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>W27+O28</f>
        <v>6370.5456803100005</v>
      </c>
      <c r="X28" s="451" t="e">
        <f>AVERAGE('Milling and Leach Feed'!T118:T120)</f>
        <v>#DIV/0!</v>
      </c>
      <c r="Y28" s="451" t="e">
        <f>AVERAGE('Milling and Leach Feed'!U118:U120)</f>
        <v>#DIV/0!</v>
      </c>
      <c r="Z28" s="451" t="e">
        <f>AVERAGE('Milling and Leach Feed'!V118:V120)</f>
        <v>#DIV/0!</v>
      </c>
      <c r="AA28" s="1144">
        <f>SUM('Milling and Leach Feed'!T118:T120)/'Au Cal Leaching Tank'!$O$28</f>
        <v>0</v>
      </c>
      <c r="AB28" s="1144">
        <f>SUM('Milling and Leach Feed'!U118:U120)/'Au Cal Leaching Tank'!$O$28</f>
        <v>0</v>
      </c>
      <c r="AC28" s="1144">
        <f>SUM('Milling and Leach Feed'!V118:V120)/'Au Cal Leaching Tank'!$O$28</f>
        <v>0</v>
      </c>
      <c r="AD28" s="452"/>
      <c r="AE28" s="452"/>
      <c r="AF28" s="452"/>
      <c r="AG28" s="452"/>
      <c r="AH28" s="452"/>
      <c r="AI28" s="452">
        <v>8.4000000000000005E-2</v>
      </c>
      <c r="AJ28" s="452"/>
      <c r="AK28" s="452"/>
      <c r="AL28" s="673" t="e">
        <f>$O28*X28</f>
        <v>#DIV/0!</v>
      </c>
      <c r="AM28" s="673" t="e">
        <f>$O28*Y28</f>
        <v>#DIV/0!</v>
      </c>
      <c r="AN28" s="673">
        <f>$O28*AC28</f>
        <v>0</v>
      </c>
      <c r="AO28" s="673">
        <f t="shared" si="96"/>
        <v>0</v>
      </c>
      <c r="AP28" s="673">
        <f t="shared" si="96"/>
        <v>0</v>
      </c>
      <c r="AQ28" s="673">
        <f t="shared" si="96"/>
        <v>0</v>
      </c>
      <c r="AR28" s="673">
        <f t="shared" si="80"/>
        <v>57.529651200000004</v>
      </c>
      <c r="AS28" s="673">
        <v>19</v>
      </c>
      <c r="AT28" s="1023" t="str">
        <f t="shared" si="26"/>
        <v/>
      </c>
      <c r="AU28" s="1023" t="str">
        <f t="shared" si="27"/>
        <v/>
      </c>
      <c r="AV28" s="1023" t="str">
        <f t="shared" si="28"/>
        <v/>
      </c>
      <c r="AW28" s="1026"/>
      <c r="AX28" s="1026"/>
      <c r="AY28" s="451"/>
      <c r="AZ28" s="452"/>
      <c r="BA28" s="452"/>
      <c r="BB28" s="1025"/>
      <c r="BC28" s="1123">
        <v>19</v>
      </c>
      <c r="BD28" s="673" t="str">
        <f t="shared" si="82"/>
        <v/>
      </c>
      <c r="BE28" s="673" t="e">
        <f t="shared" si="69"/>
        <v>#DIV/0!</v>
      </c>
      <c r="BF28" s="673">
        <f t="shared" si="85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73">
        <v>46313</v>
      </c>
      <c r="G29" s="102">
        <v>0.25</v>
      </c>
      <c r="H29" s="13"/>
      <c r="I29" s="6"/>
      <c r="J29" s="13">
        <v>908</v>
      </c>
      <c r="K29" s="13"/>
      <c r="L29" s="13"/>
      <c r="M29" s="40">
        <v>0.36</v>
      </c>
      <c r="N29" s="39">
        <f t="shared" si="0"/>
        <v>403.69680000000005</v>
      </c>
      <c r="O29" s="39">
        <f t="shared" si="86"/>
        <v>357.20280000000002</v>
      </c>
      <c r="P29" s="13">
        <v>1.2350000000000001</v>
      </c>
      <c r="Q29" s="13">
        <v>3</v>
      </c>
      <c r="R29" s="13"/>
      <c r="S29" s="13"/>
      <c r="T29" s="13">
        <v>108</v>
      </c>
      <c r="U29" s="6"/>
      <c r="V29" s="39">
        <f t="shared" si="45"/>
        <v>717.68320000000017</v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3"/>
        <v>0</v>
      </c>
      <c r="AM29" s="39">
        <f t="shared" si="94"/>
        <v>0</v>
      </c>
      <c r="AN29" s="39">
        <f t="shared" si="95"/>
        <v>0</v>
      </c>
      <c r="AO29" s="39">
        <f t="shared" si="77"/>
        <v>0</v>
      </c>
      <c r="AP29" s="39">
        <f t="shared" si="78"/>
        <v>0</v>
      </c>
      <c r="AQ29" s="39">
        <f t="shared" si="79"/>
        <v>0</v>
      </c>
      <c r="AR29" s="39">
        <f t="shared" si="80"/>
        <v>0</v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>
        <f t="shared" si="82"/>
        <v>0</v>
      </c>
      <c r="BE29" s="39">
        <f t="shared" si="69"/>
        <v>0</v>
      </c>
      <c r="BF29" s="39">
        <f t="shared" si="85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3"/>
        <v>0</v>
      </c>
      <c r="AM30" s="673">
        <f t="shared" si="94"/>
        <v>0</v>
      </c>
      <c r="AN30" s="673">
        <f t="shared" si="95"/>
        <v>0</v>
      </c>
      <c r="AO30" s="673">
        <f t="shared" si="77"/>
        <v>0</v>
      </c>
      <c r="AP30" s="673">
        <f t="shared" si="78"/>
        <v>0</v>
      </c>
      <c r="AQ30" s="673">
        <f t="shared" si="79"/>
        <v>0</v>
      </c>
      <c r="AR30" s="673" t="str">
        <f t="shared" si="80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2"/>
        <v/>
      </c>
      <c r="BE30" s="673">
        <f t="shared" si="69"/>
        <v>0</v>
      </c>
      <c r="BF30" s="673">
        <f t="shared" si="85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3"/>
        <v>0</v>
      </c>
      <c r="AM31" s="39">
        <f t="shared" si="94"/>
        <v>0</v>
      </c>
      <c r="AN31" s="39">
        <f t="shared" si="95"/>
        <v>0</v>
      </c>
      <c r="AO31" s="39">
        <f t="shared" si="77"/>
        <v>0</v>
      </c>
      <c r="AP31" s="39">
        <f t="shared" si="78"/>
        <v>0</v>
      </c>
      <c r="AQ31" s="39">
        <f t="shared" si="79"/>
        <v>0</v>
      </c>
      <c r="AR31" s="39" t="str">
        <f t="shared" si="80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2"/>
        <v/>
      </c>
      <c r="BE31" s="39">
        <f t="shared" si="69"/>
        <v>0</v>
      </c>
      <c r="BF31" s="39">
        <f t="shared" si="85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3"/>
        <v>0</v>
      </c>
      <c r="AM32" s="673">
        <f t="shared" si="94"/>
        <v>0</v>
      </c>
      <c r="AN32" s="673">
        <f t="shared" si="95"/>
        <v>0</v>
      </c>
      <c r="AO32" s="673">
        <f t="shared" si="77"/>
        <v>0</v>
      </c>
      <c r="AP32" s="673">
        <f t="shared" si="78"/>
        <v>0</v>
      </c>
      <c r="AQ32" s="673">
        <f t="shared" si="79"/>
        <v>0</v>
      </c>
      <c r="AR32" s="673" t="str">
        <f t="shared" si="80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2"/>
        <v/>
      </c>
      <c r="BE32" s="673">
        <f t="shared" si="69"/>
        <v>0</v>
      </c>
      <c r="BF32" s="673">
        <f t="shared" si="85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3"/>
        <v>0</v>
      </c>
      <c r="AM33" s="39">
        <f t="shared" si="94"/>
        <v>0</v>
      </c>
      <c r="AN33" s="39">
        <f t="shared" si="95"/>
        <v>0</v>
      </c>
      <c r="AO33" s="39">
        <f t="shared" si="77"/>
        <v>0</v>
      </c>
      <c r="AP33" s="39">
        <f t="shared" si="78"/>
        <v>0</v>
      </c>
      <c r="AQ33" s="39">
        <f t="shared" si="79"/>
        <v>0</v>
      </c>
      <c r="AR33" s="39" t="str">
        <f t="shared" si="80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2"/>
        <v/>
      </c>
      <c r="BE33" s="39">
        <f t="shared" si="69"/>
        <v>0</v>
      </c>
      <c r="BF33" s="39">
        <f t="shared" si="85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3"/>
        <v>0</v>
      </c>
      <c r="AM34" s="673">
        <f t="shared" si="94"/>
        <v>0</v>
      </c>
      <c r="AN34" s="673">
        <f t="shared" si="95"/>
        <v>0</v>
      </c>
      <c r="AO34" s="673">
        <f t="shared" si="77"/>
        <v>0</v>
      </c>
      <c r="AP34" s="673">
        <f t="shared" si="78"/>
        <v>0</v>
      </c>
      <c r="AQ34" s="673">
        <f t="shared" si="79"/>
        <v>0</v>
      </c>
      <c r="AR34" s="673" t="str">
        <f t="shared" si="80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2"/>
        <v/>
      </c>
      <c r="BE34" s="673">
        <f t="shared" si="69"/>
        <v>0</v>
      </c>
      <c r="BF34" s="673">
        <f t="shared" si="85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3"/>
        <v>0</v>
      </c>
      <c r="AM35" s="39">
        <f t="shared" si="94"/>
        <v>0</v>
      </c>
      <c r="AN35" s="39">
        <f t="shared" si="95"/>
        <v>0</v>
      </c>
      <c r="AO35" s="39">
        <f t="shared" si="77"/>
        <v>0</v>
      </c>
      <c r="AP35" s="39">
        <f t="shared" si="78"/>
        <v>0</v>
      </c>
      <c r="AQ35" s="39">
        <f t="shared" si="79"/>
        <v>0</v>
      </c>
      <c r="AR35" s="39" t="str">
        <f t="shared" si="80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2"/>
        <v/>
      </c>
      <c r="BE35" s="39">
        <f t="shared" si="69"/>
        <v>0</v>
      </c>
      <c r="BF35" s="39">
        <f t="shared" si="85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39">
        <f t="shared" si="93"/>
        <v>0</v>
      </c>
      <c r="AM36" s="39">
        <f t="shared" si="94"/>
        <v>0</v>
      </c>
      <c r="AN36" s="39">
        <f t="shared" si="95"/>
        <v>0</v>
      </c>
      <c r="AO36" s="39">
        <f t="shared" si="77"/>
        <v>0</v>
      </c>
      <c r="AP36" s="39">
        <f t="shared" si="78"/>
        <v>0</v>
      </c>
      <c r="AQ36" s="39">
        <f t="shared" si="79"/>
        <v>0</v>
      </c>
      <c r="AR36" s="39" t="str">
        <f t="shared" si="80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5">
        <v>27</v>
      </c>
      <c r="BD36" s="673" t="str">
        <f t="shared" si="82"/>
        <v/>
      </c>
      <c r="BE36" s="673">
        <f t="shared" si="69"/>
        <v>0</v>
      </c>
      <c r="BF36" s="673">
        <f t="shared" si="85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3"/>
        <v>0</v>
      </c>
      <c r="AM37" s="39">
        <f t="shared" si="94"/>
        <v>0</v>
      </c>
      <c r="AN37" s="39">
        <f t="shared" si="95"/>
        <v>0</v>
      </c>
      <c r="AO37" s="39">
        <f t="shared" si="77"/>
        <v>0</v>
      </c>
      <c r="AP37" s="39">
        <f t="shared" si="78"/>
        <v>0</v>
      </c>
      <c r="AQ37" s="39">
        <f t="shared" si="79"/>
        <v>0</v>
      </c>
      <c r="AR37" s="39" t="str">
        <f t="shared" si="80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2"/>
        <v/>
      </c>
      <c r="BE37" s="39">
        <f t="shared" si="69"/>
        <v>0</v>
      </c>
      <c r="BF37" s="39">
        <f t="shared" si="85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39">
        <f t="shared" si="93"/>
        <v>0</v>
      </c>
      <c r="AM38" s="39">
        <f t="shared" si="94"/>
        <v>0</v>
      </c>
      <c r="AN38" s="39">
        <f t="shared" si="95"/>
        <v>0</v>
      </c>
      <c r="AO38" s="39">
        <f t="shared" si="77"/>
        <v>0</v>
      </c>
      <c r="AP38" s="39">
        <f t="shared" si="78"/>
        <v>0</v>
      </c>
      <c r="AQ38" s="39">
        <f t="shared" si="79"/>
        <v>0</v>
      </c>
      <c r="AR38" s="39" t="str">
        <f t="shared" si="80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5">
        <v>29</v>
      </c>
      <c r="BD38" s="673" t="str">
        <f t="shared" si="82"/>
        <v/>
      </c>
      <c r="BE38" s="673">
        <f t="shared" si="69"/>
        <v>0</v>
      </c>
      <c r="BF38" s="673">
        <f t="shared" si="85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3"/>
        <v>0</v>
      </c>
      <c r="AM39" s="39">
        <f t="shared" si="94"/>
        <v>0</v>
      </c>
      <c r="AN39" s="39">
        <f t="shared" si="95"/>
        <v>0</v>
      </c>
      <c r="AO39" s="39">
        <f t="shared" si="77"/>
        <v>0</v>
      </c>
      <c r="AP39" s="39">
        <f t="shared" si="78"/>
        <v>0</v>
      </c>
      <c r="AQ39" s="39">
        <f t="shared" si="79"/>
        <v>0</v>
      </c>
      <c r="AR39" s="39" t="str">
        <f t="shared" si="80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2"/>
        <v/>
      </c>
      <c r="BE39" s="39">
        <f t="shared" si="69"/>
        <v>0</v>
      </c>
      <c r="BF39" s="39">
        <f t="shared" si="85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39">
        <f t="shared" si="93"/>
        <v>0</v>
      </c>
      <c r="AM40" s="39">
        <f t="shared" si="94"/>
        <v>0</v>
      </c>
      <c r="AN40" s="39">
        <f t="shared" si="95"/>
        <v>0</v>
      </c>
      <c r="AO40" s="39">
        <f t="shared" si="77"/>
        <v>0</v>
      </c>
      <c r="AP40" s="39">
        <f t="shared" si="78"/>
        <v>0</v>
      </c>
      <c r="AQ40" s="39">
        <f t="shared" si="79"/>
        <v>0</v>
      </c>
      <c r="AR40" s="39" t="str">
        <f t="shared" si="80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2"/>
        <v/>
      </c>
      <c r="BE40" s="673">
        <f t="shared" si="69"/>
        <v>0</v>
      </c>
      <c r="BF40" s="673">
        <f t="shared" si="85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3"/>
        <v>0</v>
      </c>
      <c r="AM41" s="39">
        <f t="shared" si="94"/>
        <v>0</v>
      </c>
      <c r="AN41" s="39">
        <f t="shared" si="95"/>
        <v>0</v>
      </c>
      <c r="AO41" s="39">
        <f t="shared" si="77"/>
        <v>0</v>
      </c>
      <c r="AP41" s="39">
        <f t="shared" si="78"/>
        <v>0</v>
      </c>
      <c r="AQ41" s="39">
        <f t="shared" si="79"/>
        <v>0</v>
      </c>
      <c r="AR41" s="39" t="str">
        <f t="shared" si="80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2"/>
        <v/>
      </c>
      <c r="BE41" s="39">
        <f t="shared" si="69"/>
        <v>0</v>
      </c>
      <c r="BF41" s="39">
        <f t="shared" si="85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39">
        <f t="shared" si="93"/>
        <v>0</v>
      </c>
      <c r="AM42" s="39">
        <f t="shared" si="94"/>
        <v>0</v>
      </c>
      <c r="AN42" s="39">
        <f t="shared" si="95"/>
        <v>0</v>
      </c>
      <c r="AO42" s="39">
        <f t="shared" si="77"/>
        <v>0</v>
      </c>
      <c r="AP42" s="39">
        <f t="shared" si="78"/>
        <v>0</v>
      </c>
      <c r="AQ42" s="39">
        <f t="shared" si="79"/>
        <v>0</v>
      </c>
      <c r="AR42" s="39" t="str">
        <f t="shared" si="80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2"/>
        <v/>
      </c>
      <c r="BE42" s="673">
        <f t="shared" si="69"/>
        <v>0</v>
      </c>
      <c r="BF42" s="673">
        <f t="shared" si="85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3"/>
        <v>0</v>
      </c>
      <c r="AM43" s="39">
        <f t="shared" si="94"/>
        <v>0</v>
      </c>
      <c r="AN43" s="39">
        <f t="shared" si="95"/>
        <v>0</v>
      </c>
      <c r="AO43" s="39">
        <f t="shared" si="77"/>
        <v>0</v>
      </c>
      <c r="AP43" s="39">
        <f t="shared" si="78"/>
        <v>0</v>
      </c>
      <c r="AQ43" s="39">
        <f t="shared" si="79"/>
        <v>0</v>
      </c>
      <c r="AR43" s="39" t="str">
        <f t="shared" si="80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2"/>
        <v/>
      </c>
      <c r="BE43" s="39">
        <f t="shared" si="69"/>
        <v>0</v>
      </c>
      <c r="BF43" s="39">
        <f t="shared" si="85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3"/>
        <v>0</v>
      </c>
      <c r="AM44" s="39">
        <f t="shared" si="94"/>
        <v>0</v>
      </c>
      <c r="AN44" s="39">
        <f t="shared" si="95"/>
        <v>0</v>
      </c>
      <c r="AO44" s="39">
        <f t="shared" si="77"/>
        <v>0</v>
      </c>
      <c r="AP44" s="39">
        <f t="shared" si="78"/>
        <v>0</v>
      </c>
      <c r="AQ44" s="39">
        <f t="shared" si="79"/>
        <v>0</v>
      </c>
      <c r="AR44" s="39" t="str">
        <f t="shared" si="80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2"/>
        <v/>
      </c>
      <c r="BE44" s="673">
        <f t="shared" si="69"/>
        <v>0</v>
      </c>
      <c r="BF44" s="673">
        <f t="shared" si="85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3"/>
        <v>0</v>
      </c>
      <c r="AM45" s="39">
        <f t="shared" si="94"/>
        <v>0</v>
      </c>
      <c r="AN45" s="39">
        <f t="shared" si="95"/>
        <v>0</v>
      </c>
      <c r="AO45" s="39">
        <f t="shared" si="77"/>
        <v>0</v>
      </c>
      <c r="AP45" s="39">
        <f t="shared" si="78"/>
        <v>0</v>
      </c>
      <c r="AQ45" s="39">
        <f t="shared" si="79"/>
        <v>0</v>
      </c>
      <c r="AR45" s="39" t="str">
        <f t="shared" si="80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2"/>
        <v/>
      </c>
      <c r="BE45" s="39">
        <f t="shared" si="69"/>
        <v>0</v>
      </c>
      <c r="BF45" s="39">
        <f t="shared" si="85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3"/>
        <v>0</v>
      </c>
      <c r="AM46" s="39">
        <f t="shared" si="94"/>
        <v>0</v>
      </c>
      <c r="AN46" s="39">
        <f t="shared" si="95"/>
        <v>0</v>
      </c>
      <c r="AO46" s="39">
        <f t="shared" si="77"/>
        <v>0</v>
      </c>
      <c r="AP46" s="39">
        <f t="shared" si="78"/>
        <v>0</v>
      </c>
      <c r="AQ46" s="39">
        <f t="shared" si="79"/>
        <v>0</v>
      </c>
      <c r="AR46" s="39" t="str">
        <f t="shared" si="80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2"/>
        <v/>
      </c>
      <c r="BE46" s="673">
        <f t="shared" si="69"/>
        <v>0</v>
      </c>
      <c r="BF46" s="673">
        <f t="shared" si="85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3"/>
        <v>0</v>
      </c>
      <c r="AM47" s="39">
        <f t="shared" si="94"/>
        <v>0</v>
      </c>
      <c r="AN47" s="39">
        <f t="shared" si="95"/>
        <v>0</v>
      </c>
      <c r="AO47" s="39">
        <f t="shared" si="77"/>
        <v>0</v>
      </c>
      <c r="AP47" s="39">
        <f t="shared" si="78"/>
        <v>0</v>
      </c>
      <c r="AQ47" s="39">
        <f t="shared" si="79"/>
        <v>0</v>
      </c>
      <c r="AR47" s="39" t="str">
        <f t="shared" si="80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2"/>
        <v/>
      </c>
      <c r="BE47" s="39">
        <f t="shared" si="69"/>
        <v>0</v>
      </c>
      <c r="BF47" s="39">
        <f t="shared" si="85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3"/>
        <v>0</v>
      </c>
      <c r="AM48" s="39">
        <f t="shared" si="94"/>
        <v>0</v>
      </c>
      <c r="AN48" s="39">
        <f t="shared" si="95"/>
        <v>0</v>
      </c>
      <c r="AO48" s="39">
        <f t="shared" si="77"/>
        <v>0</v>
      </c>
      <c r="AP48" s="39">
        <f t="shared" si="78"/>
        <v>0</v>
      </c>
      <c r="AQ48" s="39">
        <f t="shared" si="79"/>
        <v>0</v>
      </c>
      <c r="AR48" s="39" t="str">
        <f t="shared" si="80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2"/>
        <v/>
      </c>
      <c r="BE48" s="673">
        <f t="shared" si="69"/>
        <v>0</v>
      </c>
      <c r="BF48" s="673">
        <f t="shared" si="85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3"/>
        <v>0</v>
      </c>
      <c r="AM49" s="39">
        <f t="shared" si="94"/>
        <v>0</v>
      </c>
      <c r="AN49" s="39">
        <f t="shared" si="95"/>
        <v>0</v>
      </c>
      <c r="AO49" s="39">
        <f t="shared" si="77"/>
        <v>0</v>
      </c>
      <c r="AP49" s="39">
        <f t="shared" si="78"/>
        <v>0</v>
      </c>
      <c r="AQ49" s="39">
        <f t="shared" si="79"/>
        <v>0</v>
      </c>
      <c r="AR49" s="39" t="str">
        <f t="shared" si="80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2"/>
        <v/>
      </c>
      <c r="BE49" s="39">
        <f t="shared" si="69"/>
        <v>0</v>
      </c>
      <c r="BF49" s="39">
        <f t="shared" si="85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3"/>
        <v>0</v>
      </c>
      <c r="AM50" s="39">
        <f t="shared" si="94"/>
        <v>0</v>
      </c>
      <c r="AN50" s="39">
        <f t="shared" si="95"/>
        <v>0</v>
      </c>
      <c r="AO50" s="39">
        <f t="shared" si="77"/>
        <v>0</v>
      </c>
      <c r="AP50" s="39">
        <f t="shared" si="78"/>
        <v>0</v>
      </c>
      <c r="AQ50" s="39">
        <f t="shared" si="79"/>
        <v>0</v>
      </c>
      <c r="AR50" s="39" t="str">
        <f t="shared" si="80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2"/>
        <v/>
      </c>
      <c r="BE50" s="673">
        <f t="shared" si="69"/>
        <v>0</v>
      </c>
      <c r="BF50" s="673">
        <f t="shared" si="85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3"/>
        <v>0</v>
      </c>
      <c r="AM51" s="39">
        <f t="shared" si="94"/>
        <v>0</v>
      </c>
      <c r="AN51" s="39">
        <f t="shared" si="95"/>
        <v>0</v>
      </c>
      <c r="AO51" s="39">
        <f t="shared" si="77"/>
        <v>0</v>
      </c>
      <c r="AP51" s="39">
        <f t="shared" si="78"/>
        <v>0</v>
      </c>
      <c r="AQ51" s="39">
        <f t="shared" si="79"/>
        <v>0</v>
      </c>
      <c r="AR51" s="39" t="str">
        <f t="shared" si="80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2"/>
        <v/>
      </c>
      <c r="BE51" s="39">
        <f t="shared" si="69"/>
        <v>0</v>
      </c>
      <c r="BF51" s="39">
        <f t="shared" si="85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3"/>
        <v>0</v>
      </c>
      <c r="AM52" s="39">
        <f t="shared" si="94"/>
        <v>0</v>
      </c>
      <c r="AN52" s="39">
        <f t="shared" si="95"/>
        <v>0</v>
      </c>
      <c r="AO52" s="39">
        <f t="shared" si="77"/>
        <v>0</v>
      </c>
      <c r="AP52" s="39">
        <f t="shared" si="78"/>
        <v>0</v>
      </c>
      <c r="AQ52" s="39">
        <f t="shared" si="79"/>
        <v>0</v>
      </c>
      <c r="AR52" s="39" t="str">
        <f t="shared" si="80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2"/>
        <v/>
      </c>
      <c r="BE52" s="673">
        <f t="shared" si="69"/>
        <v>0</v>
      </c>
      <c r="BF52" s="673">
        <f t="shared" si="85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3"/>
        <v>0</v>
      </c>
      <c r="AM53" s="39">
        <f t="shared" si="94"/>
        <v>0</v>
      </c>
      <c r="AN53" s="39">
        <f t="shared" si="95"/>
        <v>0</v>
      </c>
      <c r="AO53" s="39">
        <f t="shared" si="77"/>
        <v>0</v>
      </c>
      <c r="AP53" s="39">
        <f t="shared" si="78"/>
        <v>0</v>
      </c>
      <c r="AQ53" s="39">
        <f t="shared" si="79"/>
        <v>0</v>
      </c>
      <c r="AR53" s="39" t="str">
        <f t="shared" si="80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2"/>
        <v/>
      </c>
      <c r="BE53" s="39">
        <f t="shared" si="69"/>
        <v>0</v>
      </c>
      <c r="BF53" s="39">
        <f t="shared" si="85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3"/>
        <v>0</v>
      </c>
      <c r="AM54" s="39">
        <f t="shared" si="94"/>
        <v>0</v>
      </c>
      <c r="AN54" s="39">
        <f t="shared" si="95"/>
        <v>0</v>
      </c>
      <c r="AO54" s="39">
        <f t="shared" si="77"/>
        <v>0</v>
      </c>
      <c r="AP54" s="39">
        <f t="shared" si="78"/>
        <v>0</v>
      </c>
      <c r="AQ54" s="39">
        <f t="shared" si="79"/>
        <v>0</v>
      </c>
      <c r="AR54" s="39" t="str">
        <f t="shared" si="80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2"/>
        <v/>
      </c>
      <c r="BE54" s="673">
        <f t="shared" si="69"/>
        <v>0</v>
      </c>
      <c r="BF54" s="673">
        <f t="shared" si="85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3"/>
        <v>0</v>
      </c>
      <c r="AM55" s="39">
        <f t="shared" si="94"/>
        <v>0</v>
      </c>
      <c r="AN55" s="39">
        <f t="shared" si="95"/>
        <v>0</v>
      </c>
      <c r="AO55" s="39">
        <f t="shared" si="77"/>
        <v>0</v>
      </c>
      <c r="AP55" s="39">
        <f t="shared" si="78"/>
        <v>0</v>
      </c>
      <c r="AQ55" s="39">
        <f t="shared" si="79"/>
        <v>0</v>
      </c>
      <c r="AR55" s="39" t="str">
        <f t="shared" si="80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2"/>
        <v/>
      </c>
      <c r="BE55" s="39">
        <f t="shared" si="69"/>
        <v>0</v>
      </c>
      <c r="BF55" s="39">
        <f t="shared" si="85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3"/>
        <v>0</v>
      </c>
      <c r="AM56" s="39">
        <f t="shared" si="94"/>
        <v>0</v>
      </c>
      <c r="AN56" s="39">
        <f t="shared" si="95"/>
        <v>0</v>
      </c>
      <c r="AO56" s="39">
        <f t="shared" si="77"/>
        <v>0</v>
      </c>
      <c r="AP56" s="39">
        <f t="shared" si="78"/>
        <v>0</v>
      </c>
      <c r="AQ56" s="39">
        <f t="shared" si="79"/>
        <v>0</v>
      </c>
      <c r="AR56" s="39" t="str">
        <f t="shared" si="80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2"/>
        <v/>
      </c>
      <c r="BE56" s="673">
        <f t="shared" si="69"/>
        <v>0</v>
      </c>
      <c r="BF56" s="673">
        <f t="shared" si="85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3"/>
        <v>0</v>
      </c>
      <c r="AM57" s="39">
        <f t="shared" si="94"/>
        <v>0</v>
      </c>
      <c r="AN57" s="39">
        <f t="shared" si="95"/>
        <v>0</v>
      </c>
      <c r="AO57" s="39">
        <f t="shared" si="77"/>
        <v>0</v>
      </c>
      <c r="AP57" s="39">
        <f t="shared" si="78"/>
        <v>0</v>
      </c>
      <c r="AQ57" s="39">
        <f t="shared" si="79"/>
        <v>0</v>
      </c>
      <c r="AR57" s="39" t="str">
        <f t="shared" si="80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2"/>
        <v/>
      </c>
      <c r="BE57" s="39">
        <f t="shared" si="69"/>
        <v>0</v>
      </c>
      <c r="BF57" s="39">
        <f t="shared" si="85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3"/>
        <v>0</v>
      </c>
      <c r="AM58" s="39">
        <f t="shared" si="94"/>
        <v>0</v>
      </c>
      <c r="AN58" s="39">
        <f t="shared" si="95"/>
        <v>0</v>
      </c>
      <c r="AO58" s="39">
        <f t="shared" si="77"/>
        <v>0</v>
      </c>
      <c r="AP58" s="39">
        <f t="shared" si="78"/>
        <v>0</v>
      </c>
      <c r="AQ58" s="39">
        <f t="shared" si="79"/>
        <v>0</v>
      </c>
      <c r="AR58" s="39" t="str">
        <f t="shared" si="80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2"/>
        <v/>
      </c>
      <c r="BE58" s="673">
        <f t="shared" si="69"/>
        <v>0</v>
      </c>
      <c r="BF58" s="673">
        <f t="shared" si="85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3"/>
        <v>0</v>
      </c>
      <c r="AM59" s="39">
        <f t="shared" si="94"/>
        <v>0</v>
      </c>
      <c r="AN59" s="39">
        <f t="shared" si="95"/>
        <v>0</v>
      </c>
      <c r="AO59" s="39">
        <f t="shared" si="77"/>
        <v>0</v>
      </c>
      <c r="AP59" s="39">
        <f t="shared" si="78"/>
        <v>0</v>
      </c>
      <c r="AQ59" s="39">
        <f t="shared" si="79"/>
        <v>0</v>
      </c>
      <c r="AR59" s="39" t="str">
        <f t="shared" si="80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2"/>
        <v/>
      </c>
      <c r="BE59" s="39">
        <f t="shared" si="69"/>
        <v>0</v>
      </c>
      <c r="BF59" s="39">
        <f t="shared" si="85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37.4</v>
      </c>
      <c r="D60" s="135">
        <f>AVERAGE(D10:D59)</f>
        <v>9.4089649213962812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149.90844360120002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 t="e">
        <f>AVERAGE(X10:X59)</f>
        <v>#DIV/0!</v>
      </c>
      <c r="Y60" s="207" t="e">
        <f>AVERAGE(Y10:Y59)</f>
        <v>#DIV/0!</v>
      </c>
      <c r="Z60" s="207" t="e">
        <f>AVERAGE(Z10:Z59)</f>
        <v>#DIV/0!</v>
      </c>
      <c r="AA60" s="207">
        <f>AVERAGE(AA10:AA59)</f>
        <v>0.56288062878689826</v>
      </c>
      <c r="AB60" s="207">
        <f t="shared" ref="AB60:AC60" si="97">AVERAGE(AB10:AB59)</f>
        <v>0.77843471587210122</v>
      </c>
      <c r="AC60" s="207">
        <f t="shared" si="97"/>
        <v>10.97553353555341</v>
      </c>
      <c r="AD60" s="134"/>
      <c r="AE60" s="134"/>
      <c r="AF60" s="207">
        <f>AVERAGE(AF10:AF59)</f>
        <v>0.10151874999999999</v>
      </c>
      <c r="AG60" s="207">
        <f t="shared" ref="AG60:AI60" si="98">AVERAGE(AG10:AG59)</f>
        <v>0.34868055555555555</v>
      </c>
      <c r="AH60" s="207">
        <f t="shared" si="98"/>
        <v>10.550559027777776</v>
      </c>
      <c r="AI60" s="207">
        <f t="shared" si="98"/>
        <v>3.2736842105263154E-2</v>
      </c>
      <c r="AJ60" s="134"/>
      <c r="AK60" s="134"/>
      <c r="AL60" s="135" t="e">
        <f>SUM(AL10:AL59)</f>
        <v>#DIV/0!</v>
      </c>
      <c r="AM60" s="135" t="e">
        <f t="shared" ref="AM60:AN60" si="99">SUM(AM10:AM59)</f>
        <v>#DIV/0!</v>
      </c>
      <c r="AN60" s="135">
        <f t="shared" si="99"/>
        <v>72987.538695762792</v>
      </c>
      <c r="AO60" s="135">
        <f>SUM(AO10:AO59)</f>
        <v>554.1511051639161</v>
      </c>
      <c r="AP60" s="135">
        <f t="shared" ref="AP60:AR60" si="100">SUM(AP10:AP59)</f>
        <v>1958.7163619002224</v>
      </c>
      <c r="AQ60" s="135">
        <f t="shared" si="100"/>
        <v>58685.492220438704</v>
      </c>
      <c r="AR60" s="135">
        <f t="shared" si="100"/>
        <v>408.34182981890001</v>
      </c>
      <c r="AS60" s="134"/>
      <c r="AT60" s="232">
        <f>AVERAGE(AT10:AT59)</f>
        <v>0.7342729740697681</v>
      </c>
      <c r="AU60" s="232">
        <f t="shared" ref="AU60:AV60" si="101">AVERAGE(AU10:AU59)</f>
        <v>0.60499338657839441</v>
      </c>
      <c r="AV60" s="232">
        <f t="shared" si="101"/>
        <v>0.21368500152676129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710.59999999999991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6727.7484803100006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2749.3813292741847</v>
      </c>
      <c r="BE61" s="981" t="e">
        <f>SUM(BE10:BE59)</f>
        <v>#DIV/0!</v>
      </c>
      <c r="BF61" s="981">
        <f>SUM(BF10:BF59)</f>
        <v>14302.046475324096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 t="e">
        <f>MEDIAN(X10:X59)</f>
        <v>#DIV/0!</v>
      </c>
      <c r="Y62" s="244" t="e">
        <f t="shared" ref="Y62:Z62" si="102">MEDIAN(Y10:Y59)</f>
        <v>#DIV/0!</v>
      </c>
      <c r="Z62" s="244" t="e">
        <f t="shared" si="102"/>
        <v>#DIV/0!</v>
      </c>
      <c r="AA62" s="244">
        <f>MEDIAN(AA10:AA59)</f>
        <v>0.57406611465424262</v>
      </c>
      <c r="AB62" s="244">
        <f t="shared" ref="AB62:AC62" si="103">MEDIAN(AB10:AB59)</f>
        <v>0.59418536844821301</v>
      </c>
      <c r="AC62" s="244">
        <f t="shared" si="103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 t="e">
        <f>AL60-(AO60+AR60)</f>
        <v>#DIV/0!</v>
      </c>
      <c r="BD63" s="10">
        <f>BD61*0.8</f>
        <v>2199.5050634193481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41" t="s">
        <v>310</v>
      </c>
      <c r="AP65" s="1341"/>
      <c r="AQ65" s="1341"/>
      <c r="AR65" s="1341"/>
      <c r="AS65" s="249"/>
      <c r="AT65" s="131" t="s">
        <v>330</v>
      </c>
      <c r="AU65" s="1330" t="s">
        <v>260</v>
      </c>
      <c r="AV65" s="1330"/>
      <c r="AW65" s="1330"/>
      <c r="AX65" s="429"/>
      <c r="AY65" s="1331" t="s">
        <v>256</v>
      </c>
      <c r="AZ65" s="1332"/>
      <c r="BA65" s="1332"/>
      <c r="BB65" s="1332"/>
      <c r="BC65" s="1332"/>
      <c r="BD65" s="1333"/>
      <c r="BE65" s="1334" t="s">
        <v>277</v>
      </c>
      <c r="BF65" s="1335"/>
      <c r="BG65" s="1336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330" t="s">
        <v>261</v>
      </c>
      <c r="AV66" s="1330"/>
      <c r="AW66" s="1330"/>
      <c r="AX66" s="429"/>
      <c r="AY66" s="1331" t="s">
        <v>263</v>
      </c>
      <c r="AZ66" s="1332"/>
      <c r="BA66" s="1333"/>
      <c r="BB66" s="1331" t="s">
        <v>264</v>
      </c>
      <c r="BC66" s="1332"/>
      <c r="BD66" s="1333"/>
      <c r="BE66" s="1331" t="s">
        <v>40</v>
      </c>
      <c r="BF66" s="1332"/>
      <c r="BG66" s="1333"/>
    </row>
    <row r="67" spans="5:59" x14ac:dyDescent="0.3">
      <c r="F67" s="43"/>
      <c r="J67" s="39">
        <f>SUM(C10:C59)</f>
        <v>710.59999999999991</v>
      </c>
      <c r="K67" s="39"/>
      <c r="L67" s="39"/>
      <c r="M67" s="39">
        <f>'Milling Down Time Hours'!P60</f>
        <v>421.38333333333333</v>
      </c>
      <c r="N67" s="39">
        <f>N61/J67</f>
        <v>9.4677012106811169</v>
      </c>
      <c r="O67" s="39"/>
      <c r="P67" s="39">
        <f>(N61/J68)</f>
        <v>227.22482905634678</v>
      </c>
      <c r="Q67" s="39"/>
      <c r="R67" s="39"/>
      <c r="S67" s="39"/>
      <c r="T67" s="39"/>
      <c r="U67" s="39">
        <f>(J67+M67)/24</f>
        <v>47.165972222222216</v>
      </c>
      <c r="AO67" s="13" t="s">
        <v>329</v>
      </c>
      <c r="AP67" s="133">
        <f>AVERAGE(X10:X15)</f>
        <v>0.7364814814814814</v>
      </c>
      <c r="AQ67" s="133">
        <f t="shared" ref="AQ67:AR67" si="104">AVERAGE(Y10:Y15)</f>
        <v>0.64749537037037042</v>
      </c>
      <c r="AR67" s="133">
        <f t="shared" si="104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29.608333333333331</v>
      </c>
      <c r="K68" s="43"/>
      <c r="L68" s="43"/>
      <c r="M68" s="43">
        <f>M67/24</f>
        <v>17.557638888888889</v>
      </c>
      <c r="AD68" s="1330" t="s">
        <v>260</v>
      </c>
      <c r="AE68" s="1330"/>
      <c r="AF68" s="1330"/>
      <c r="AG68" s="1330"/>
      <c r="AH68" s="1330"/>
      <c r="AO68" s="13" t="s">
        <v>201</v>
      </c>
      <c r="AP68" s="133">
        <f>MEDIAN(X10:X15)</f>
        <v>0.69599999999999995</v>
      </c>
      <c r="AQ68" s="133">
        <f t="shared" ref="AQ68:AR68" si="105">MEDIAN(Y10:Y15)</f>
        <v>0.66361111111111115</v>
      </c>
      <c r="AR68" s="133">
        <f t="shared" si="105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340" t="s">
        <v>259</v>
      </c>
      <c r="AE69" s="1340" t="s">
        <v>486</v>
      </c>
      <c r="AF69" s="1330" t="s">
        <v>261</v>
      </c>
      <c r="AG69" s="1330"/>
      <c r="AH69" s="1330"/>
      <c r="AO69" s="13" t="s">
        <v>203</v>
      </c>
      <c r="AP69" s="133">
        <f>MIN(X10:X15)</f>
        <v>0.57608333333333328</v>
      </c>
      <c r="AQ69" s="133">
        <f t="shared" ref="AQ69:AR69" si="106">MIN(Y10:Y15)</f>
        <v>0.49666666666666665</v>
      </c>
      <c r="AR69" s="133">
        <f t="shared" si="106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710.59999999999991</v>
      </c>
      <c r="O70" s="10"/>
      <c r="AD70" s="1340"/>
      <c r="AE70" s="1340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7">MAX(Y10:Y15)</f>
        <v>0.79333333333333333</v>
      </c>
      <c r="AR70" s="133">
        <f t="shared" si="107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1131.9833333333331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0.62774775835922203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9.4677012106811169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227.22482905634678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47.165972222222216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0.37225224164077803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8">AVERAGE(AV68:AV78)</f>
        <v>0.75587049062049061</v>
      </c>
      <c r="AW79" s="133">
        <f t="shared" si="108"/>
        <v>11.159588383838383</v>
      </c>
      <c r="AX79" s="207"/>
      <c r="AY79" s="133">
        <f>AVERAGE(AY68:AY78)</f>
        <v>9.6350505050505048E-2</v>
      </c>
      <c r="AZ79" s="133">
        <f t="shared" ref="AZ79:BB79" si="109">AVERAGE(AZ68:AZ78)</f>
        <v>0.38267676767676767</v>
      </c>
      <c r="BA79" s="133">
        <f t="shared" si="109"/>
        <v>10.193287878787878</v>
      </c>
      <c r="BB79" s="133">
        <f t="shared" si="109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1" t="s">
        <v>17</v>
      </c>
      <c r="AU80" s="1337"/>
      <c r="AV80" s="1338"/>
      <c r="AW80" s="1338"/>
      <c r="AX80" s="1338"/>
      <c r="AY80" s="1338"/>
      <c r="AZ80" s="1338"/>
      <c r="BA80" s="1338"/>
      <c r="BB80" s="1338"/>
      <c r="BC80" s="1338"/>
      <c r="BD80" s="1339"/>
      <c r="BE80" s="1152">
        <f>SUM(BE68:BE79)</f>
        <v>2023.4684999216388</v>
      </c>
      <c r="BF80" s="1152">
        <f t="shared" ref="BF80:BG80" si="110">SUM(BF68:BF79)</f>
        <v>1374.7770814606047</v>
      </c>
      <c r="BG80" s="1152">
        <f t="shared" si="110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365" t="s">
        <v>318</v>
      </c>
      <c r="O92" s="1330" t="s">
        <v>632</v>
      </c>
      <c r="P92" s="1330"/>
      <c r="Q92" s="1330"/>
      <c r="R92" s="429"/>
      <c r="S92" s="429"/>
      <c r="T92" s="429"/>
      <c r="U92" s="1331" t="s">
        <v>324</v>
      </c>
      <c r="V92" s="1332"/>
      <c r="W92" s="1333"/>
    </row>
    <row r="93" spans="10:45" x14ac:dyDescent="0.3">
      <c r="J93" s="131" t="s">
        <v>321</v>
      </c>
      <c r="K93" s="131"/>
      <c r="L93" s="131"/>
      <c r="M93" s="131" t="s">
        <v>633</v>
      </c>
      <c r="N93" s="1366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1">Y10</f>
        <v>0.53525</v>
      </c>
      <c r="Q94" s="133">
        <f t="shared" si="111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2">AG10</f>
        <v>0.17</v>
      </c>
      <c r="W94" s="133">
        <f t="shared" si="112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3">X11</f>
        <v>0.68400000000000005</v>
      </c>
      <c r="P95" s="133">
        <f t="shared" si="111"/>
        <v>0.79333333333333333</v>
      </c>
      <c r="Q95" s="133">
        <f t="shared" si="111"/>
        <v>9.051111111111112</v>
      </c>
      <c r="R95" s="133"/>
      <c r="S95" s="133"/>
      <c r="T95" s="133"/>
      <c r="U95" s="133">
        <f t="shared" ref="U95:U98" si="114">AF11</f>
        <v>5.5749999999999994E-2</v>
      </c>
      <c r="V95" s="133">
        <f t="shared" si="112"/>
        <v>0.25</v>
      </c>
      <c r="W95" s="133">
        <f t="shared" si="112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3"/>
        <v>0.93455555555555547</v>
      </c>
      <c r="P96" s="133">
        <f t="shared" si="111"/>
        <v>0.65888888888888886</v>
      </c>
      <c r="Q96" s="133">
        <f t="shared" si="111"/>
        <v>9.0688888888888908</v>
      </c>
      <c r="R96" s="133"/>
      <c r="S96" s="133"/>
      <c r="T96" s="133"/>
      <c r="U96" s="133">
        <f t="shared" si="114"/>
        <v>9.816666666666668E-2</v>
      </c>
      <c r="V96" s="133">
        <f t="shared" si="112"/>
        <v>0.23333333333333331</v>
      </c>
      <c r="W96" s="133">
        <f t="shared" si="112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5">O13</f>
        <v>316.93530000000004</v>
      </c>
      <c r="O97" s="133">
        <f t="shared" si="113"/>
        <v>0.92891666666666661</v>
      </c>
      <c r="P97" s="133">
        <f t="shared" si="111"/>
        <v>0.73249999999999993</v>
      </c>
      <c r="Q97" s="133">
        <f t="shared" si="111"/>
        <v>9.1508333333333347</v>
      </c>
      <c r="R97" s="133"/>
      <c r="S97" s="133"/>
      <c r="T97" s="133"/>
      <c r="U97" s="133">
        <f t="shared" si="114"/>
        <v>0.10916666666666668</v>
      </c>
      <c r="V97" s="133">
        <f t="shared" si="112"/>
        <v>0.24</v>
      </c>
      <c r="W97" s="133">
        <f t="shared" si="112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5"/>
        <v>266.98580000000004</v>
      </c>
      <c r="O98" s="133">
        <f t="shared" si="113"/>
        <v>0.58733333333333337</v>
      </c>
      <c r="P98" s="133">
        <f t="shared" si="111"/>
        <v>0.49666666666666665</v>
      </c>
      <c r="Q98" s="133">
        <f t="shared" si="111"/>
        <v>9.0411111111111087</v>
      </c>
      <c r="R98" s="133"/>
      <c r="S98" s="133"/>
      <c r="T98" s="133"/>
      <c r="U98" s="133">
        <f t="shared" si="114"/>
        <v>0.12466666666666666</v>
      </c>
      <c r="V98" s="133">
        <f t="shared" si="112"/>
        <v>0.37833333333333335</v>
      </c>
      <c r="W98" s="133">
        <f t="shared" si="112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1"/>
        <v>0.66833333333333333</v>
      </c>
      <c r="Q99" s="133">
        <f t="shared" si="111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1"/>
        <v>0.53555555555555556</v>
      </c>
      <c r="Q100" s="133">
        <f t="shared" si="111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6">AVERAGE(P94:P100)</f>
        <v>0.63150396825396826</v>
      </c>
      <c r="Q101" s="242">
        <f t="shared" si="116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7">AVERAGE(V94:V98)</f>
        <v>0.25433333333333336</v>
      </c>
      <c r="W101" s="242">
        <f t="shared" si="117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F6:G6"/>
    <mergeCell ref="H6:I6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91" t="s">
        <v>472</v>
      </c>
      <c r="R4" s="1692"/>
      <c r="S4" s="1692"/>
      <c r="T4" s="1693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94"/>
      <c r="R5" s="1695"/>
      <c r="S5" s="1695"/>
      <c r="T5" s="1696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17" t="s">
        <v>0</v>
      </c>
      <c r="B4" s="1719" t="s">
        <v>50</v>
      </c>
      <c r="C4" s="1719"/>
      <c r="D4" s="1719"/>
      <c r="E4" s="1719"/>
      <c r="F4" s="99"/>
      <c r="G4" s="54"/>
      <c r="H4" s="54"/>
      <c r="I4" s="104"/>
      <c r="J4" s="104"/>
      <c r="K4" s="104"/>
      <c r="L4" s="1705" t="s">
        <v>239</v>
      </c>
      <c r="M4" s="1703"/>
      <c r="N4" s="1704"/>
      <c r="O4" s="1705" t="s">
        <v>235</v>
      </c>
      <c r="P4" s="1703"/>
      <c r="Q4" s="1704"/>
      <c r="R4" s="1705" t="s">
        <v>236</v>
      </c>
      <c r="S4" s="1703"/>
      <c r="T4" s="1704"/>
      <c r="U4" s="1705" t="s">
        <v>237</v>
      </c>
      <c r="V4" s="1703"/>
      <c r="W4" s="1704"/>
      <c r="X4" s="1705" t="s">
        <v>238</v>
      </c>
      <c r="Y4" s="1703"/>
      <c r="Z4" s="1704"/>
      <c r="AA4" s="1705" t="s">
        <v>51</v>
      </c>
      <c r="AB4" s="1703"/>
      <c r="AC4" s="1704"/>
      <c r="AD4" s="1705" t="s">
        <v>52</v>
      </c>
      <c r="AE4" s="1703"/>
      <c r="AF4" s="1704"/>
      <c r="AG4" s="1697">
        <v>0.83333333333333337</v>
      </c>
      <c r="AH4" s="1703"/>
      <c r="AI4" s="1704"/>
      <c r="AJ4" s="1697">
        <v>0.91666666666666663</v>
      </c>
      <c r="AK4" s="1698"/>
      <c r="AL4" s="1699"/>
      <c r="AM4" s="1700">
        <v>0</v>
      </c>
      <c r="AN4" s="1701"/>
      <c r="AO4" s="1702"/>
      <c r="AP4" s="1697">
        <v>8.3333333333333329E-2</v>
      </c>
      <c r="AQ4" s="1698"/>
      <c r="AR4" s="1699"/>
      <c r="AS4" s="1697">
        <v>0.16666666666666666</v>
      </c>
      <c r="AT4" s="1698"/>
      <c r="AU4" s="1699"/>
      <c r="AV4" s="59" t="s">
        <v>53</v>
      </c>
      <c r="AW4" s="44"/>
    </row>
    <row r="5" spans="1:49" x14ac:dyDescent="0.3">
      <c r="A5" s="1717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723">
        <v>46147</v>
      </c>
      <c r="B6" s="1718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32" t="s">
        <v>231</v>
      </c>
      <c r="AW6" s="1733"/>
    </row>
    <row r="7" spans="1:49" x14ac:dyDescent="0.3">
      <c r="A7" s="1723"/>
      <c r="B7" s="1707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32"/>
      <c r="AW7" s="1734"/>
    </row>
    <row r="8" spans="1:49" x14ac:dyDescent="0.3">
      <c r="A8" s="1723"/>
      <c r="B8" s="1707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32"/>
      <c r="AW8" s="1734"/>
    </row>
    <row r="9" spans="1:49" ht="15" thickBot="1" x14ac:dyDescent="0.35">
      <c r="A9" s="1718"/>
      <c r="B9" s="1707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33"/>
      <c r="AW9" s="1735"/>
    </row>
    <row r="10" spans="1:49" x14ac:dyDescent="0.3">
      <c r="A10" s="1720">
        <v>46148</v>
      </c>
      <c r="B10" s="1706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36" t="s">
        <v>240</v>
      </c>
      <c r="AW10" s="1739" t="s">
        <v>230</v>
      </c>
    </row>
    <row r="11" spans="1:49" x14ac:dyDescent="0.3">
      <c r="A11" s="1721"/>
      <c r="B11" s="1707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37"/>
      <c r="AW11" s="1740"/>
    </row>
    <row r="12" spans="1:49" x14ac:dyDescent="0.3">
      <c r="A12" s="1721"/>
      <c r="B12" s="1707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37"/>
      <c r="AW12" s="1740"/>
    </row>
    <row r="13" spans="1:49" ht="15" thickBot="1" x14ac:dyDescent="0.35">
      <c r="A13" s="1722"/>
      <c r="B13" s="1707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38"/>
      <c r="AW13" s="1741"/>
    </row>
    <row r="14" spans="1:49" ht="15" thickBot="1" x14ac:dyDescent="0.35">
      <c r="A14" s="1720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36" t="s">
        <v>241</v>
      </c>
      <c r="AW14" s="1742"/>
    </row>
    <row r="15" spans="1:49" x14ac:dyDescent="0.3">
      <c r="A15" s="1721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37"/>
      <c r="AW15" s="1743"/>
    </row>
    <row r="16" spans="1:49" x14ac:dyDescent="0.3">
      <c r="A16" s="1721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37"/>
      <c r="AW16" s="1743"/>
    </row>
    <row r="17" spans="1:49" ht="15" thickBot="1" x14ac:dyDescent="0.35">
      <c r="A17" s="1722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37"/>
      <c r="AW17" s="1744"/>
    </row>
    <row r="18" spans="1:49" x14ac:dyDescent="0.3">
      <c r="A18" s="1724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731"/>
    </row>
    <row r="19" spans="1:49" x14ac:dyDescent="0.3">
      <c r="A19" s="1723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730"/>
    </row>
    <row r="20" spans="1:49" x14ac:dyDescent="0.3">
      <c r="A20" s="1723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30"/>
    </row>
    <row r="21" spans="1:49" x14ac:dyDescent="0.3">
      <c r="A21" s="1723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30"/>
    </row>
    <row r="22" spans="1:49" x14ac:dyDescent="0.3">
      <c r="A22" s="1723">
        <v>46151</v>
      </c>
      <c r="B22" s="51"/>
      <c r="C22" s="49"/>
      <c r="D22" s="1708"/>
      <c r="E22" s="1714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30"/>
    </row>
    <row r="23" spans="1:49" x14ac:dyDescent="0.3">
      <c r="A23" s="1723"/>
      <c r="B23" s="52"/>
      <c r="C23" s="49"/>
      <c r="D23" s="1709"/>
      <c r="E23" s="1715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30"/>
    </row>
    <row r="24" spans="1:49" x14ac:dyDescent="0.3">
      <c r="A24" s="1723"/>
      <c r="B24" s="52"/>
      <c r="C24" s="49"/>
      <c r="D24" s="1709"/>
      <c r="E24" s="1715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30"/>
    </row>
    <row r="25" spans="1:49" ht="15" thickBot="1" x14ac:dyDescent="0.35">
      <c r="A25" s="1723"/>
      <c r="B25" s="53"/>
      <c r="C25" s="49"/>
      <c r="D25" s="1710"/>
      <c r="E25" s="1716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28"/>
    </row>
    <row r="26" spans="1:49" x14ac:dyDescent="0.3">
      <c r="A26" s="1723">
        <v>46152</v>
      </c>
      <c r="B26" s="51"/>
      <c r="C26" s="49"/>
      <c r="D26" s="1708"/>
      <c r="E26" s="1714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31"/>
      <c r="AW26" s="1731"/>
    </row>
    <row r="27" spans="1:49" x14ac:dyDescent="0.3">
      <c r="A27" s="1723"/>
      <c r="B27" s="52"/>
      <c r="C27" s="49"/>
      <c r="D27" s="1709"/>
      <c r="E27" s="1715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30"/>
      <c r="AW27" s="1730"/>
    </row>
    <row r="28" spans="1:49" x14ac:dyDescent="0.3">
      <c r="A28" s="1723"/>
      <c r="B28" s="52"/>
      <c r="C28" s="49"/>
      <c r="D28" s="1709"/>
      <c r="E28" s="1715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30"/>
      <c r="AW28" s="1730"/>
    </row>
    <row r="29" spans="1:49" x14ac:dyDescent="0.3">
      <c r="A29" s="1723"/>
      <c r="B29" s="53"/>
      <c r="C29" s="49"/>
      <c r="D29" s="1710"/>
      <c r="E29" s="1716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30"/>
      <c r="AW29" s="1730"/>
    </row>
    <row r="30" spans="1:49" x14ac:dyDescent="0.3">
      <c r="A30" s="1723">
        <v>46153</v>
      </c>
      <c r="B30" s="51"/>
      <c r="C30" s="49"/>
      <c r="D30" s="1708"/>
      <c r="E30" s="1714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30"/>
      <c r="AW30" s="1730"/>
    </row>
    <row r="31" spans="1:49" x14ac:dyDescent="0.3">
      <c r="A31" s="1723"/>
      <c r="B31" s="52"/>
      <c r="C31" s="49"/>
      <c r="D31" s="1709"/>
      <c r="E31" s="1715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30"/>
      <c r="AW31" s="1730"/>
    </row>
    <row r="32" spans="1:49" x14ac:dyDescent="0.3">
      <c r="A32" s="1723"/>
      <c r="B32" s="52"/>
      <c r="C32" s="49"/>
      <c r="D32" s="1709"/>
      <c r="E32" s="1715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30"/>
      <c r="AW32" s="1730"/>
    </row>
    <row r="33" spans="1:49" x14ac:dyDescent="0.3">
      <c r="A33" s="1723"/>
      <c r="B33" s="53"/>
      <c r="C33" s="49"/>
      <c r="D33" s="1710"/>
      <c r="E33" s="1716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28"/>
      <c r="AW33" s="1728"/>
    </row>
    <row r="34" spans="1:49" x14ac:dyDescent="0.3">
      <c r="A34" s="1723">
        <v>46154</v>
      </c>
      <c r="B34" s="51"/>
      <c r="C34" s="49"/>
      <c r="D34" s="1708"/>
      <c r="E34" s="1714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31"/>
      <c r="AW34" s="1731"/>
    </row>
    <row r="35" spans="1:49" x14ac:dyDescent="0.3">
      <c r="A35" s="1723"/>
      <c r="B35" s="52"/>
      <c r="C35" s="49"/>
      <c r="D35" s="1709"/>
      <c r="E35" s="1715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30"/>
      <c r="AW35" s="1730"/>
    </row>
    <row r="36" spans="1:49" x14ac:dyDescent="0.3">
      <c r="A36" s="1723"/>
      <c r="B36" s="52"/>
      <c r="C36" s="49"/>
      <c r="D36" s="1709"/>
      <c r="E36" s="1715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30"/>
      <c r="AW36" s="1730"/>
    </row>
    <row r="37" spans="1:49" x14ac:dyDescent="0.3">
      <c r="A37" s="1723"/>
      <c r="B37" s="53"/>
      <c r="C37" s="49"/>
      <c r="D37" s="1710"/>
      <c r="E37" s="1716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30"/>
      <c r="AW37" s="1730"/>
    </row>
    <row r="38" spans="1:49" x14ac:dyDescent="0.3">
      <c r="A38" s="1723">
        <v>46155</v>
      </c>
      <c r="B38" s="51"/>
      <c r="C38" s="49"/>
      <c r="D38" s="1708"/>
      <c r="E38" s="1714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30"/>
      <c r="AW38" s="1730"/>
    </row>
    <row r="39" spans="1:49" x14ac:dyDescent="0.3">
      <c r="A39" s="1723"/>
      <c r="B39" s="52"/>
      <c r="C39" s="49"/>
      <c r="D39" s="1709"/>
      <c r="E39" s="1715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30"/>
      <c r="AW39" s="1730"/>
    </row>
    <row r="40" spans="1:49" x14ac:dyDescent="0.3">
      <c r="A40" s="1723"/>
      <c r="B40" s="52"/>
      <c r="C40" s="49"/>
      <c r="D40" s="1709"/>
      <c r="E40" s="1715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30"/>
      <c r="AW40" s="1730"/>
    </row>
    <row r="41" spans="1:49" x14ac:dyDescent="0.3">
      <c r="A41" s="1723"/>
      <c r="B41" s="53"/>
      <c r="C41" s="49"/>
      <c r="D41" s="1710"/>
      <c r="E41" s="1716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28"/>
      <c r="AW41" s="1728"/>
    </row>
    <row r="42" spans="1:49" x14ac:dyDescent="0.3">
      <c r="A42" s="1723">
        <v>46156</v>
      </c>
      <c r="B42" s="51"/>
      <c r="C42" s="49"/>
      <c r="D42" s="1708"/>
      <c r="E42" s="1714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31"/>
      <c r="AW42" s="1731"/>
    </row>
    <row r="43" spans="1:49" x14ac:dyDescent="0.3">
      <c r="A43" s="1723"/>
      <c r="B43" s="52"/>
      <c r="C43" s="49"/>
      <c r="D43" s="1709"/>
      <c r="E43" s="1715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30"/>
      <c r="AW43" s="1730"/>
    </row>
    <row r="44" spans="1:49" x14ac:dyDescent="0.3">
      <c r="A44" s="1723"/>
      <c r="B44" s="52"/>
      <c r="C44" s="49"/>
      <c r="D44" s="1709"/>
      <c r="E44" s="1715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30"/>
      <c r="AW44" s="1730"/>
    </row>
    <row r="45" spans="1:49" x14ac:dyDescent="0.3">
      <c r="A45" s="1723"/>
      <c r="B45" s="53"/>
      <c r="C45" s="49"/>
      <c r="D45" s="1710"/>
      <c r="E45" s="1716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30"/>
      <c r="AW45" s="1730"/>
    </row>
    <row r="46" spans="1:49" x14ac:dyDescent="0.3">
      <c r="A46" s="1723">
        <v>46157</v>
      </c>
      <c r="B46" s="51"/>
      <c r="C46" s="49"/>
      <c r="D46" s="1711" t="s">
        <v>157</v>
      </c>
      <c r="E46" s="1714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30"/>
      <c r="AW46" s="1730"/>
    </row>
    <row r="47" spans="1:49" x14ac:dyDescent="0.3">
      <c r="A47" s="1723"/>
      <c r="B47" s="52"/>
      <c r="C47" s="49"/>
      <c r="D47" s="1712"/>
      <c r="E47" s="1715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30"/>
      <c r="AW47" s="1730"/>
    </row>
    <row r="48" spans="1:49" x14ac:dyDescent="0.3">
      <c r="A48" s="1723"/>
      <c r="B48" s="52"/>
      <c r="C48" s="49"/>
      <c r="D48" s="1712"/>
      <c r="E48" s="1715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30"/>
      <c r="AW48" s="1730"/>
    </row>
    <row r="49" spans="1:49" x14ac:dyDescent="0.3">
      <c r="A49" s="1723"/>
      <c r="B49" s="53"/>
      <c r="C49" s="49"/>
      <c r="D49" s="1713"/>
      <c r="E49" s="1716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28"/>
      <c r="AW49" s="1728"/>
    </row>
    <row r="50" spans="1:49" x14ac:dyDescent="0.3">
      <c r="A50" s="1723">
        <v>46158</v>
      </c>
      <c r="B50" s="51"/>
      <c r="C50" s="49"/>
      <c r="D50" s="1708"/>
      <c r="E50" s="1714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31"/>
      <c r="AW50" s="1731"/>
    </row>
    <row r="51" spans="1:49" x14ac:dyDescent="0.3">
      <c r="A51" s="1723"/>
      <c r="B51" s="52"/>
      <c r="C51" s="49"/>
      <c r="D51" s="1709"/>
      <c r="E51" s="1715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30"/>
      <c r="AW51" s="1730"/>
    </row>
    <row r="52" spans="1:49" x14ac:dyDescent="0.3">
      <c r="A52" s="1723"/>
      <c r="B52" s="52"/>
      <c r="C52" s="49"/>
      <c r="D52" s="1709"/>
      <c r="E52" s="1715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30"/>
      <c r="AW52" s="1730"/>
    </row>
    <row r="53" spans="1:49" x14ac:dyDescent="0.3">
      <c r="A53" s="1723"/>
      <c r="B53" s="53"/>
      <c r="C53" s="49"/>
      <c r="D53" s="1710"/>
      <c r="E53" s="1716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30"/>
      <c r="AW53" s="1730"/>
    </row>
    <row r="54" spans="1:49" x14ac:dyDescent="0.3">
      <c r="A54" s="1723">
        <v>46159</v>
      </c>
      <c r="B54" s="51"/>
      <c r="C54" s="49"/>
      <c r="D54" s="97"/>
      <c r="E54" s="1725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30"/>
      <c r="AW54" s="1730"/>
    </row>
    <row r="55" spans="1:49" x14ac:dyDescent="0.3">
      <c r="A55" s="1723"/>
      <c r="B55" s="52"/>
      <c r="C55" s="49"/>
      <c r="D55" s="97"/>
      <c r="E55" s="1726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30"/>
      <c r="AW55" s="1730"/>
    </row>
    <row r="56" spans="1:49" x14ac:dyDescent="0.3">
      <c r="A56" s="1723"/>
      <c r="B56" s="52"/>
      <c r="C56" s="49"/>
      <c r="D56" s="97"/>
      <c r="E56" s="1726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30"/>
      <c r="AW56" s="1730"/>
    </row>
    <row r="57" spans="1:49" x14ac:dyDescent="0.3">
      <c r="A57" s="1723"/>
      <c r="B57" s="53"/>
      <c r="C57" s="49"/>
      <c r="D57" s="97"/>
      <c r="E57" s="1727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28"/>
      <c r="AW57" s="1728"/>
    </row>
    <row r="58" spans="1:49" x14ac:dyDescent="0.3">
      <c r="A58" s="1723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31"/>
      <c r="AW58" s="1731"/>
    </row>
    <row r="59" spans="1:49" x14ac:dyDescent="0.3">
      <c r="A59" s="1723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30"/>
      <c r="AW59" s="1730"/>
    </row>
    <row r="60" spans="1:49" x14ac:dyDescent="0.3">
      <c r="A60" s="1723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30"/>
      <c r="AW60" s="1730"/>
    </row>
    <row r="61" spans="1:49" x14ac:dyDescent="0.3">
      <c r="A61" s="1723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30"/>
      <c r="AW61" s="1730"/>
    </row>
    <row r="62" spans="1:49" x14ac:dyDescent="0.3">
      <c r="A62" s="1723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30"/>
      <c r="AW62" s="1730"/>
    </row>
    <row r="63" spans="1:49" x14ac:dyDescent="0.3">
      <c r="A63" s="1723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30"/>
      <c r="AW63" s="1730"/>
    </row>
    <row r="64" spans="1:49" x14ac:dyDescent="0.3">
      <c r="A64" s="1723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30"/>
      <c r="AW64" s="1730"/>
    </row>
    <row r="65" spans="1:49" x14ac:dyDescent="0.3">
      <c r="A65" s="1723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28"/>
      <c r="AW65" s="1728"/>
    </row>
    <row r="66" spans="1:49" x14ac:dyDescent="0.3">
      <c r="A66" s="1723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31"/>
      <c r="AW66" s="1731"/>
    </row>
    <row r="67" spans="1:49" x14ac:dyDescent="0.3">
      <c r="A67" s="1723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30"/>
      <c r="AW67" s="1730"/>
    </row>
    <row r="68" spans="1:49" x14ac:dyDescent="0.3">
      <c r="A68" s="1723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30"/>
      <c r="AW68" s="1730"/>
    </row>
    <row r="69" spans="1:49" x14ac:dyDescent="0.3">
      <c r="A69" s="1723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30"/>
      <c r="AW69" s="1730"/>
    </row>
    <row r="70" spans="1:49" x14ac:dyDescent="0.3">
      <c r="A70" s="1723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30"/>
      <c r="AW70" s="1730"/>
    </row>
    <row r="71" spans="1:49" x14ac:dyDescent="0.3">
      <c r="A71" s="1723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30"/>
      <c r="AW71" s="1730"/>
    </row>
    <row r="72" spans="1:49" x14ac:dyDescent="0.3">
      <c r="A72" s="1723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30"/>
      <c r="AW72" s="1730"/>
    </row>
    <row r="73" spans="1:49" x14ac:dyDescent="0.3">
      <c r="A73" s="1723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28"/>
      <c r="AW73" s="1728"/>
    </row>
    <row r="74" spans="1:49" x14ac:dyDescent="0.3">
      <c r="A74" s="1723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31"/>
      <c r="AW74" s="1731"/>
    </row>
    <row r="75" spans="1:49" x14ac:dyDescent="0.3">
      <c r="A75" s="1723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30"/>
      <c r="AW75" s="1730"/>
    </row>
    <row r="76" spans="1:49" x14ac:dyDescent="0.3">
      <c r="A76" s="1723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30"/>
      <c r="AW76" s="1730"/>
    </row>
    <row r="77" spans="1:49" x14ac:dyDescent="0.3">
      <c r="A77" s="1723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30"/>
      <c r="AW77" s="1730"/>
    </row>
    <row r="78" spans="1:49" x14ac:dyDescent="0.3">
      <c r="A78" s="1723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30"/>
      <c r="AW78" s="1730"/>
    </row>
    <row r="79" spans="1:49" x14ac:dyDescent="0.3">
      <c r="A79" s="1723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30"/>
      <c r="AW79" s="1730"/>
    </row>
    <row r="80" spans="1:49" x14ac:dyDescent="0.3">
      <c r="A80" s="1723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30"/>
      <c r="AW80" s="1730"/>
    </row>
    <row r="81" spans="1:49" x14ac:dyDescent="0.3">
      <c r="A81" s="1723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28"/>
      <c r="AW81" s="1728"/>
    </row>
    <row r="82" spans="1:49" x14ac:dyDescent="0.3">
      <c r="A82" s="1723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31"/>
      <c r="AW82" s="1731"/>
    </row>
    <row r="83" spans="1:49" x14ac:dyDescent="0.3">
      <c r="A83" s="1723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30"/>
      <c r="AW83" s="1730"/>
    </row>
    <row r="84" spans="1:49" x14ac:dyDescent="0.3">
      <c r="A84" s="1723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30"/>
      <c r="AW84" s="1730"/>
    </row>
    <row r="85" spans="1:49" x14ac:dyDescent="0.3">
      <c r="A85" s="1723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30"/>
      <c r="AW85" s="1730"/>
    </row>
    <row r="86" spans="1:49" x14ac:dyDescent="0.3">
      <c r="A86" s="1723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30"/>
      <c r="AW86" s="1730"/>
    </row>
    <row r="87" spans="1:49" x14ac:dyDescent="0.3">
      <c r="A87" s="1723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30"/>
      <c r="AW87" s="1730"/>
    </row>
    <row r="88" spans="1:49" x14ac:dyDescent="0.3">
      <c r="A88" s="1723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30"/>
      <c r="AW88" s="1730"/>
    </row>
    <row r="89" spans="1:49" x14ac:dyDescent="0.3">
      <c r="A89" s="1723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28"/>
      <c r="AW89" s="1728"/>
    </row>
    <row r="90" spans="1:49" x14ac:dyDescent="0.3">
      <c r="A90" s="1723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31"/>
      <c r="AW90" s="1731"/>
    </row>
    <row r="91" spans="1:49" x14ac:dyDescent="0.3">
      <c r="A91" s="1723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30"/>
      <c r="AW91" s="1730"/>
    </row>
    <row r="92" spans="1:49" x14ac:dyDescent="0.3">
      <c r="A92" s="1723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30"/>
      <c r="AW92" s="1730"/>
    </row>
    <row r="93" spans="1:49" x14ac:dyDescent="0.3">
      <c r="A93" s="1723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30"/>
      <c r="AW93" s="1730"/>
    </row>
    <row r="94" spans="1:49" x14ac:dyDescent="0.3">
      <c r="A94" s="1723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30"/>
      <c r="AW94" s="1730"/>
    </row>
    <row r="95" spans="1:49" x14ac:dyDescent="0.3">
      <c r="A95" s="1723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30"/>
      <c r="AW95" s="1730"/>
    </row>
    <row r="96" spans="1:49" x14ac:dyDescent="0.3">
      <c r="A96" s="1723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30"/>
      <c r="AW96" s="1730"/>
    </row>
    <row r="97" spans="1:49" x14ac:dyDescent="0.3">
      <c r="A97" s="1723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28"/>
      <c r="AW97" s="1728"/>
    </row>
    <row r="98" spans="1:49" x14ac:dyDescent="0.3">
      <c r="A98" s="1723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31"/>
      <c r="AW98" s="1731"/>
    </row>
    <row r="99" spans="1:49" x14ac:dyDescent="0.3">
      <c r="A99" s="1723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30"/>
      <c r="AW99" s="1730"/>
    </row>
    <row r="100" spans="1:49" x14ac:dyDescent="0.3">
      <c r="A100" s="1723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30"/>
      <c r="AW100" s="1730"/>
    </row>
    <row r="101" spans="1:49" x14ac:dyDescent="0.3">
      <c r="A101" s="1723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30"/>
      <c r="AW101" s="1730"/>
    </row>
    <row r="102" spans="1:49" x14ac:dyDescent="0.3">
      <c r="A102" s="1723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30"/>
      <c r="AW102" s="1730"/>
    </row>
    <row r="103" spans="1:49" x14ac:dyDescent="0.3">
      <c r="A103" s="1723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30"/>
      <c r="AW103" s="1730"/>
    </row>
    <row r="104" spans="1:49" x14ac:dyDescent="0.3">
      <c r="A104" s="1723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30"/>
      <c r="AW104" s="1730"/>
    </row>
    <row r="105" spans="1:49" x14ac:dyDescent="0.3">
      <c r="A105" s="1723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28"/>
      <c r="AW105" s="1728"/>
    </row>
    <row r="106" spans="1:49" x14ac:dyDescent="0.3">
      <c r="A106" s="1723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31"/>
      <c r="AW106" s="1731"/>
    </row>
    <row r="107" spans="1:49" x14ac:dyDescent="0.3">
      <c r="A107" s="1723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30"/>
      <c r="AW107" s="1730"/>
    </row>
    <row r="108" spans="1:49" x14ac:dyDescent="0.3">
      <c r="A108" s="1723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30"/>
      <c r="AW108" s="1730"/>
    </row>
    <row r="109" spans="1:49" x14ac:dyDescent="0.3">
      <c r="A109" s="1723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30"/>
      <c r="AW109" s="1730"/>
    </row>
    <row r="110" spans="1:49" x14ac:dyDescent="0.3">
      <c r="A110" s="1723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30"/>
      <c r="AW110" s="1730"/>
    </row>
    <row r="111" spans="1:49" x14ac:dyDescent="0.3">
      <c r="A111" s="1723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30"/>
      <c r="AW111" s="1730"/>
    </row>
    <row r="112" spans="1:49" x14ac:dyDescent="0.3">
      <c r="A112" s="1723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30"/>
      <c r="AW112" s="1730"/>
    </row>
    <row r="113" spans="1:49" x14ac:dyDescent="0.3">
      <c r="A113" s="1723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28"/>
      <c r="AW113" s="1728"/>
    </row>
    <row r="114" spans="1:49" x14ac:dyDescent="0.3">
      <c r="A114" s="1723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31"/>
      <c r="AW114" s="1731"/>
    </row>
    <row r="115" spans="1:49" x14ac:dyDescent="0.3">
      <c r="A115" s="1723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30"/>
      <c r="AW115" s="1730"/>
    </row>
    <row r="116" spans="1:49" x14ac:dyDescent="0.3">
      <c r="A116" s="1723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30"/>
      <c r="AW116" s="1730"/>
    </row>
    <row r="117" spans="1:49" x14ac:dyDescent="0.3">
      <c r="A117" s="1723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30"/>
      <c r="AW117" s="1730"/>
    </row>
    <row r="118" spans="1:49" x14ac:dyDescent="0.3">
      <c r="A118" s="1723">
        <v>46175</v>
      </c>
      <c r="B118" s="51"/>
      <c r="C118" s="49"/>
      <c r="D118" s="1708"/>
      <c r="E118" s="1714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30"/>
      <c r="AW118" s="1730"/>
    </row>
    <row r="119" spans="1:49" x14ac:dyDescent="0.3">
      <c r="A119" s="1723"/>
      <c r="B119" s="52"/>
      <c r="C119" s="49"/>
      <c r="D119" s="1709"/>
      <c r="E119" s="1715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30"/>
      <c r="AW119" s="1730"/>
    </row>
    <row r="120" spans="1:49" x14ac:dyDescent="0.3">
      <c r="A120" s="1723"/>
      <c r="B120" s="52"/>
      <c r="C120" s="49"/>
      <c r="D120" s="1709"/>
      <c r="E120" s="1715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30"/>
      <c r="AW120" s="1730"/>
    </row>
    <row r="121" spans="1:49" x14ac:dyDescent="0.3">
      <c r="A121" s="1723"/>
      <c r="B121" s="53"/>
      <c r="C121" s="49"/>
      <c r="D121" s="1710"/>
      <c r="E121" s="1716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28"/>
      <c r="AW121" s="1728"/>
    </row>
    <row r="122" spans="1:49" x14ac:dyDescent="0.3">
      <c r="A122" s="1723">
        <v>46176</v>
      </c>
      <c r="B122" s="51"/>
      <c r="C122" s="49"/>
      <c r="D122" s="1708"/>
      <c r="E122" s="1714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31"/>
      <c r="AW122" s="1731"/>
    </row>
    <row r="123" spans="1:49" x14ac:dyDescent="0.3">
      <c r="A123" s="1723"/>
      <c r="B123" s="52"/>
      <c r="C123" s="49"/>
      <c r="D123" s="1709"/>
      <c r="E123" s="1715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30"/>
      <c r="AW123" s="1730"/>
    </row>
    <row r="124" spans="1:49" x14ac:dyDescent="0.3">
      <c r="A124" s="1723"/>
      <c r="B124" s="52"/>
      <c r="C124" s="49"/>
      <c r="D124" s="1709"/>
      <c r="E124" s="1715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30"/>
      <c r="AW124" s="1730"/>
    </row>
    <row r="125" spans="1:49" x14ac:dyDescent="0.3">
      <c r="A125" s="1723"/>
      <c r="B125" s="53"/>
      <c r="C125" s="49"/>
      <c r="D125" s="1710"/>
      <c r="E125" s="1716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30"/>
      <c r="AW125" s="1730"/>
    </row>
    <row r="126" spans="1:49" x14ac:dyDescent="0.3">
      <c r="A126" s="1723">
        <v>46177</v>
      </c>
      <c r="B126" s="51"/>
      <c r="C126" s="49"/>
      <c r="D126" s="1708"/>
      <c r="E126" s="1714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30"/>
      <c r="AW126" s="1730"/>
    </row>
    <row r="127" spans="1:49" x14ac:dyDescent="0.3">
      <c r="A127" s="1723"/>
      <c r="B127" s="52"/>
      <c r="C127" s="49"/>
      <c r="D127" s="1709"/>
      <c r="E127" s="1715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30"/>
      <c r="AW127" s="1730"/>
    </row>
    <row r="128" spans="1:49" x14ac:dyDescent="0.3">
      <c r="A128" s="1723"/>
      <c r="B128" s="52"/>
      <c r="C128" s="49"/>
      <c r="D128" s="1709"/>
      <c r="E128" s="1715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30"/>
      <c r="AW128" s="1730"/>
    </row>
    <row r="129" spans="1:49" x14ac:dyDescent="0.3">
      <c r="A129" s="1723"/>
      <c r="B129" s="53"/>
      <c r="C129" s="49"/>
      <c r="D129" s="1710"/>
      <c r="E129" s="1716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28"/>
      <c r="AW129" s="1728"/>
    </row>
    <row r="130" spans="1:49" x14ac:dyDescent="0.3">
      <c r="A130" s="18"/>
      <c r="B130" s="18"/>
      <c r="C130" s="18"/>
      <c r="D130" s="1723"/>
      <c r="E130" s="1729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31"/>
      <c r="AW130" s="1731"/>
    </row>
    <row r="131" spans="1:49" x14ac:dyDescent="0.3">
      <c r="A131" s="18"/>
      <c r="B131" s="18"/>
      <c r="C131" s="18"/>
      <c r="D131" s="1728"/>
      <c r="E131" s="1730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30"/>
      <c r="AW131" s="1730"/>
    </row>
    <row r="132" spans="1:49" x14ac:dyDescent="0.3">
      <c r="A132" s="18"/>
      <c r="B132" s="18"/>
      <c r="C132" s="18"/>
      <c r="D132" s="1728"/>
      <c r="E132" s="1730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30"/>
      <c r="AW132" s="1730"/>
    </row>
    <row r="133" spans="1:49" x14ac:dyDescent="0.3">
      <c r="A133" s="18"/>
      <c r="B133" s="18"/>
      <c r="C133" s="18"/>
      <c r="D133" s="1728"/>
      <c r="E133" s="1730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30"/>
      <c r="AW133" s="1730"/>
    </row>
    <row r="134" spans="1:49" x14ac:dyDescent="0.3">
      <c r="A134" s="18"/>
      <c r="B134" s="18"/>
      <c r="C134" s="18"/>
      <c r="D134" s="1728"/>
      <c r="E134" s="1730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30"/>
      <c r="AW134" s="1730"/>
    </row>
    <row r="135" spans="1:49" x14ac:dyDescent="0.3">
      <c r="A135" s="18"/>
      <c r="B135" s="18"/>
      <c r="C135" s="18"/>
      <c r="D135" s="1728"/>
      <c r="E135" s="1730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30"/>
      <c r="AW135" s="1730"/>
    </row>
    <row r="136" spans="1:49" x14ac:dyDescent="0.3">
      <c r="A136" s="18"/>
      <c r="B136" s="18"/>
      <c r="C136" s="18"/>
      <c r="D136" s="1728"/>
      <c r="E136" s="1730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30"/>
      <c r="AW136" s="1730"/>
    </row>
    <row r="137" spans="1:49" x14ac:dyDescent="0.3">
      <c r="A137" s="18"/>
      <c r="B137" s="18"/>
      <c r="C137" s="18"/>
      <c r="D137" s="1728"/>
      <c r="E137" s="1728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28"/>
      <c r="AW137" s="1728"/>
    </row>
    <row r="138" spans="1:49" x14ac:dyDescent="0.3">
      <c r="A138" s="18"/>
      <c r="B138" s="18"/>
      <c r="C138" s="18"/>
      <c r="D138" s="1723"/>
      <c r="E138" s="1729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31"/>
      <c r="AW138" s="1731"/>
    </row>
    <row r="139" spans="1:49" x14ac:dyDescent="0.3">
      <c r="A139" s="18"/>
      <c r="B139" s="18"/>
      <c r="C139" s="18"/>
      <c r="D139" s="1728"/>
      <c r="E139" s="1730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30"/>
      <c r="AW139" s="1730"/>
    </row>
    <row r="140" spans="1:49" x14ac:dyDescent="0.3">
      <c r="A140" s="18"/>
      <c r="B140" s="18"/>
      <c r="C140" s="18"/>
      <c r="D140" s="1728"/>
      <c r="E140" s="1730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30"/>
      <c r="AW140" s="1730"/>
    </row>
    <row r="141" spans="1:49" x14ac:dyDescent="0.3">
      <c r="A141" s="18"/>
      <c r="B141" s="18"/>
      <c r="C141" s="18"/>
      <c r="D141" s="1728"/>
      <c r="E141" s="1730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30"/>
      <c r="AW141" s="1730"/>
    </row>
    <row r="142" spans="1:49" x14ac:dyDescent="0.3">
      <c r="A142" s="18"/>
      <c r="B142" s="18"/>
      <c r="C142" s="18"/>
      <c r="D142" s="1728"/>
      <c r="E142" s="1730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30"/>
      <c r="AW142" s="1730"/>
    </row>
    <row r="143" spans="1:49" x14ac:dyDescent="0.3">
      <c r="A143" s="18"/>
      <c r="B143" s="18"/>
      <c r="C143" s="18"/>
      <c r="D143" s="1728"/>
      <c r="E143" s="1730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30"/>
      <c r="AW143" s="1730"/>
    </row>
    <row r="144" spans="1:49" x14ac:dyDescent="0.3">
      <c r="A144" s="18"/>
      <c r="B144" s="18"/>
      <c r="C144" s="18"/>
      <c r="D144" s="1728"/>
      <c r="E144" s="1730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30"/>
      <c r="AW144" s="1730"/>
    </row>
    <row r="145" spans="1:49" x14ac:dyDescent="0.3">
      <c r="A145" s="18"/>
      <c r="B145" s="18"/>
      <c r="C145" s="18"/>
      <c r="D145" s="1728"/>
      <c r="E145" s="1728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28"/>
      <c r="AW145" s="1728"/>
    </row>
    <row r="146" spans="1:49" x14ac:dyDescent="0.3">
      <c r="A146" s="18"/>
      <c r="B146" s="18"/>
      <c r="C146" s="18"/>
      <c r="D146" s="1723"/>
      <c r="E146" s="1729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31"/>
      <c r="AW146" s="1731"/>
    </row>
    <row r="147" spans="1:49" x14ac:dyDescent="0.3">
      <c r="A147" s="18"/>
      <c r="B147" s="18"/>
      <c r="C147" s="18"/>
      <c r="D147" s="1728"/>
      <c r="E147" s="1730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30"/>
      <c r="AW147" s="1730"/>
    </row>
    <row r="148" spans="1:49" x14ac:dyDescent="0.3">
      <c r="A148" s="18"/>
      <c r="B148" s="18"/>
      <c r="C148" s="18"/>
      <c r="D148" s="1728"/>
      <c r="E148" s="1730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30"/>
      <c r="AW148" s="1730"/>
    </row>
    <row r="149" spans="1:49" x14ac:dyDescent="0.3">
      <c r="A149" s="18"/>
      <c r="B149" s="18"/>
      <c r="C149" s="18"/>
      <c r="D149" s="1728"/>
      <c r="E149" s="1730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30"/>
      <c r="AW149" s="1730"/>
    </row>
    <row r="150" spans="1:49" x14ac:dyDescent="0.3">
      <c r="A150" s="18"/>
      <c r="B150" s="18"/>
      <c r="C150" s="18"/>
      <c r="D150" s="1728"/>
      <c r="E150" s="1730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30"/>
      <c r="AW150" s="1730"/>
    </row>
    <row r="151" spans="1:49" x14ac:dyDescent="0.3">
      <c r="A151" s="18"/>
      <c r="B151" s="18"/>
      <c r="C151" s="18"/>
      <c r="D151" s="1728"/>
      <c r="E151" s="1730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30"/>
      <c r="AW151" s="1730"/>
    </row>
    <row r="152" spans="1:49" x14ac:dyDescent="0.3">
      <c r="A152" s="18"/>
      <c r="B152" s="18"/>
      <c r="C152" s="18"/>
      <c r="D152" s="1728"/>
      <c r="E152" s="1730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30"/>
      <c r="AW152" s="1730"/>
    </row>
    <row r="153" spans="1:49" x14ac:dyDescent="0.3">
      <c r="A153" s="18"/>
      <c r="B153" s="18"/>
      <c r="C153" s="18"/>
      <c r="D153" s="1728"/>
      <c r="E153" s="1728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28"/>
      <c r="AW153" s="1728"/>
    </row>
    <row r="154" spans="1:49" x14ac:dyDescent="0.3">
      <c r="A154" s="18"/>
      <c r="B154" s="18"/>
      <c r="C154" s="18"/>
      <c r="D154" s="1723"/>
      <c r="E154" s="1729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31"/>
      <c r="AW154" s="1731"/>
    </row>
    <row r="155" spans="1:49" x14ac:dyDescent="0.3">
      <c r="A155" s="18"/>
      <c r="B155" s="18"/>
      <c r="C155" s="18"/>
      <c r="D155" s="1728"/>
      <c r="E155" s="1730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30"/>
      <c r="AW155" s="1730"/>
    </row>
    <row r="156" spans="1:49" x14ac:dyDescent="0.3">
      <c r="A156" s="18"/>
      <c r="B156" s="18"/>
      <c r="C156" s="18"/>
      <c r="D156" s="1728"/>
      <c r="E156" s="1730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30"/>
      <c r="AW156" s="1730"/>
    </row>
    <row r="157" spans="1:49" x14ac:dyDescent="0.3">
      <c r="A157" s="18"/>
      <c r="B157" s="18"/>
      <c r="C157" s="18"/>
      <c r="D157" s="1728"/>
      <c r="E157" s="1730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30"/>
      <c r="AW157" s="1730"/>
    </row>
    <row r="158" spans="1:49" x14ac:dyDescent="0.3">
      <c r="A158" s="18"/>
      <c r="B158" s="18"/>
      <c r="C158" s="18"/>
      <c r="D158" s="1728"/>
      <c r="E158" s="1730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30"/>
      <c r="AW158" s="1730"/>
    </row>
    <row r="159" spans="1:49" x14ac:dyDescent="0.3">
      <c r="A159" s="18"/>
      <c r="B159" s="18"/>
      <c r="C159" s="18"/>
      <c r="D159" s="1728"/>
      <c r="E159" s="1730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30"/>
      <c r="AW159" s="1730"/>
    </row>
    <row r="160" spans="1:49" x14ac:dyDescent="0.3">
      <c r="A160" s="18"/>
      <c r="B160" s="18"/>
      <c r="C160" s="18"/>
      <c r="D160" s="1728"/>
      <c r="E160" s="1730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30"/>
      <c r="AW160" s="1730"/>
    </row>
    <row r="161" spans="1:49" x14ac:dyDescent="0.3">
      <c r="A161" s="18"/>
      <c r="B161" s="18"/>
      <c r="C161" s="18"/>
      <c r="D161" s="1728"/>
      <c r="E161" s="1728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28"/>
      <c r="AW161" s="1728"/>
    </row>
    <row r="162" spans="1:49" x14ac:dyDescent="0.3">
      <c r="A162" s="18"/>
      <c r="B162" s="18"/>
      <c r="C162" s="18"/>
      <c r="D162" s="1723"/>
      <c r="E162" s="1729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31"/>
      <c r="AW162" s="1731"/>
    </row>
    <row r="163" spans="1:49" x14ac:dyDescent="0.3">
      <c r="A163" s="18"/>
      <c r="B163" s="18"/>
      <c r="C163" s="18"/>
      <c r="D163" s="1728"/>
      <c r="E163" s="1730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30"/>
      <c r="AW163" s="1730"/>
    </row>
    <row r="164" spans="1:49" x14ac:dyDescent="0.3">
      <c r="A164" s="18"/>
      <c r="B164" s="18"/>
      <c r="C164" s="18"/>
      <c r="D164" s="1728"/>
      <c r="E164" s="1730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30"/>
      <c r="AW164" s="1730"/>
    </row>
    <row r="165" spans="1:49" x14ac:dyDescent="0.3">
      <c r="A165" s="18"/>
      <c r="B165" s="18"/>
      <c r="C165" s="18"/>
      <c r="D165" s="1728"/>
      <c r="E165" s="1730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30"/>
      <c r="AW165" s="1730"/>
    </row>
    <row r="166" spans="1:49" x14ac:dyDescent="0.3">
      <c r="A166" s="18"/>
      <c r="B166" s="18"/>
      <c r="C166" s="18"/>
      <c r="D166" s="1728"/>
      <c r="E166" s="1730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30"/>
      <c r="AW166" s="1730"/>
    </row>
    <row r="167" spans="1:49" x14ac:dyDescent="0.3">
      <c r="A167" s="18"/>
      <c r="B167" s="18"/>
      <c r="C167" s="18"/>
      <c r="D167" s="1728"/>
      <c r="E167" s="1730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30"/>
      <c r="AW167" s="1730"/>
    </row>
    <row r="168" spans="1:49" x14ac:dyDescent="0.3">
      <c r="A168" s="18"/>
      <c r="B168" s="18"/>
      <c r="C168" s="18"/>
      <c r="D168" s="1728"/>
      <c r="E168" s="1730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30"/>
      <c r="AW168" s="1730"/>
    </row>
    <row r="169" spans="1:49" x14ac:dyDescent="0.3">
      <c r="A169" s="18"/>
      <c r="B169" s="18"/>
      <c r="C169" s="18"/>
      <c r="D169" s="1728"/>
      <c r="E169" s="1728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28"/>
      <c r="AW169" s="1728"/>
    </row>
    <row r="170" spans="1:49" x14ac:dyDescent="0.3">
      <c r="A170" s="18"/>
      <c r="B170" s="18"/>
      <c r="C170" s="18"/>
      <c r="D170" s="1723"/>
      <c r="E170" s="1729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31"/>
      <c r="AW170" s="1731"/>
    </row>
    <row r="171" spans="1:49" x14ac:dyDescent="0.3">
      <c r="A171" s="18"/>
      <c r="B171" s="18"/>
      <c r="C171" s="18"/>
      <c r="D171" s="1728"/>
      <c r="E171" s="1730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30"/>
      <c r="AW171" s="1730"/>
    </row>
    <row r="172" spans="1:49" x14ac:dyDescent="0.3">
      <c r="A172" s="18"/>
      <c r="B172" s="18"/>
      <c r="C172" s="18"/>
      <c r="D172" s="1728"/>
      <c r="E172" s="1730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30"/>
      <c r="AW172" s="1730"/>
    </row>
    <row r="173" spans="1:49" x14ac:dyDescent="0.3">
      <c r="A173" s="18"/>
      <c r="B173" s="18"/>
      <c r="C173" s="18"/>
      <c r="D173" s="1728"/>
      <c r="E173" s="1730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30"/>
      <c r="AW173" s="1730"/>
    </row>
    <row r="174" spans="1:49" x14ac:dyDescent="0.3">
      <c r="A174" s="18"/>
      <c r="B174" s="18"/>
      <c r="C174" s="18"/>
      <c r="D174" s="1728"/>
      <c r="E174" s="1730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30"/>
      <c r="AW174" s="1730"/>
    </row>
    <row r="175" spans="1:49" x14ac:dyDescent="0.3">
      <c r="A175" s="18"/>
      <c r="B175" s="18"/>
      <c r="C175" s="18"/>
      <c r="D175" s="1728"/>
      <c r="E175" s="1730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30"/>
      <c r="AW175" s="1730"/>
    </row>
    <row r="176" spans="1:49" x14ac:dyDescent="0.3">
      <c r="A176" s="18"/>
      <c r="B176" s="18"/>
      <c r="C176" s="18"/>
      <c r="D176" s="1728"/>
      <c r="E176" s="1730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30"/>
      <c r="AW176" s="1730"/>
    </row>
    <row r="177" spans="1:49" x14ac:dyDescent="0.3">
      <c r="A177" s="18"/>
      <c r="B177" s="18"/>
      <c r="C177" s="18"/>
      <c r="D177" s="1728"/>
      <c r="E177" s="1728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28"/>
      <c r="AW177" s="1728"/>
    </row>
    <row r="178" spans="1:49" x14ac:dyDescent="0.3">
      <c r="A178" s="18"/>
      <c r="B178" s="18"/>
      <c r="C178" s="18"/>
      <c r="D178" s="1723"/>
      <c r="E178" s="1729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31"/>
      <c r="AW178" s="1731"/>
    </row>
    <row r="179" spans="1:49" x14ac:dyDescent="0.3">
      <c r="A179" s="18"/>
      <c r="B179" s="18"/>
      <c r="C179" s="18"/>
      <c r="D179" s="1728"/>
      <c r="E179" s="1730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30"/>
      <c r="AW179" s="1730"/>
    </row>
    <row r="180" spans="1:49" x14ac:dyDescent="0.3">
      <c r="A180" s="18"/>
      <c r="B180" s="18"/>
      <c r="C180" s="18"/>
      <c r="D180" s="1728"/>
      <c r="E180" s="1730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30"/>
      <c r="AW180" s="1730"/>
    </row>
    <row r="181" spans="1:49" x14ac:dyDescent="0.3">
      <c r="A181" s="18"/>
      <c r="B181" s="18"/>
      <c r="C181" s="18"/>
      <c r="D181" s="1728"/>
      <c r="E181" s="1730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30"/>
      <c r="AW181" s="1730"/>
    </row>
    <row r="182" spans="1:49" x14ac:dyDescent="0.3">
      <c r="A182" s="18"/>
      <c r="B182" s="18"/>
      <c r="C182" s="18"/>
      <c r="D182" s="1728"/>
      <c r="E182" s="1730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30"/>
      <c r="AW182" s="1730"/>
    </row>
    <row r="183" spans="1:49" x14ac:dyDescent="0.3">
      <c r="A183" s="18"/>
      <c r="B183" s="18"/>
      <c r="C183" s="18"/>
      <c r="D183" s="1728"/>
      <c r="E183" s="1730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30"/>
      <c r="AW183" s="1730"/>
    </row>
    <row r="184" spans="1:49" x14ac:dyDescent="0.3">
      <c r="A184" s="18"/>
      <c r="B184" s="18"/>
      <c r="C184" s="18"/>
      <c r="D184" s="1728"/>
      <c r="E184" s="1730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30"/>
      <c r="AW184" s="1730"/>
    </row>
    <row r="185" spans="1:49" x14ac:dyDescent="0.3">
      <c r="A185" s="18"/>
      <c r="B185" s="18"/>
      <c r="C185" s="18"/>
      <c r="D185" s="1728"/>
      <c r="E185" s="1728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28"/>
      <c r="AW185" s="1728"/>
    </row>
    <row r="186" spans="1:49" x14ac:dyDescent="0.3">
      <c r="A186" s="18"/>
      <c r="B186" s="18"/>
      <c r="C186" s="18"/>
      <c r="D186" s="1723"/>
      <c r="E186" s="1729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31"/>
      <c r="AW186" s="1731"/>
    </row>
    <row r="187" spans="1:49" x14ac:dyDescent="0.3">
      <c r="A187" s="18"/>
      <c r="B187" s="18"/>
      <c r="C187" s="18"/>
      <c r="D187" s="1728"/>
      <c r="E187" s="1730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30"/>
      <c r="AW187" s="1730"/>
    </row>
    <row r="188" spans="1:49" x14ac:dyDescent="0.3">
      <c r="A188" s="18"/>
      <c r="B188" s="18"/>
      <c r="C188" s="18"/>
      <c r="D188" s="1728"/>
      <c r="E188" s="1730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30"/>
      <c r="AW188" s="1730"/>
    </row>
    <row r="189" spans="1:49" x14ac:dyDescent="0.3">
      <c r="A189" s="18"/>
      <c r="B189" s="18"/>
      <c r="C189" s="18"/>
      <c r="D189" s="1728"/>
      <c r="E189" s="1730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30"/>
      <c r="AW189" s="1730"/>
    </row>
    <row r="190" spans="1:49" x14ac:dyDescent="0.3">
      <c r="A190" s="18"/>
      <c r="B190" s="18"/>
      <c r="C190" s="18"/>
      <c r="D190" s="1728"/>
      <c r="E190" s="1730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30"/>
      <c r="AW190" s="1730"/>
    </row>
    <row r="191" spans="1:49" x14ac:dyDescent="0.3">
      <c r="A191" s="18"/>
      <c r="B191" s="18"/>
      <c r="C191" s="18"/>
      <c r="D191" s="1728"/>
      <c r="E191" s="1730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30"/>
      <c r="AW191" s="1730"/>
    </row>
    <row r="192" spans="1:49" x14ac:dyDescent="0.3">
      <c r="A192" s="18"/>
      <c r="B192" s="18"/>
      <c r="C192" s="18"/>
      <c r="D192" s="1728"/>
      <c r="E192" s="1730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30"/>
      <c r="AW192" s="1730"/>
    </row>
    <row r="193" spans="1:49" x14ac:dyDescent="0.3">
      <c r="A193" s="18"/>
      <c r="B193" s="18"/>
      <c r="C193" s="18"/>
      <c r="D193" s="1728"/>
      <c r="E193" s="1728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28"/>
      <c r="AW193" s="1728"/>
    </row>
    <row r="194" spans="1:49" x14ac:dyDescent="0.3">
      <c r="A194" s="18"/>
      <c r="B194" s="18"/>
      <c r="C194" s="18"/>
      <c r="D194" s="1723"/>
      <c r="E194" s="1729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31"/>
      <c r="AW194" s="1731"/>
    </row>
    <row r="195" spans="1:49" x14ac:dyDescent="0.3">
      <c r="A195" s="18"/>
      <c r="B195" s="18"/>
      <c r="C195" s="18"/>
      <c r="D195" s="1728"/>
      <c r="E195" s="1730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30"/>
      <c r="AW195" s="1730"/>
    </row>
    <row r="196" spans="1:49" x14ac:dyDescent="0.3">
      <c r="A196" s="18"/>
      <c r="B196" s="18"/>
      <c r="C196" s="18"/>
      <c r="D196" s="1728"/>
      <c r="E196" s="1730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30"/>
      <c r="AW196" s="1730"/>
    </row>
    <row r="197" spans="1:49" x14ac:dyDescent="0.3">
      <c r="A197" s="18"/>
      <c r="B197" s="18"/>
      <c r="C197" s="18"/>
      <c r="D197" s="1728"/>
      <c r="E197" s="1730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30"/>
      <c r="AW197" s="1730"/>
    </row>
    <row r="198" spans="1:49" x14ac:dyDescent="0.3">
      <c r="A198" s="18"/>
      <c r="B198" s="18"/>
      <c r="C198" s="18"/>
      <c r="D198" s="1728"/>
      <c r="E198" s="1730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30"/>
      <c r="AW198" s="1730"/>
    </row>
    <row r="199" spans="1:49" x14ac:dyDescent="0.3">
      <c r="A199" s="18"/>
      <c r="B199" s="18"/>
      <c r="C199" s="18"/>
      <c r="D199" s="1728"/>
      <c r="E199" s="1730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30"/>
      <c r="AW199" s="1730"/>
    </row>
    <row r="200" spans="1:49" x14ac:dyDescent="0.3">
      <c r="A200" s="18"/>
      <c r="B200" s="18"/>
      <c r="C200" s="18"/>
      <c r="D200" s="1728"/>
      <c r="E200" s="1730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30"/>
      <c r="AW200" s="1730"/>
    </row>
    <row r="201" spans="1:49" x14ac:dyDescent="0.3">
      <c r="A201" s="18"/>
      <c r="B201" s="18"/>
      <c r="C201" s="18"/>
      <c r="D201" s="1728"/>
      <c r="E201" s="1728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28"/>
      <c r="AW201" s="1728"/>
    </row>
    <row r="202" spans="1:49" x14ac:dyDescent="0.3">
      <c r="A202" s="18"/>
      <c r="B202" s="18"/>
      <c r="C202" s="18"/>
      <c r="D202" s="1723"/>
      <c r="E202" s="1729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31"/>
      <c r="AW202" s="1731"/>
    </row>
    <row r="203" spans="1:49" x14ac:dyDescent="0.3">
      <c r="A203" s="18"/>
      <c r="B203" s="18"/>
      <c r="C203" s="18"/>
      <c r="D203" s="1728"/>
      <c r="E203" s="1730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30"/>
      <c r="AW203" s="1730"/>
    </row>
    <row r="204" spans="1:49" x14ac:dyDescent="0.3">
      <c r="A204" s="18"/>
      <c r="B204" s="18"/>
      <c r="C204" s="18"/>
      <c r="D204" s="1728"/>
      <c r="E204" s="1730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30"/>
      <c r="AW204" s="1730"/>
    </row>
    <row r="205" spans="1:49" x14ac:dyDescent="0.3">
      <c r="A205" s="18"/>
      <c r="B205" s="18"/>
      <c r="C205" s="18"/>
      <c r="D205" s="1728"/>
      <c r="E205" s="1730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30"/>
      <c r="AW205" s="1730"/>
    </row>
    <row r="206" spans="1:49" x14ac:dyDescent="0.3">
      <c r="A206" s="18"/>
      <c r="B206" s="18"/>
      <c r="C206" s="18"/>
      <c r="D206" s="1728"/>
      <c r="E206" s="1730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30"/>
      <c r="AW206" s="1730"/>
    </row>
    <row r="207" spans="1:49" x14ac:dyDescent="0.3">
      <c r="A207" s="18"/>
      <c r="B207" s="18"/>
      <c r="C207" s="18"/>
      <c r="D207" s="1728"/>
      <c r="E207" s="1730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30"/>
      <c r="AW207" s="1730"/>
    </row>
    <row r="208" spans="1:49" x14ac:dyDescent="0.3">
      <c r="A208" s="18"/>
      <c r="B208" s="18"/>
      <c r="C208" s="18"/>
      <c r="D208" s="1728"/>
      <c r="E208" s="1730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30"/>
      <c r="AW208" s="1730"/>
    </row>
    <row r="209" spans="1:49" x14ac:dyDescent="0.3">
      <c r="A209" s="18"/>
      <c r="B209" s="18"/>
      <c r="C209" s="18"/>
      <c r="D209" s="1728"/>
      <c r="E209" s="1728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28"/>
      <c r="AW209" s="1728"/>
    </row>
    <row r="210" spans="1:49" x14ac:dyDescent="0.3">
      <c r="A210" s="18"/>
      <c r="B210" s="18"/>
      <c r="C210" s="18"/>
      <c r="D210" s="1723"/>
      <c r="E210" s="1729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31"/>
      <c r="AW210" s="1731"/>
    </row>
    <row r="211" spans="1:49" x14ac:dyDescent="0.3">
      <c r="A211" s="18"/>
      <c r="B211" s="18"/>
      <c r="C211" s="18"/>
      <c r="D211" s="1728"/>
      <c r="E211" s="1730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30"/>
      <c r="AW211" s="1730"/>
    </row>
    <row r="212" spans="1:49" x14ac:dyDescent="0.3">
      <c r="A212" s="18"/>
      <c r="B212" s="18"/>
      <c r="C212" s="18"/>
      <c r="D212" s="1728"/>
      <c r="E212" s="1730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30"/>
      <c r="AW212" s="1730"/>
    </row>
    <row r="213" spans="1:49" x14ac:dyDescent="0.3">
      <c r="A213" s="18"/>
      <c r="B213" s="18"/>
      <c r="C213" s="18"/>
      <c r="D213" s="1728"/>
      <c r="E213" s="1730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30"/>
      <c r="AW213" s="1730"/>
    </row>
    <row r="214" spans="1:49" x14ac:dyDescent="0.3">
      <c r="A214" s="18"/>
      <c r="B214" s="18"/>
      <c r="C214" s="18"/>
      <c r="D214" s="1728"/>
      <c r="E214" s="1730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30"/>
      <c r="AW214" s="1730"/>
    </row>
    <row r="215" spans="1:49" x14ac:dyDescent="0.3">
      <c r="A215" s="18"/>
      <c r="B215" s="18"/>
      <c r="C215" s="18"/>
      <c r="D215" s="1728"/>
      <c r="E215" s="1730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30"/>
      <c r="AW215" s="1730"/>
    </row>
    <row r="216" spans="1:49" x14ac:dyDescent="0.3">
      <c r="A216" s="18"/>
      <c r="B216" s="18"/>
      <c r="C216" s="18"/>
      <c r="D216" s="1728"/>
      <c r="E216" s="1730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30"/>
      <c r="AW216" s="1730"/>
    </row>
    <row r="217" spans="1:49" x14ac:dyDescent="0.3">
      <c r="A217" s="18"/>
      <c r="B217" s="18"/>
      <c r="C217" s="18"/>
      <c r="D217" s="1728"/>
      <c r="E217" s="1728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28"/>
      <c r="AW217" s="1728"/>
    </row>
    <row r="218" spans="1:49" x14ac:dyDescent="0.3">
      <c r="A218" s="18"/>
      <c r="B218" s="18"/>
      <c r="C218" s="18"/>
      <c r="D218" s="1723"/>
      <c r="E218" s="1729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31"/>
      <c r="AW218" s="1731"/>
    </row>
    <row r="219" spans="1:49" x14ac:dyDescent="0.3">
      <c r="A219" s="18"/>
      <c r="B219" s="18"/>
      <c r="C219" s="18"/>
      <c r="D219" s="1728"/>
      <c r="E219" s="1730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30"/>
      <c r="AW219" s="1730"/>
    </row>
    <row r="220" spans="1:49" x14ac:dyDescent="0.3">
      <c r="A220" s="18"/>
      <c r="B220" s="18"/>
      <c r="C220" s="18"/>
      <c r="D220" s="1728"/>
      <c r="E220" s="1730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30"/>
      <c r="AW220" s="1730"/>
    </row>
    <row r="221" spans="1:49" x14ac:dyDescent="0.3">
      <c r="A221" s="18"/>
      <c r="B221" s="18"/>
      <c r="C221" s="18"/>
      <c r="D221" s="1728"/>
      <c r="E221" s="1730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30"/>
      <c r="AW221" s="1730"/>
    </row>
    <row r="222" spans="1:49" x14ac:dyDescent="0.3">
      <c r="A222" s="18"/>
      <c r="B222" s="18"/>
      <c r="C222" s="18"/>
      <c r="D222" s="1728"/>
      <c r="E222" s="1730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30"/>
      <c r="AW222" s="1730"/>
    </row>
    <row r="223" spans="1:49" x14ac:dyDescent="0.3">
      <c r="A223" s="18"/>
      <c r="B223" s="18"/>
      <c r="C223" s="18"/>
      <c r="D223" s="1728"/>
      <c r="E223" s="1730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30"/>
      <c r="AW223" s="1730"/>
    </row>
    <row r="224" spans="1:49" x14ac:dyDescent="0.3">
      <c r="A224" s="18"/>
      <c r="B224" s="18"/>
      <c r="C224" s="18"/>
      <c r="D224" s="1728"/>
      <c r="E224" s="1730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30"/>
      <c r="AW224" s="1730"/>
    </row>
    <row r="225" spans="1:49" x14ac:dyDescent="0.3">
      <c r="A225" s="18"/>
      <c r="B225" s="18"/>
      <c r="C225" s="18"/>
      <c r="D225" s="1728"/>
      <c r="E225" s="1728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28"/>
      <c r="AW225" s="1728"/>
    </row>
    <row r="226" spans="1:49" x14ac:dyDescent="0.3">
      <c r="A226" s="18"/>
      <c r="B226" s="18"/>
      <c r="C226" s="18"/>
      <c r="D226" s="1723"/>
      <c r="E226" s="1729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31"/>
      <c r="AW226" s="1731"/>
    </row>
    <row r="227" spans="1:49" x14ac:dyDescent="0.3">
      <c r="A227" s="18"/>
      <c r="B227" s="18"/>
      <c r="C227" s="18"/>
      <c r="D227" s="1728"/>
      <c r="E227" s="1730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30"/>
      <c r="AW227" s="1730"/>
    </row>
    <row r="228" spans="1:49" x14ac:dyDescent="0.3">
      <c r="A228" s="18"/>
      <c r="B228" s="18"/>
      <c r="C228" s="18"/>
      <c r="D228" s="1728"/>
      <c r="E228" s="1730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30"/>
      <c r="AW228" s="1730"/>
    </row>
    <row r="229" spans="1:49" x14ac:dyDescent="0.3">
      <c r="A229" s="18"/>
      <c r="B229" s="18"/>
      <c r="C229" s="18"/>
      <c r="D229" s="1728"/>
      <c r="E229" s="1730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30"/>
      <c r="AW229" s="1730"/>
    </row>
    <row r="230" spans="1:49" x14ac:dyDescent="0.3">
      <c r="A230" s="18"/>
      <c r="B230" s="18"/>
      <c r="C230" s="18"/>
      <c r="D230" s="1728"/>
      <c r="E230" s="1730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30"/>
      <c r="AW230" s="1730"/>
    </row>
    <row r="231" spans="1:49" x14ac:dyDescent="0.3">
      <c r="A231" s="18"/>
      <c r="B231" s="18"/>
      <c r="C231" s="18"/>
      <c r="D231" s="1728"/>
      <c r="E231" s="1730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30"/>
      <c r="AW231" s="1730"/>
    </row>
    <row r="232" spans="1:49" x14ac:dyDescent="0.3">
      <c r="A232" s="18"/>
      <c r="B232" s="18"/>
      <c r="C232" s="18"/>
      <c r="D232" s="1728"/>
      <c r="E232" s="1730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30"/>
      <c r="AW232" s="1730"/>
    </row>
    <row r="233" spans="1:49" x14ac:dyDescent="0.3">
      <c r="A233" s="18"/>
      <c r="B233" s="18"/>
      <c r="C233" s="18"/>
      <c r="D233" s="1728"/>
      <c r="E233" s="1728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28"/>
      <c r="AW233" s="1728"/>
    </row>
    <row r="234" spans="1:49" x14ac:dyDescent="0.3">
      <c r="A234" s="18"/>
      <c r="B234" s="18"/>
      <c r="C234" s="18"/>
      <c r="D234" s="1723"/>
      <c r="E234" s="1729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31"/>
      <c r="AW234" s="1731"/>
    </row>
    <row r="235" spans="1:49" x14ac:dyDescent="0.3">
      <c r="A235" s="18"/>
      <c r="B235" s="18"/>
      <c r="C235" s="18"/>
      <c r="D235" s="1728"/>
      <c r="E235" s="1730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30"/>
      <c r="AW235" s="1730"/>
    </row>
    <row r="236" spans="1:49" x14ac:dyDescent="0.3">
      <c r="A236" s="18"/>
      <c r="B236" s="18"/>
      <c r="C236" s="18"/>
      <c r="D236" s="1728"/>
      <c r="E236" s="1730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30"/>
      <c r="AW236" s="1730"/>
    </row>
    <row r="237" spans="1:49" x14ac:dyDescent="0.3">
      <c r="A237" s="18"/>
      <c r="B237" s="18"/>
      <c r="C237" s="18"/>
      <c r="D237" s="1728"/>
      <c r="E237" s="1730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30"/>
      <c r="AW237" s="1730"/>
    </row>
    <row r="238" spans="1:49" x14ac:dyDescent="0.3">
      <c r="A238" s="18"/>
      <c r="B238" s="18"/>
      <c r="C238" s="18"/>
      <c r="D238" s="1728"/>
      <c r="E238" s="1730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30"/>
      <c r="AW238" s="1730"/>
    </row>
    <row r="239" spans="1:49" x14ac:dyDescent="0.3">
      <c r="A239" s="18"/>
      <c r="B239" s="18"/>
      <c r="C239" s="18"/>
      <c r="D239" s="1728"/>
      <c r="E239" s="1730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30"/>
      <c r="AW239" s="1730"/>
    </row>
    <row r="240" spans="1:49" x14ac:dyDescent="0.3">
      <c r="A240" s="18"/>
      <c r="B240" s="18"/>
      <c r="C240" s="18"/>
      <c r="D240" s="1728"/>
      <c r="E240" s="1730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30"/>
      <c r="AW240" s="1730"/>
    </row>
    <row r="241" spans="1:49" x14ac:dyDescent="0.3">
      <c r="A241" s="18"/>
      <c r="B241" s="18"/>
      <c r="C241" s="18"/>
      <c r="D241" s="1728"/>
      <c r="E241" s="1728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28"/>
      <c r="AW241" s="1728"/>
    </row>
    <row r="242" spans="1:49" x14ac:dyDescent="0.3">
      <c r="A242" s="18"/>
      <c r="B242" s="18"/>
      <c r="C242" s="18"/>
      <c r="D242" s="1723"/>
      <c r="E242" s="1729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31"/>
      <c r="AW242" s="1731"/>
    </row>
    <row r="243" spans="1:49" x14ac:dyDescent="0.3">
      <c r="A243" s="18"/>
      <c r="B243" s="18"/>
      <c r="C243" s="18"/>
      <c r="D243" s="1728"/>
      <c r="E243" s="1730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30"/>
      <c r="AW243" s="1730"/>
    </row>
    <row r="244" spans="1:49" x14ac:dyDescent="0.3">
      <c r="A244" s="18"/>
      <c r="B244" s="18"/>
      <c r="C244" s="18"/>
      <c r="D244" s="1728"/>
      <c r="E244" s="1730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30"/>
      <c r="AW244" s="1730"/>
    </row>
    <row r="245" spans="1:49" x14ac:dyDescent="0.3">
      <c r="A245" s="18"/>
      <c r="B245" s="18"/>
      <c r="C245" s="18"/>
      <c r="D245" s="1728"/>
      <c r="E245" s="1730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30"/>
      <c r="AW245" s="1730"/>
    </row>
    <row r="246" spans="1:49" x14ac:dyDescent="0.3">
      <c r="A246" s="18"/>
      <c r="B246" s="18"/>
      <c r="C246" s="18"/>
      <c r="D246" s="1728"/>
      <c r="E246" s="1730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30"/>
      <c r="AW246" s="1730"/>
    </row>
    <row r="247" spans="1:49" x14ac:dyDescent="0.3">
      <c r="A247" s="18"/>
      <c r="B247" s="18"/>
      <c r="C247" s="18"/>
      <c r="D247" s="1728"/>
      <c r="E247" s="1730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30"/>
      <c r="AW247" s="1730"/>
    </row>
    <row r="248" spans="1:49" x14ac:dyDescent="0.3">
      <c r="A248" s="18"/>
      <c r="B248" s="18"/>
      <c r="C248" s="18"/>
      <c r="D248" s="1728"/>
      <c r="E248" s="1730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30"/>
      <c r="AW248" s="1730"/>
    </row>
    <row r="249" spans="1:49" x14ac:dyDescent="0.3">
      <c r="A249" s="18"/>
      <c r="B249" s="18"/>
      <c r="C249" s="18"/>
      <c r="D249" s="1728"/>
      <c r="E249" s="1728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28"/>
      <c r="AW249" s="1728"/>
    </row>
    <row r="250" spans="1:49" x14ac:dyDescent="0.3">
      <c r="A250" s="18"/>
      <c r="B250" s="18"/>
      <c r="C250" s="18"/>
      <c r="D250" s="1723"/>
      <c r="E250" s="1729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31"/>
      <c r="AW250" s="1731"/>
    </row>
    <row r="251" spans="1:49" x14ac:dyDescent="0.3">
      <c r="A251" s="18"/>
      <c r="B251" s="18"/>
      <c r="C251" s="18"/>
      <c r="D251" s="1728"/>
      <c r="E251" s="1730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30"/>
      <c r="AW251" s="1730"/>
    </row>
    <row r="252" spans="1:49" x14ac:dyDescent="0.3">
      <c r="A252" s="18"/>
      <c r="B252" s="18"/>
      <c r="C252" s="18"/>
      <c r="D252" s="1728"/>
      <c r="E252" s="1730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30"/>
      <c r="AW252" s="1730"/>
    </row>
    <row r="253" spans="1:49" x14ac:dyDescent="0.3">
      <c r="A253" s="18"/>
      <c r="B253" s="18"/>
      <c r="C253" s="18"/>
      <c r="D253" s="1728"/>
      <c r="E253" s="1730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30"/>
      <c r="AW253" s="1730"/>
    </row>
    <row r="254" spans="1:49" x14ac:dyDescent="0.3">
      <c r="A254" s="18"/>
      <c r="B254" s="18"/>
      <c r="C254" s="18"/>
      <c r="D254" s="1728"/>
      <c r="E254" s="1730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30"/>
      <c r="AW254" s="1730"/>
    </row>
    <row r="255" spans="1:49" x14ac:dyDescent="0.3">
      <c r="A255" s="18"/>
      <c r="B255" s="18"/>
      <c r="C255" s="18"/>
      <c r="D255" s="1728"/>
      <c r="E255" s="1730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30"/>
      <c r="AW255" s="1730"/>
    </row>
    <row r="256" spans="1:49" x14ac:dyDescent="0.3">
      <c r="A256" s="18"/>
      <c r="B256" s="18"/>
      <c r="C256" s="18"/>
      <c r="D256" s="1728"/>
      <c r="E256" s="1730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30"/>
      <c r="AW256" s="1730"/>
    </row>
    <row r="257" spans="1:49" x14ac:dyDescent="0.3">
      <c r="A257" s="18"/>
      <c r="B257" s="18"/>
      <c r="C257" s="18"/>
      <c r="D257" s="1728"/>
      <c r="E257" s="1728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28"/>
      <c r="AW257" s="1728"/>
    </row>
    <row r="258" spans="1:49" x14ac:dyDescent="0.3">
      <c r="A258" s="18"/>
      <c r="B258" s="18"/>
      <c r="C258" s="18"/>
      <c r="D258" s="1723"/>
      <c r="E258" s="1729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31"/>
      <c r="AW258" s="1731"/>
    </row>
    <row r="259" spans="1:49" x14ac:dyDescent="0.3">
      <c r="A259" s="18"/>
      <c r="B259" s="18"/>
      <c r="C259" s="18"/>
      <c r="D259" s="1728"/>
      <c r="E259" s="1730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30"/>
      <c r="AW259" s="1730"/>
    </row>
    <row r="260" spans="1:49" x14ac:dyDescent="0.3">
      <c r="A260" s="18"/>
      <c r="B260" s="18"/>
      <c r="C260" s="18"/>
      <c r="D260" s="1728"/>
      <c r="E260" s="1730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30"/>
      <c r="AW260" s="1730"/>
    </row>
    <row r="261" spans="1:49" x14ac:dyDescent="0.3">
      <c r="A261" s="18"/>
      <c r="B261" s="18"/>
      <c r="C261" s="18"/>
      <c r="D261" s="1728"/>
      <c r="E261" s="1730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30"/>
      <c r="AW261" s="1730"/>
    </row>
    <row r="262" spans="1:49" x14ac:dyDescent="0.3">
      <c r="A262" s="18"/>
      <c r="B262" s="18"/>
      <c r="C262" s="18"/>
      <c r="D262" s="1728"/>
      <c r="E262" s="1730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30"/>
      <c r="AW262" s="1730"/>
    </row>
    <row r="263" spans="1:49" x14ac:dyDescent="0.3">
      <c r="A263" s="18"/>
      <c r="B263" s="18"/>
      <c r="C263" s="18"/>
      <c r="D263" s="1728"/>
      <c r="E263" s="1730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30"/>
      <c r="AW263" s="1730"/>
    </row>
    <row r="264" spans="1:49" x14ac:dyDescent="0.3">
      <c r="A264" s="18"/>
      <c r="B264" s="18"/>
      <c r="C264" s="18"/>
      <c r="D264" s="1728"/>
      <c r="E264" s="1730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30"/>
      <c r="AW264" s="1730"/>
    </row>
    <row r="265" spans="1:49" x14ac:dyDescent="0.3">
      <c r="A265" s="18"/>
      <c r="B265" s="18"/>
      <c r="C265" s="18"/>
      <c r="D265" s="1728"/>
      <c r="E265" s="1728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28"/>
      <c r="AW265" s="1728"/>
    </row>
    <row r="266" spans="1:49" x14ac:dyDescent="0.3">
      <c r="A266" s="18"/>
      <c r="B266" s="18"/>
      <c r="C266" s="18"/>
      <c r="D266" s="1723"/>
      <c r="E266" s="1729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31"/>
      <c r="AW266" s="1731"/>
    </row>
    <row r="267" spans="1:49" x14ac:dyDescent="0.3">
      <c r="A267" s="18"/>
      <c r="B267" s="18"/>
      <c r="C267" s="18"/>
      <c r="D267" s="1728"/>
      <c r="E267" s="1730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30"/>
      <c r="AW267" s="1730"/>
    </row>
    <row r="268" spans="1:49" x14ac:dyDescent="0.3">
      <c r="A268" s="18"/>
      <c r="B268" s="18"/>
      <c r="C268" s="18"/>
      <c r="D268" s="1728"/>
      <c r="E268" s="1730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30"/>
      <c r="AW268" s="1730"/>
    </row>
    <row r="269" spans="1:49" x14ac:dyDescent="0.3">
      <c r="A269" s="18"/>
      <c r="B269" s="18"/>
      <c r="C269" s="18"/>
      <c r="D269" s="1728"/>
      <c r="E269" s="1730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30"/>
      <c r="AW269" s="1730"/>
    </row>
    <row r="270" spans="1:49" x14ac:dyDescent="0.3">
      <c r="A270" s="18"/>
      <c r="B270" s="18"/>
      <c r="C270" s="18"/>
      <c r="D270" s="1728"/>
      <c r="E270" s="1730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30"/>
      <c r="AW270" s="1730"/>
    </row>
    <row r="271" spans="1:49" x14ac:dyDescent="0.3">
      <c r="A271" s="18"/>
      <c r="B271" s="18"/>
      <c r="C271" s="18"/>
      <c r="D271" s="1728"/>
      <c r="E271" s="1730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30"/>
      <c r="AW271" s="1730"/>
    </row>
    <row r="272" spans="1:49" x14ac:dyDescent="0.3">
      <c r="A272" s="18"/>
      <c r="B272" s="18"/>
      <c r="C272" s="18"/>
      <c r="D272" s="1728"/>
      <c r="E272" s="1730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30"/>
      <c r="AW272" s="1730"/>
    </row>
    <row r="273" spans="1:49" x14ac:dyDescent="0.3">
      <c r="A273" s="18"/>
      <c r="B273" s="18"/>
      <c r="C273" s="18"/>
      <c r="D273" s="1728"/>
      <c r="E273" s="1728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28"/>
      <c r="AW273" s="1728"/>
    </row>
    <row r="274" spans="1:49" x14ac:dyDescent="0.3">
      <c r="A274" s="18"/>
      <c r="B274" s="18"/>
      <c r="C274" s="18"/>
      <c r="D274" s="1723"/>
      <c r="E274" s="1729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31"/>
      <c r="AW274" s="1731"/>
    </row>
    <row r="275" spans="1:49" x14ac:dyDescent="0.3">
      <c r="A275" s="18"/>
      <c r="B275" s="18"/>
      <c r="C275" s="18"/>
      <c r="D275" s="1728"/>
      <c r="E275" s="1730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30"/>
      <c r="AW275" s="1730"/>
    </row>
    <row r="276" spans="1:49" x14ac:dyDescent="0.3">
      <c r="A276" s="18"/>
      <c r="B276" s="18"/>
      <c r="C276" s="18"/>
      <c r="D276" s="1728"/>
      <c r="E276" s="1730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30"/>
      <c r="AW276" s="1730"/>
    </row>
    <row r="277" spans="1:49" x14ac:dyDescent="0.3">
      <c r="A277" s="18"/>
      <c r="B277" s="18"/>
      <c r="C277" s="18"/>
      <c r="D277" s="1728"/>
      <c r="E277" s="1730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30"/>
      <c r="AW277" s="1730"/>
    </row>
    <row r="278" spans="1:49" x14ac:dyDescent="0.3">
      <c r="A278" s="18"/>
      <c r="B278" s="18"/>
      <c r="C278" s="18"/>
      <c r="D278" s="1728"/>
      <c r="E278" s="1730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30"/>
      <c r="AW278" s="1730"/>
    </row>
    <row r="279" spans="1:49" x14ac:dyDescent="0.3">
      <c r="A279" s="18"/>
      <c r="B279" s="18"/>
      <c r="C279" s="18"/>
      <c r="D279" s="1728"/>
      <c r="E279" s="1730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30"/>
      <c r="AW279" s="1730"/>
    </row>
    <row r="280" spans="1:49" x14ac:dyDescent="0.3">
      <c r="A280" s="18"/>
      <c r="B280" s="18"/>
      <c r="C280" s="18"/>
      <c r="D280" s="1728"/>
      <c r="E280" s="1730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30"/>
      <c r="AW280" s="1730"/>
    </row>
    <row r="281" spans="1:49" x14ac:dyDescent="0.3">
      <c r="A281" s="18"/>
      <c r="B281" s="18"/>
      <c r="C281" s="18"/>
      <c r="D281" s="1728"/>
      <c r="E281" s="1728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28"/>
      <c r="AW281" s="1728"/>
    </row>
    <row r="282" spans="1:49" x14ac:dyDescent="0.3">
      <c r="A282" s="18"/>
      <c r="B282" s="18"/>
      <c r="C282" s="18"/>
      <c r="D282" s="1723"/>
      <c r="E282" s="1729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31"/>
      <c r="AW282" s="1731"/>
    </row>
    <row r="283" spans="1:49" x14ac:dyDescent="0.3">
      <c r="A283" s="18"/>
      <c r="B283" s="18"/>
      <c r="C283" s="18"/>
      <c r="D283" s="1728"/>
      <c r="E283" s="1730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30"/>
      <c r="AW283" s="1730"/>
    </row>
    <row r="284" spans="1:49" x14ac:dyDescent="0.3">
      <c r="A284" s="18"/>
      <c r="B284" s="18"/>
      <c r="C284" s="18"/>
      <c r="D284" s="1728"/>
      <c r="E284" s="1730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30"/>
      <c r="AW284" s="1730"/>
    </row>
    <row r="285" spans="1:49" x14ac:dyDescent="0.3">
      <c r="A285" s="18"/>
      <c r="B285" s="18"/>
      <c r="C285" s="18"/>
      <c r="D285" s="1728"/>
      <c r="E285" s="1730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30"/>
      <c r="AW285" s="1730"/>
    </row>
    <row r="286" spans="1:49" x14ac:dyDescent="0.3">
      <c r="A286" s="18"/>
      <c r="B286" s="18"/>
      <c r="C286" s="18"/>
      <c r="D286" s="1728"/>
      <c r="E286" s="1730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30"/>
      <c r="AW286" s="1730"/>
    </row>
    <row r="287" spans="1:49" x14ac:dyDescent="0.3">
      <c r="A287" s="18"/>
      <c r="B287" s="18"/>
      <c r="C287" s="18"/>
      <c r="D287" s="1728"/>
      <c r="E287" s="1730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30"/>
      <c r="AW287" s="1730"/>
    </row>
    <row r="288" spans="1:49" x14ac:dyDescent="0.3">
      <c r="A288" s="18"/>
      <c r="B288" s="18"/>
      <c r="C288" s="18"/>
      <c r="D288" s="1728"/>
      <c r="E288" s="1730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30"/>
      <c r="AW288" s="1730"/>
    </row>
    <row r="289" spans="1:49" x14ac:dyDescent="0.3">
      <c r="A289" s="18"/>
      <c r="B289" s="18"/>
      <c r="C289" s="18"/>
      <c r="D289" s="1728"/>
      <c r="E289" s="1728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28"/>
      <c r="AW289" s="1728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45" t="s">
        <v>71</v>
      </c>
      <c r="E1" s="1745"/>
      <c r="F1" s="1745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5.9202569948281889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70" t="s">
        <v>586</v>
      </c>
      <c r="I2" s="1570"/>
      <c r="J2" s="1570"/>
      <c r="K2" s="1570"/>
      <c r="O2" s="1">
        <f>720+180</f>
        <v>900</v>
      </c>
    </row>
    <row r="4" spans="1:33" ht="29.4" thickBot="1" x14ac:dyDescent="0.35">
      <c r="A4" s="585" t="s">
        <v>543</v>
      </c>
      <c r="B4" s="1437" t="s">
        <v>0</v>
      </c>
      <c r="C4" s="1439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789">
        <v>1</v>
      </c>
      <c r="B5" s="1657">
        <v>46265</v>
      </c>
      <c r="C5" s="1658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48">
        <f>SUM(M5:M6)</f>
        <v>74.069659139999999</v>
      </c>
      <c r="O5" s="461">
        <f t="shared" ref="O5:O11" si="1">M5/((720-R5)/60)</f>
        <v>2.8865657961661344</v>
      </c>
      <c r="P5" s="1648">
        <f>'Milling Down Time Hours'!Q5</f>
        <v>22.433333333333334</v>
      </c>
      <c r="Q5" s="483"/>
      <c r="R5" s="466">
        <f>'Milling Down Time Hours'!P5</f>
        <v>94</v>
      </c>
      <c r="S5" s="1748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89"/>
      <c r="B6" s="1659"/>
      <c r="C6" s="1660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49"/>
      <c r="O6" s="461">
        <f t="shared" si="1"/>
        <v>3.6627629999999995</v>
      </c>
      <c r="P6" s="1768"/>
      <c r="Q6" s="524"/>
      <c r="R6" s="466">
        <v>0</v>
      </c>
      <c r="S6" s="1752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89"/>
      <c r="B7" s="1657">
        <v>46266</v>
      </c>
      <c r="C7" s="1658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48">
        <f>SUM(M7:M8)</f>
        <v>218.24394086000001</v>
      </c>
      <c r="O7" s="461">
        <f t="shared" si="1"/>
        <v>8.6932442900719415</v>
      </c>
      <c r="P7" s="1766">
        <f>'Milling Down Time Hours'!Q6</f>
        <v>22.9</v>
      </c>
      <c r="Q7" s="504"/>
      <c r="R7" s="466">
        <v>25</v>
      </c>
      <c r="S7" s="1752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89"/>
      <c r="B8" s="1659"/>
      <c r="C8" s="1660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49"/>
      <c r="O8" s="461">
        <f t="shared" si="1"/>
        <v>10.387086406480119</v>
      </c>
      <c r="P8" s="1767"/>
      <c r="Q8" s="504"/>
      <c r="R8" s="466">
        <v>41</v>
      </c>
      <c r="S8" s="1749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90">
        <v>2</v>
      </c>
      <c r="B9" s="1652">
        <v>46267</v>
      </c>
      <c r="C9" s="1653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57">
        <f>SUM(M9:M10)</f>
        <v>209.804</v>
      </c>
      <c r="O9" s="477">
        <f t="shared" si="1"/>
        <v>10.565099999999999</v>
      </c>
      <c r="P9" s="1750">
        <f>'Milling Down Time Hours'!Q7</f>
        <v>22</v>
      </c>
      <c r="Q9" s="492"/>
      <c r="R9" s="471">
        <f>'Milling Down Time Hours'!P7</f>
        <v>120.00000000000001</v>
      </c>
      <c r="S9" s="1757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90"/>
      <c r="B10" s="1654"/>
      <c r="C10" s="1655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59"/>
      <c r="O10" s="477">
        <f t="shared" si="1"/>
        <v>8.6794166666666666</v>
      </c>
      <c r="P10" s="1751"/>
      <c r="Q10" s="492"/>
      <c r="R10" s="471">
        <v>0</v>
      </c>
      <c r="S10" s="1758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90"/>
      <c r="B11" s="1652">
        <v>46268</v>
      </c>
      <c r="C11" s="1653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57">
        <f>SUM(M11:M12)</f>
        <v>90.338150000000013</v>
      </c>
      <c r="O11" s="477">
        <f t="shared" si="1"/>
        <v>8.2125590909090924</v>
      </c>
      <c r="P11" s="1760">
        <f>'Milling Down Time Hours'!Q8</f>
        <v>23</v>
      </c>
      <c r="Q11" s="529"/>
      <c r="R11" s="492">
        <v>60</v>
      </c>
      <c r="S11" s="1758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90"/>
      <c r="B12" s="1654"/>
      <c r="C12" s="1655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59"/>
      <c r="O12" s="477"/>
      <c r="P12" s="1761"/>
      <c r="Q12" s="531"/>
      <c r="R12" s="490">
        <v>720</v>
      </c>
      <c r="S12" s="1666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90"/>
      <c r="B13" s="1652">
        <v>46269</v>
      </c>
      <c r="C13" s="1653"/>
      <c r="D13" s="1769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50">
        <f>'Milling Down Time Hours'!Q9</f>
        <v>0</v>
      </c>
      <c r="Q13" s="514"/>
      <c r="R13" s="1750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90"/>
      <c r="B14" s="1746"/>
      <c r="C14" s="1747"/>
      <c r="D14" s="1770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62"/>
      <c r="Q14" s="492"/>
      <c r="R14" s="1763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55">
        <v>46270</v>
      </c>
      <c r="C15" s="1756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91">
        <v>3</v>
      </c>
      <c r="B16" s="1524">
        <v>46270</v>
      </c>
      <c r="C16" s="1524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48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91"/>
      <c r="B17" s="1524">
        <v>46271</v>
      </c>
      <c r="C17" s="1524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71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49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91"/>
      <c r="B18" s="1524"/>
      <c r="C18" s="1524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71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49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91"/>
      <c r="B19" s="1659">
        <v>46272</v>
      </c>
      <c r="C19" s="1660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72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50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90">
        <v>4</v>
      </c>
      <c r="B20" s="1753">
        <v>46272</v>
      </c>
      <c r="C20" s="1754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50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72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90"/>
      <c r="B21" s="1652">
        <v>46273</v>
      </c>
      <c r="C21" s="1653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57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72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790"/>
      <c r="B22" s="1654"/>
      <c r="C22" s="1655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73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72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790"/>
      <c r="B23" s="1652">
        <v>46274</v>
      </c>
      <c r="C23" s="1653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72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585">
        <v>46274</v>
      </c>
      <c r="C24" s="1586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789">
        <v>5</v>
      </c>
      <c r="B25" s="1657">
        <v>46275</v>
      </c>
      <c r="C25" s="1658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46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46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789"/>
      <c r="B26" s="1659"/>
      <c r="C26" s="1660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47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46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89"/>
      <c r="B27" s="1657">
        <v>46276</v>
      </c>
      <c r="C27" s="1658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48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46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29">
        <v>46276</v>
      </c>
      <c r="C28" s="1529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52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65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90">
        <v>6</v>
      </c>
      <c r="B29" s="1746">
        <v>46276</v>
      </c>
      <c r="C29" s="1747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58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90"/>
      <c r="B30" s="1652">
        <v>46277</v>
      </c>
      <c r="C30" s="1653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57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58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90"/>
      <c r="B31" s="1654"/>
      <c r="C31" s="1655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59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666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583">
        <v>46278</v>
      </c>
      <c r="C32" s="1584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31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585"/>
      <c r="C33" s="1586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32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657">
        <v>46279</v>
      </c>
      <c r="C34" s="165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48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659"/>
      <c r="C35" s="166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49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657">
        <v>46280</v>
      </c>
      <c r="C36" s="165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659"/>
      <c r="C37" s="166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657">
        <v>46281</v>
      </c>
      <c r="C38" s="165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659"/>
      <c r="C39" s="166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74"/>
      <c r="U39" s="1774"/>
      <c r="V39" s="1776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583">
        <v>46282</v>
      </c>
      <c r="C40" s="1584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75"/>
      <c r="U40" s="1775"/>
      <c r="V40" s="1777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585"/>
      <c r="C41" s="158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583">
        <v>46283</v>
      </c>
      <c r="C42" s="1584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585"/>
      <c r="C43" s="158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583">
        <v>46284</v>
      </c>
      <c r="C44" s="1584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585"/>
      <c r="C45" s="158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583">
        <v>46285</v>
      </c>
      <c r="C46" s="1584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585"/>
      <c r="C47" s="158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78"/>
      <c r="U47" s="1778"/>
      <c r="V47" s="1764"/>
      <c r="W47" s="159"/>
      <c r="X47" s="154"/>
      <c r="Y47" s="154"/>
    </row>
    <row r="48" spans="1:32" ht="15" thickBot="1" x14ac:dyDescent="0.35">
      <c r="B48" s="1583">
        <v>46286</v>
      </c>
      <c r="C48" s="1584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79"/>
      <c r="U48" s="1779"/>
      <c r="V48" s="1765"/>
      <c r="W48" s="159"/>
      <c r="X48" s="154"/>
      <c r="Y48" s="154"/>
    </row>
    <row r="49" spans="2:28" ht="15" thickBot="1" x14ac:dyDescent="0.35">
      <c r="B49" s="1585"/>
      <c r="C49" s="158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78"/>
      <c r="U49" s="1778"/>
      <c r="V49" s="1764"/>
      <c r="W49" s="159"/>
      <c r="X49" s="154"/>
      <c r="Y49" s="154"/>
    </row>
    <row r="50" spans="2:28" ht="15" thickBot="1" x14ac:dyDescent="0.35">
      <c r="B50" s="1583">
        <v>46287</v>
      </c>
      <c r="C50" s="1584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79"/>
      <c r="U50" s="1779"/>
      <c r="V50" s="1765"/>
      <c r="W50" s="159"/>
      <c r="X50" s="154"/>
      <c r="Y50" s="154"/>
    </row>
    <row r="51" spans="2:28" ht="15" thickBot="1" x14ac:dyDescent="0.35">
      <c r="B51" s="1585"/>
      <c r="C51" s="158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78"/>
      <c r="U51" s="1778"/>
      <c r="V51" s="1764"/>
      <c r="W51" s="159"/>
      <c r="X51" s="154"/>
      <c r="Y51" s="154"/>
    </row>
    <row r="52" spans="2:28" ht="15" thickBot="1" x14ac:dyDescent="0.35">
      <c r="B52" s="1583">
        <v>46288</v>
      </c>
      <c r="C52" s="1584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79"/>
      <c r="U52" s="1779"/>
      <c r="V52" s="1765"/>
      <c r="W52" s="159"/>
      <c r="X52" s="154"/>
      <c r="Y52" s="154"/>
    </row>
    <row r="53" spans="2:28" ht="15" thickBot="1" x14ac:dyDescent="0.35">
      <c r="B53" s="1585"/>
      <c r="C53" s="158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78"/>
      <c r="U53" s="1778"/>
      <c r="V53" s="1764"/>
      <c r="W53" s="159"/>
      <c r="X53" s="154"/>
      <c r="Y53" s="154"/>
    </row>
    <row r="54" spans="2:28" ht="15" thickBot="1" x14ac:dyDescent="0.35">
      <c r="B54" s="1583">
        <v>46289</v>
      </c>
      <c r="C54" s="1584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79"/>
      <c r="U54" s="1779"/>
      <c r="V54" s="1765"/>
      <c r="W54" s="159"/>
      <c r="X54" s="154"/>
      <c r="Y54" s="154"/>
      <c r="AB54" s="1">
        <v>9570</v>
      </c>
    </row>
    <row r="55" spans="2:28" ht="15" thickBot="1" x14ac:dyDescent="0.35">
      <c r="B55" s="1585"/>
      <c r="C55" s="158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78"/>
      <c r="U55" s="1778"/>
      <c r="V55" s="1764"/>
      <c r="W55" s="159"/>
      <c r="X55" s="154"/>
      <c r="Y55" s="154"/>
      <c r="AB55" s="1">
        <v>8795</v>
      </c>
    </row>
    <row r="56" spans="2:28" ht="15" thickBot="1" x14ac:dyDescent="0.35">
      <c r="B56" s="1583">
        <v>46290</v>
      </c>
      <c r="C56" s="1584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79"/>
      <c r="U56" s="1779"/>
      <c r="V56" s="1765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585"/>
      <c r="C57" s="158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78"/>
      <c r="U57" s="1778"/>
      <c r="V57" s="1764"/>
      <c r="W57" s="159"/>
      <c r="X57" s="154"/>
      <c r="Y57" s="154"/>
    </row>
    <row r="58" spans="2:28" ht="15" thickBot="1" x14ac:dyDescent="0.35">
      <c r="B58" s="1583">
        <v>46291</v>
      </c>
      <c r="C58" s="1584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79"/>
      <c r="U58" s="1779"/>
      <c r="V58" s="1765"/>
      <c r="W58" s="159"/>
      <c r="X58" s="154"/>
      <c r="Y58" s="154"/>
    </row>
    <row r="59" spans="2:28" ht="15" thickBot="1" x14ac:dyDescent="0.35">
      <c r="B59" s="1585"/>
      <c r="C59" s="158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78"/>
      <c r="U59" s="1778"/>
      <c r="V59" s="1764"/>
      <c r="W59" s="159"/>
      <c r="X59" s="154"/>
      <c r="Y59" s="154"/>
    </row>
    <row r="60" spans="2:28" ht="15" thickBot="1" x14ac:dyDescent="0.35">
      <c r="B60" s="1583">
        <v>46292</v>
      </c>
      <c r="C60" s="1584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79"/>
      <c r="U60" s="1779"/>
      <c r="V60" s="1765"/>
      <c r="W60" s="159"/>
      <c r="X60" s="154"/>
      <c r="Y60" s="154"/>
    </row>
    <row r="61" spans="2:28" ht="15" thickBot="1" x14ac:dyDescent="0.35">
      <c r="B61" s="1585"/>
      <c r="C61" s="158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78"/>
      <c r="U61" s="1778"/>
      <c r="V61" s="1764"/>
      <c r="W61" s="159"/>
      <c r="X61" s="154"/>
      <c r="Y61" s="154"/>
    </row>
    <row r="62" spans="2:28" ht="15" thickBot="1" x14ac:dyDescent="0.35">
      <c r="B62" s="1583">
        <v>46293</v>
      </c>
      <c r="C62" s="1584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79"/>
      <c r="U62" s="1779"/>
      <c r="V62" s="1765"/>
      <c r="W62" s="159"/>
      <c r="X62" s="154"/>
      <c r="Y62" s="154"/>
    </row>
    <row r="63" spans="2:28" ht="15" thickBot="1" x14ac:dyDescent="0.35">
      <c r="B63" s="1585"/>
      <c r="C63" s="158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80"/>
      <c r="U63" s="1780"/>
      <c r="V63" s="1782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583">
        <v>46294</v>
      </c>
      <c r="C64" s="1584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81"/>
      <c r="U64" s="1781"/>
      <c r="V64" s="1783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585"/>
      <c r="C65" s="158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80"/>
      <c r="U65" s="1780"/>
      <c r="V65" s="1784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583">
        <v>46295</v>
      </c>
      <c r="C66" s="1584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81"/>
      <c r="U66" s="1781"/>
      <c r="V66" s="1785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585"/>
      <c r="C67" s="158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80"/>
      <c r="U67" s="1780"/>
      <c r="V67" s="1784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583">
        <v>46296</v>
      </c>
      <c r="C68" s="1584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81"/>
      <c r="U68" s="1781"/>
      <c r="V68" s="1785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585"/>
      <c r="C69" s="158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80"/>
      <c r="U69" s="1780"/>
      <c r="V69" s="1782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583">
        <v>46297</v>
      </c>
      <c r="C70" s="1584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81"/>
      <c r="U70" s="1781"/>
      <c r="V70" s="1783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585"/>
      <c r="C71" s="158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80"/>
      <c r="U71" s="1780"/>
      <c r="V71" s="1782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583">
        <v>46298</v>
      </c>
      <c r="C72" s="1584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81"/>
      <c r="U72" s="1781"/>
      <c r="V72" s="1783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585"/>
      <c r="C73" s="158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80"/>
      <c r="U73" s="1780"/>
      <c r="V73" s="1782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583">
        <v>46299</v>
      </c>
      <c r="C74" s="1584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81"/>
      <c r="U74" s="1781"/>
      <c r="V74" s="1783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585"/>
      <c r="C75" s="158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78"/>
      <c r="U75" s="1778"/>
      <c r="V75" s="1764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583">
        <v>46300</v>
      </c>
      <c r="C76" s="1584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79"/>
      <c r="U76" s="1779"/>
      <c r="V76" s="1765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585"/>
      <c r="C77" s="158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80"/>
      <c r="U77" s="1780"/>
      <c r="V77" s="1782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583">
        <v>46301</v>
      </c>
      <c r="C78" s="1584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81"/>
      <c r="U78" s="1781"/>
      <c r="V78" s="1783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688"/>
      <c r="C79" s="1689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88">
        <f>'Milling Down Time Hours'!Q43</f>
        <v>23.5</v>
      </c>
      <c r="Q79" s="39"/>
      <c r="R79" s="1788">
        <f>'Milling Down Time Hours'!L85</f>
        <v>0.8965277777777777</v>
      </c>
      <c r="S79" s="13"/>
      <c r="T79" s="1780">
        <v>0.35699999999999998</v>
      </c>
      <c r="U79" s="1780">
        <v>1.056</v>
      </c>
      <c r="V79" s="1782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688"/>
      <c r="C80" s="1689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88"/>
      <c r="Q80" s="39"/>
      <c r="R80" s="1788"/>
      <c r="S80" s="13"/>
      <c r="T80" s="1781"/>
      <c r="U80" s="1781"/>
      <c r="V80" s="1783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688"/>
      <c r="C81" s="1689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88">
        <f>'Milling Down Time Hours'!M87</f>
        <v>0</v>
      </c>
      <c r="Q81" s="39"/>
      <c r="R81" s="1788">
        <f>'Milling Down Time Hours'!L87</f>
        <v>0.7090277777777777</v>
      </c>
      <c r="S81" s="13"/>
      <c r="T81" s="1778" t="e">
        <f>SUM(#REF!)</f>
        <v>#REF!</v>
      </c>
      <c r="U81" s="1778" t="e">
        <f t="shared" ref="U81" si="26">SUM(T81:T83)</f>
        <v>#REF!</v>
      </c>
      <c r="V81" s="1764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688"/>
      <c r="C82" s="1689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88"/>
      <c r="Q82" s="39"/>
      <c r="R82" s="1788"/>
      <c r="S82" s="13"/>
      <c r="T82" s="1779"/>
      <c r="U82" s="1779"/>
      <c r="V82" s="1765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688"/>
      <c r="C83" s="1689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88">
        <f>'Milling Down Time Hours'!M89</f>
        <v>0</v>
      </c>
      <c r="Q83" s="39"/>
      <c r="R83" s="1788">
        <f>'Milling Down Time Hours'!L89</f>
        <v>1</v>
      </c>
      <c r="S83" s="13"/>
      <c r="T83" s="1778" t="e">
        <f>SUM(#REF!)</f>
        <v>#REF!</v>
      </c>
      <c r="U83" s="1778" t="e">
        <f t="shared" ref="U83" si="28">SUM(T83:T85)</f>
        <v>#REF!</v>
      </c>
      <c r="V83" s="1764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688"/>
      <c r="C84" s="1689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88"/>
      <c r="Q84" s="39"/>
      <c r="R84" s="1788"/>
      <c r="S84" s="13"/>
      <c r="T84" s="1779"/>
      <c r="U84" s="1779"/>
      <c r="V84" s="1765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688"/>
      <c r="C85" s="1689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88">
        <f>'Milling Down Time Hours'!M91</f>
        <v>0</v>
      </c>
      <c r="Q85" s="39"/>
      <c r="R85" s="1788">
        <f>'Milling Down Time Hours'!L91</f>
        <v>0.73611111111111116</v>
      </c>
      <c r="S85" s="13"/>
      <c r="T85" s="1778" t="e">
        <f>SUM(#REF!)</f>
        <v>#REF!</v>
      </c>
      <c r="U85" s="1778" t="e">
        <f t="shared" ref="U85" si="30">SUM(T85:T87)</f>
        <v>#REF!</v>
      </c>
      <c r="V85" s="1764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688"/>
      <c r="C86" s="1689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88"/>
      <c r="Q86" s="39"/>
      <c r="R86" s="1788"/>
      <c r="S86" s="13"/>
      <c r="T86" s="1779"/>
      <c r="U86" s="1779"/>
      <c r="V86" s="1765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688"/>
      <c r="C87" s="1689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88">
        <f>'Milling Down Time Hours'!M93</f>
        <v>0</v>
      </c>
      <c r="Q87" s="39"/>
      <c r="R87" s="1788">
        <f>'Milling Down Time Hours'!L93</f>
        <v>1</v>
      </c>
      <c r="S87" s="13"/>
      <c r="T87" s="1778" t="e">
        <f>SUM(#REF!)</f>
        <v>#REF!</v>
      </c>
      <c r="U87" s="1778" t="e">
        <f t="shared" ref="U87" si="32">SUM(T87:T89)</f>
        <v>#REF!</v>
      </c>
      <c r="V87" s="1764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688"/>
      <c r="C88" s="1689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88"/>
      <c r="Q88" s="39"/>
      <c r="R88" s="1788"/>
      <c r="S88" s="13"/>
      <c r="T88" s="1779"/>
      <c r="U88" s="1779"/>
      <c r="V88" s="1765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688"/>
      <c r="C89" s="1689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88">
        <f>'Milling Down Time Hours'!M95</f>
        <v>0</v>
      </c>
      <c r="Q89" s="39"/>
      <c r="R89" s="1788">
        <f>'Milling Down Time Hours'!L95</f>
        <v>1</v>
      </c>
      <c r="S89" s="13"/>
      <c r="T89" s="1778" t="e">
        <f>SUM(#REF!)</f>
        <v>#REF!</v>
      </c>
      <c r="U89" s="1778" t="e">
        <f t="shared" ref="U89" si="34">SUM(T89:T91)</f>
        <v>#REF!</v>
      </c>
      <c r="V89" s="1764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688"/>
      <c r="C90" s="1689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88"/>
      <c r="Q90" s="39"/>
      <c r="R90" s="1788"/>
      <c r="S90" s="13"/>
      <c r="T90" s="1779"/>
      <c r="U90" s="1779"/>
      <c r="V90" s="1765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688"/>
      <c r="C91" s="1689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88">
        <f>'Milling Down Time Hours'!M97</f>
        <v>0</v>
      </c>
      <c r="Q91" s="39"/>
      <c r="R91" s="1788">
        <f>'Milling Down Time Hours'!L97</f>
        <v>1</v>
      </c>
      <c r="S91" s="13"/>
      <c r="T91" s="1778" t="e">
        <f>SUM(#REF!)</f>
        <v>#REF!</v>
      </c>
      <c r="U91" s="1778" t="e">
        <f t="shared" ref="U91" si="36">SUM(T91:T93)</f>
        <v>#REF!</v>
      </c>
      <c r="V91" s="1764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688"/>
      <c r="C92" s="1689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88"/>
      <c r="Q92" s="39"/>
      <c r="R92" s="1788"/>
      <c r="S92" s="13"/>
      <c r="T92" s="1779"/>
      <c r="U92" s="1779"/>
      <c r="V92" s="1765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688"/>
      <c r="C93" s="1689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88">
        <f>'Milling Down Time Hours'!M99</f>
        <v>0</v>
      </c>
      <c r="Q93" s="39"/>
      <c r="R93" s="1788">
        <f>'Milling Down Time Hours'!L99</f>
        <v>1</v>
      </c>
      <c r="S93" s="13"/>
      <c r="T93" s="1778" t="e">
        <f>SUM(#REF!)</f>
        <v>#REF!</v>
      </c>
      <c r="U93" s="1778" t="e">
        <f t="shared" ref="U93" si="38">SUM(T93:T95)</f>
        <v>#REF!</v>
      </c>
      <c r="V93" s="1764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688"/>
      <c r="C94" s="1689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88"/>
      <c r="Q94" s="39"/>
      <c r="R94" s="1788"/>
      <c r="S94" s="13"/>
      <c r="T94" s="1779"/>
      <c r="U94" s="1779"/>
      <c r="V94" s="1765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688"/>
      <c r="C95" s="1689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88">
        <f>'Milling Down Time Hours'!M101</f>
        <v>0</v>
      </c>
      <c r="Q95" s="39"/>
      <c r="R95" s="1788">
        <f>'Milling Down Time Hours'!L101</f>
        <v>0</v>
      </c>
      <c r="S95" s="13"/>
      <c r="T95" s="1778" t="e">
        <f>SUM(#REF!)</f>
        <v>#REF!</v>
      </c>
      <c r="U95" s="1778" t="e">
        <f>SUM(T95:T99)</f>
        <v>#REF!</v>
      </c>
      <c r="V95" s="1764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688"/>
      <c r="C96" s="1689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88"/>
      <c r="Q96" s="39"/>
      <c r="R96" s="1788"/>
      <c r="S96" s="95"/>
      <c r="T96" s="1787"/>
      <c r="U96" s="1787"/>
      <c r="V96" s="1786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585"/>
      <c r="C97" s="158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2026-10-18T06:18:56Z</dcterms:modified>
</cp:coreProperties>
</file>